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drawings/drawing4.xml" ContentType="application/vnd.openxmlformats-officedocument.drawing+xml"/>
  <Override PartName="/xl/worksheets/sheet46.xml" ContentType="application/vnd.openxmlformats-officedocument.spreadsheetml.worksheet+xml"/>
  <Override PartName="/xl/drawings/drawing5.xml" ContentType="application/vnd.openxmlformats-officedocument.drawing+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worksheets/sheet49.xml" ContentType="application/vnd.openxmlformats-officedocument.spreadsheetml.worksheet+xml"/>
  <Override PartName="/xl/comments2.xml" ContentType="application/vnd.openxmlformats-officedocument.spreadsheetml.comments+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comments3.xml" ContentType="application/vnd.openxmlformats-officedocument.spreadsheetml.comments+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94" activeTab="29"/>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ТКО. Показатели ФХД" sheetId="35" state="hidden" r:id="rId36"/>
    <sheet name="ТКО. Транс. Показатели ФХД" sheetId="36" state="hidden" r:id="rId37"/>
    <sheet name="Показатели КНЭ" sheetId="37" state="hidden" r:id="rId38"/>
    <sheet name="Ограничения" sheetId="38" state="hidden" r:id="rId39"/>
    <sheet name="ИП" sheetId="39" state="hidden" r:id="rId40"/>
    <sheet name="ИП. Детализация" sheetId="40" state="hidden" r:id="rId41"/>
    <sheet name="ИП. Финансовый план" sheetId="41" state="hidden" r:id="rId42"/>
    <sheet name="ИП. КНЭ" sheetId="42" state="hidden" r:id="rId43"/>
    <sheet name="ТП" sheetId="43" state="hidden" r:id="rId44"/>
    <sheet name="Договоры" sheetId="44" state="hidden" r:id="rId45"/>
    <sheet name="Порядок ТП" sheetId="45" r:id="rId46"/>
    <sheet name="Предложение" sheetId="46" state="hidden" r:id="rId47"/>
    <sheet name="Сведения о закупках" sheetId="47" state="hidden" r:id="rId48"/>
    <sheet name="Потребительские характеристики" sheetId="48" state="hidden" r:id="rId49"/>
    <sheet name="TEHSHEET" sheetId="49" state="hidden" r:id="rId50"/>
    <sheet name="Орган регулирования" sheetId="50" state="hidden" r:id="rId51"/>
    <sheet name="Перечень организаций" sheetId="51" state="hidden" r:id="rId52"/>
    <sheet name="Дела об установлении тарифов" sheetId="52" state="hidden" r:id="rId53"/>
    <sheet name="Дела об утверждении ПУЦ" sheetId="53" state="hidden" r:id="rId54"/>
    <sheet name="Привлечение к ответственности" sheetId="54" state="hidden" r:id="rId55"/>
    <sheet name="ЭД" sheetId="55" state="hidden" r:id="rId56"/>
    <sheet name="Сведения об изменении" sheetId="56" state="hidden" r:id="rId57"/>
    <sheet name="Комментарии" sheetId="57" r:id="rId58"/>
    <sheet name="Проверка" sheetId="58" state="hidden" r:id="rId59"/>
    <sheet name="et_union_hor" sheetId="59" state="hidden" r:id="rId60"/>
    <sheet name="DATA_FORMS" sheetId="60" state="hidden" r:id="rId61"/>
    <sheet name="DATA_NPA" sheetId="61" state="hidden" r:id="rId62"/>
    <sheet name="Т-ТЭ | потр" sheetId="62" state="hidden" r:id="rId63"/>
    <sheet name="modMainProcedures" sheetId="63" state="hidden" r:id="rId64"/>
    <sheet name="modB_FHD" sheetId="64" state="hidden" r:id="rId65"/>
    <sheet name="modB_FHD20" sheetId="65" state="hidden" r:id="rId66"/>
    <sheet name="modB_KNE" sheetId="66" state="hidden" r:id="rId67"/>
    <sheet name="modIP_MAIN" sheetId="67" state="hidden" r:id="rId68"/>
    <sheet name="modIP_QRE" sheetId="68" state="hidden" r:id="rId69"/>
    <sheet name="modIP_DETAILED" sheetId="69" state="hidden" r:id="rId70"/>
    <sheet name="et_union_vert" sheetId="70" state="hidden" r:id="rId71"/>
    <sheet name="Легенда" sheetId="71" state="hidden" r:id="rId72"/>
    <sheet name="modfrmListIP" sheetId="72" state="hidden" r:id="rId73"/>
    <sheet name="modfrmActivity" sheetId="73" state="hidden" r:id="rId74"/>
    <sheet name="REESTR_ORG" sheetId="74" state="hidden" r:id="rId75"/>
    <sheet name="REESTR_MO" sheetId="75" state="hidden" r:id="rId76"/>
    <sheet name="REESTR_IP" sheetId="76" state="hidden" r:id="rId77"/>
    <sheet name="REESTR_OBJ_INFR" sheetId="77" state="hidden" r:id="rId78"/>
    <sheet name="REESTR_DS" sheetId="78" state="hidden" r:id="rId79"/>
    <sheet name="REESTR_VT" sheetId="79" state="hidden" r:id="rId80"/>
    <sheet name="REESTR_VED" sheetId="80" state="hidden" r:id="rId81"/>
    <sheet name="REESTR_MO_FILTER" sheetId="81" state="hidden" r:id="rId82"/>
    <sheet name="REESTR_LINK" sheetId="82" state="hidden" r:id="rId83"/>
    <sheet name="modSheetMain" sheetId="83" state="hidden" r:id="rId84"/>
    <sheet name="modfrmReportMode" sheetId="84" state="hidden" r:id="rId85"/>
    <sheet name="modfrmReestrObj" sheetId="85" state="hidden" r:id="rId86"/>
    <sheet name="AllSheetsInThisWorkbook" sheetId="86" state="hidden" r:id="rId87"/>
    <sheet name="modInfo" sheetId="87" state="hidden" r:id="rId88"/>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Т-подкл(инд)'!$63:$65</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Т-подкл(инд)'!$66:$68</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тарифов'!$74:$98</definedName>
    <definedName name="BLOCK_PT_HEAT">'Перечень тарифов'!$13:$72</definedName>
    <definedName name="BLOCK_PT_HOTVSNA">'Перечень тарифов'!$100:$114</definedName>
    <definedName name="BLOCK_PT_VOTV">'Перечень тарифов'!$116:$130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Т-подкл(инд)'!$29:$33</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Т-подкл(инд)'!$34:$36</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тарифов'!$Z$12:$Z$132</definedName>
    <definedName name="DIFFERENTIATION_TARIFF_VD_ID">'Перечень тарифов'!$AB$12:$AB$132</definedName>
    <definedName name="DIFFERENTIATION_TARIFF_VTAR_ID">'Перечень тарифов'!$AA$12:$AA$132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Т-подкл(инд)'!$4:$15</definedName>
    <definedName name="et_HEAT_TARIFF_H_DIAMETERS">'ТС. Т-подкл(инд)'!$8:$8</definedName>
    <definedName name="et_HEAT_TARIFF_H_GC">'ТС. Т-подкл(инд)'!$7:$12</definedName>
    <definedName name="et_HEAT_TARIFF_H_IST_TE">'ТС. Т-подкл(инд)'!$5:$14</definedName>
    <definedName name="et_HEAT_TARIFF_H_LOAD">'ТС. Т-подкл(инд)'!$8:$10</definedName>
    <definedName name="et_HEAT_TARIFF_H_NETS">'ТС. Т-подкл(инд)'!$8:$9</definedName>
    <definedName name="et_HEAT_TARIFF_H_NTAR">'ТС. Т-подкл(инд)'!$2:$17</definedName>
    <definedName name="et_HEAT_TARIFF_H_PERIOD_COLOR">'ТС. Т-подкл(инд)'!$AD$8:$AI$8</definedName>
    <definedName name="et_HEAT_TARIFF_H_PERIOD_NOT_COLOR">'ТС. Т-подкл(инд)'!$AD$19:$AI$19</definedName>
    <definedName name="et_HEAT_TARIFF_H_SCHEME">'ТС. Т-подкл(инд)'!$6:$13</definedName>
    <definedName name="et_HEAT_TARIFF_H_TER">'ТС. Т-подкл(инд)'!$3:$16</definedName>
    <definedName name="et_HEAT_TARIFF_H_TN">'ТС. Т-подкл(инд)'!$8:$11</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Т-подкл(инд)'!$T$37</definedName>
    <definedName name="HEAT_TARIFF_H_ADD_HL_DIAMETERS_COLUMN_MARKER">'ТС. Т-подкл(инд)'!$AO$37</definedName>
    <definedName name="HEAT_TARIFF_H_ADD_HL_LOAD_COLUMN_MARKER">'ТС. Т-подкл(инд)'!$AM$37</definedName>
    <definedName name="HEAT_TARIFF_H_ADD_HL_NETS_COLUMN_MARKER">'ТС. Т-подкл(инд)'!$AN$37</definedName>
    <definedName name="HEAT_TARIFF_H_DEL_HL_DIAMETERS_COLUMN_MARKER">'ТС. Т-подкл(инд)'!$AO$37</definedName>
    <definedName name="HEAT_TARIFF_H_DEL_HL_GC_COLUMN_MARKER">'ТС. Т-подкл(инд)'!$Q$37</definedName>
    <definedName name="HEAT_TARIFF_H_DEL_HL_LOAD_COLUMN_MARKER">'ТС. Т-подкл(инд)'!$AM$37</definedName>
    <definedName name="HEAT_TARIFF_H_DEL_HL_NETS_COLUMN_MARKER">'ТС. Т-подкл(инд)'!$AN$37</definedName>
    <definedName name="HEAT_TARIFF_H_DEL_HL_SCHEME_COLUMN_MARKER">'ТС. Т-подкл(инд)'!$P$37</definedName>
    <definedName name="HEAT_TARIFF_H_DEL_HL_TN_COLUMN_MARKER">'ТС. Т-подкл(инд)'!$R$37</definedName>
    <definedName name="HEAT_TARIFF_H_DELETE_PERIOD_ROW_MARKER">'ТС. Т-подкл(инд)'!$O$38</definedName>
    <definedName name="HEAT_TARIFF_H_FLAG_BLOCK_COLUMN_MARKER">'ТС. Т-подкл(инд)'!$L$43</definedName>
    <definedName name="HEAT_TARIFF_H_FLAG_BLOCK_ROW_MARKER">'ТС. Т-подкл(инд)'!$O$23</definedName>
    <definedName name="HEAT_TARIFF_H_NUM_CS_COLUMN_MARKER">'ТС. Т-подкл(инд)'!$G$43</definedName>
    <definedName name="HEAT_TARIFF_H_NUM_DIAMETERS_COLUMN_MARKER">'ТС. Т-подкл(инд)'!$AO$37</definedName>
    <definedName name="HEAT_TARIFF_H_NUM_GC_COLUMN_MARKER">'ТС. Т-подкл(инд)'!$J$43</definedName>
    <definedName name="HEAT_TARIFF_H_NUM_IST_TE_COLUMN_MARKER">'ТС. Т-подкл(инд)'!$H$43</definedName>
    <definedName name="HEAT_TARIFF_H_NUM_LOAD_COLUMN_MARKER">'ТС. Т-подкл(инд)'!$AM$37</definedName>
    <definedName name="HEAT_TARIFF_H_NUM_NETS_COLUMN_MARKER">'ТС. Т-подкл(инд)'!$AN$37</definedName>
    <definedName name="HEAT_TARIFF_H_NUM_NTAR_COLUMN_MARKER">'ТС. Т-подкл(инд)'!$E$43</definedName>
    <definedName name="HEAT_TARIFF_H_NUM_SCHEME_COLUMN_MARKER">'ТС. Т-подкл(инд)'!$I$43</definedName>
    <definedName name="HEAT_TARIFF_H_NUM_TER_COLUMN_MARKER">'ТС. Т-подкл(инд)'!$F$43</definedName>
    <definedName name="HEAT_TARIFF_H_NUM_TN_COLUMN_MARKER">'ТС. Т-подкл(инд)'!$K$43</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Предложение!$L$84</definedName>
    <definedName name="OFFER_METHOD">Предложение!$K$24:$K$82</definedName>
    <definedName name="OFFER_METHOD_FLAG">TEHSHEET!$L$6</definedName>
    <definedName name="OFFER_TARIFF_A_1">Предложение!$24:$26</definedName>
    <definedName name="OFFER_TARIFF_A_2">Предложение!$86:$88</definedName>
    <definedName name="OFFER_TARIFF_A_3">Предложение!$146:$148</definedName>
    <definedName name="OFFER_TARIFF_A_4">Предложение!$206:$208</definedName>
    <definedName name="OFFER_TARIFF_A_5">Предложение!$266:$268</definedName>
    <definedName name="OFFER_TARIFF_A_COLDVSNA_1">Предложение!$48:$50</definedName>
    <definedName name="OFFER_TARIFF_A_COLDVSNA_2">Предложение!$110:$112</definedName>
    <definedName name="OFFER_TARIFF_A_COLDVSNA_3">Предложение!$170:$172</definedName>
    <definedName name="OFFER_TARIFF_A_COLDVSNA_4">Предложение!$230:$232</definedName>
    <definedName name="OFFER_TARIFF_A_COLDVSNA_5">Предложение!$290:$292</definedName>
    <definedName name="OFFER_TARIFF_A_HOTVSNA_1">Предложение!$63:$65</definedName>
    <definedName name="OFFER_TARIFF_A_HOTVSNA_2">Предложение!$125:$127</definedName>
    <definedName name="OFFER_TARIFF_A_HOTVSNA_3">Предложение!$185:$187</definedName>
    <definedName name="OFFER_TARIFF_A_HOTVSNA_4">Предложение!$245:$247</definedName>
    <definedName name="OFFER_TARIFF_A_HOTVSNA_5">Предложение!$305:$307</definedName>
    <definedName name="OFFER_TARIFF_A_VOTV_1">Предложение!$74:$76</definedName>
    <definedName name="OFFER_TARIFF_A_VOTV_2">Предложение!$136:$138</definedName>
    <definedName name="OFFER_TARIFF_A_VOTV_3">Предложение!$196:$198</definedName>
    <definedName name="OFFER_TARIFF_A_VOTV_4">Предложение!$256:$258</definedName>
    <definedName name="OFFER_TARIFF_A_VOTV_5">Предложение!$316:$318</definedName>
    <definedName name="OFFER_TARIFF_B_1">Предложение!$27:$29</definedName>
    <definedName name="OFFER_TARIFF_B_2">Предложение!$89:$91</definedName>
    <definedName name="OFFER_TARIFF_B_3">Предложение!$149:$151</definedName>
    <definedName name="OFFER_TARIFF_B_4">Предложение!$209:$211</definedName>
    <definedName name="OFFER_TARIFF_B_5">Предложение!$269:$271</definedName>
    <definedName name="OFFER_TARIFF_B_COLDVSNA_1">Предложение!$51:$53</definedName>
    <definedName name="OFFER_TARIFF_B_COLDVSNA_2">Предложение!$113:$115</definedName>
    <definedName name="OFFER_TARIFF_B_COLDVSNA_3">Предложение!$173:$175</definedName>
    <definedName name="OFFER_TARIFF_B_COLDVSNA_4">Предложение!$233:$235</definedName>
    <definedName name="OFFER_TARIFF_B_COLDVSNA_5">Предложение!$293:$295</definedName>
    <definedName name="OFFER_TARIFF_B_HOTVSNA_1">Предложение!$66:$68</definedName>
    <definedName name="OFFER_TARIFF_B_HOTVSNA_2">Предложение!$128:$130</definedName>
    <definedName name="OFFER_TARIFF_B_HOTVSNA_3">Предложение!$188:$190</definedName>
    <definedName name="OFFER_TARIFF_B_HOTVSNA_4">Предложение!$248:$250</definedName>
    <definedName name="OFFER_TARIFF_B_HOTVSNA_5">Предложение!$308:$310</definedName>
    <definedName name="OFFER_TARIFF_B_VOTV_1">Предложение!$77:$79</definedName>
    <definedName name="OFFER_TARIFF_B_VOTV_2">Предложение!$139:$141</definedName>
    <definedName name="OFFER_TARIFF_B_VOTV_3">Предложение!$199:$201</definedName>
    <definedName name="OFFER_TARIFF_B_VOTV_4">Предложение!$259:$261</definedName>
    <definedName name="OFFER_TARIFF_B_VOTV_5">Предложение!$319:$321</definedName>
    <definedName name="OFFER_TARIFF_C_1">Предложение!$30:$32</definedName>
    <definedName name="OFFER_TARIFF_C_2">Предложение!$92:$94</definedName>
    <definedName name="OFFER_TARIFF_C_3">Предложение!$152:$154</definedName>
    <definedName name="OFFER_TARIFF_C_4">Предложение!$212:$214</definedName>
    <definedName name="OFFER_TARIFF_C_5">Предложение!$272:$274</definedName>
    <definedName name="OFFER_TARIFF_C_COLDVSNA_1">Предложение!$54:$56</definedName>
    <definedName name="OFFER_TARIFF_C_COLDVSNA_2">Предложение!$116:$118</definedName>
    <definedName name="OFFER_TARIFF_C_COLDVSNA_3">Предложение!$176:$178</definedName>
    <definedName name="OFFER_TARIFF_C_COLDVSNA_4">Предложение!$236:$238</definedName>
    <definedName name="OFFER_TARIFF_C_COLDVSNA_5">Предложение!$296:$298</definedName>
    <definedName name="OFFER_TARIFF_C_HOTVSNA_1">Предложение!$69:$73</definedName>
    <definedName name="OFFER_TARIFF_C_HOTVSNA_2">Предложение!$131:$135</definedName>
    <definedName name="OFFER_TARIFF_C_HOTVSNA_3">Предложение!$191:$195</definedName>
    <definedName name="OFFER_TARIFF_C_HOTVSNA_4">Предложение!$251:$255</definedName>
    <definedName name="OFFER_TARIFF_C_HOTVSNA_5">Предложение!$311:$315</definedName>
    <definedName name="OFFER_TARIFF_C_VOTV_1">Предложение!$80:$82</definedName>
    <definedName name="OFFER_TARIFF_C_VOTV_2">Предложение!$142:$144</definedName>
    <definedName name="OFFER_TARIFF_C_VOTV_3">Предложение!$202:$204</definedName>
    <definedName name="OFFER_TARIFF_C_VOTV_4">Предложение!$262:$264</definedName>
    <definedName name="OFFER_TARIFF_C_VOTV_5">Предложение!$322:$324</definedName>
    <definedName name="OFFER_TARIFF_D_1">Предложение!$33:$35</definedName>
    <definedName name="OFFER_TARIFF_D_2">Предложение!$95:$97</definedName>
    <definedName name="OFFER_TARIFF_D_3">Предложение!$155:$157</definedName>
    <definedName name="OFFER_TARIFF_D_4">Предложение!$215:$217</definedName>
    <definedName name="OFFER_TARIFF_D_5">Предложение!$275:$277</definedName>
    <definedName name="OFFER_TARIFF_D_COLDVSNA_1">Предложение!$57:$59</definedName>
    <definedName name="OFFER_TARIFF_D_COLDVSNA_2">Предложение!$119:$121</definedName>
    <definedName name="OFFER_TARIFF_D_COLDVSNA_3">Предложение!$179:$181</definedName>
    <definedName name="OFFER_TARIFF_D_COLDVSNA_4">Предложение!$239:$241</definedName>
    <definedName name="OFFER_TARIFF_D_COLDVSNA_5">Предложение!$299:$301</definedName>
    <definedName name="OFFER_TARIFF_E_COLDVSNA_1">Предложение!$60:$62</definedName>
    <definedName name="OFFER_TARIFF_E_COLDVSNA_2">Предложение!$122:$124</definedName>
    <definedName name="OFFER_TARIFF_E_COLDVSNA_3">Предложение!$182:$184</definedName>
    <definedName name="OFFER_TARIFF_E_COLDVSNA_4">Предложение!$242:$244</definedName>
    <definedName name="OFFER_TARIFF_E_COLDVSNA_5">Предложение!$302:$304</definedName>
    <definedName name="OFFER_TARIFF_E1_1">Предложение!$36:$38</definedName>
    <definedName name="OFFER_TARIFF_E1_2">Предложение!$98:$100</definedName>
    <definedName name="OFFER_TARIFF_E1_3">Предложение!$158:$160</definedName>
    <definedName name="OFFER_TARIFF_E1_4">Предложение!$218:$220</definedName>
    <definedName name="OFFER_TARIFF_E1_5">Предложение!$278:$280</definedName>
    <definedName name="OFFER_TARIFF_E2_1">Предложение!$39:$41</definedName>
    <definedName name="OFFER_TARIFF_E2_2">Предложение!$101:$103</definedName>
    <definedName name="OFFER_TARIFF_E2_3">Предложение!$161:$163</definedName>
    <definedName name="OFFER_TARIFF_E2_4">Предложение!$221:$223</definedName>
    <definedName name="OFFER_TARIFF_E2_5">Предложение!$281:$283</definedName>
    <definedName name="OFFER_TARIFF_F_1">Предложение!$42:$44</definedName>
    <definedName name="OFFER_TARIFF_F_2">Предложение!$104:$106</definedName>
    <definedName name="OFFER_TARIFF_F_3">Предложение!$164:$166</definedName>
    <definedName name="OFFER_TARIFF_F_4">Предложение!$224:$226</definedName>
    <definedName name="OFFER_TARIFF_F_5">Предложение!$284:$286</definedName>
    <definedName name="OFFER_TARIFF_G_1">Предложение!$45:$47</definedName>
    <definedName name="OFFER_TARIFF_G_2">Предложение!$107:$109</definedName>
    <definedName name="OFFER_TARIFF_G_3">Предложение!$167:$169</definedName>
    <definedName name="OFFER_TARIFF_G_4">Предложение!$227:$229</definedName>
    <definedName name="OFFER_TARIFF_G_5">Предложение!$287:$289</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ТП'!$C$26:$C$42</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ТП'!$A$21:$A$42</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ТП'!$E$32</definedName>
    <definedName name="pIns_P_PROCEDURE_TC_3">'Порядок ТП'!$E$36</definedName>
    <definedName name="pIns_P_PROCEDURE_TC_4">'Порядок ТП'!$E$39</definedName>
    <definedName name="pIns_P_PROCEDURE_TC_5">'Порядок ТП'!$E$42</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Предложение!$G$112</definedName>
    <definedName name="pIns_PT_VTAR_A_COLDVSNA_OFFER_3">Предложение!$G$172</definedName>
    <definedName name="pIns_PT_VTAR_A_COLDVSNA_OFFER_4">Предложение!$G$232</definedName>
    <definedName name="pIns_PT_VTAR_A_COLDVSNA_OFFER_5">Предложение!$G$292</definedName>
    <definedName name="pIns_PT_VTAR_A_COLDVSNA_OFFER5">Предложение!$G$292</definedName>
    <definedName name="pIns_PT_VTAR_A_HOTVSNA">'ГВС. Т-гор.вода'!$T$54</definedName>
    <definedName name="pIns_PT_VTAR_A_HOTVSNA_OFFER_1">Предложение!$G$65</definedName>
    <definedName name="pIns_PT_VTAR_A_HOTVSNA_OFFER_2">Предложение!$G$127</definedName>
    <definedName name="pIns_PT_VTAR_A_HOTVSNA_OFFER_3">Предложение!$G$187</definedName>
    <definedName name="pIns_PT_VTAR_A_HOTVSNA_OFFER_4">Предложение!$G$247</definedName>
    <definedName name="pIns_PT_VTAR_A_HOTVSNA_OFFER_5">Предложение!$G$307</definedName>
    <definedName name="pIns_PT_VTAR_A_OFFER_1">Предложение!$G$26</definedName>
    <definedName name="pIns_PT_VTAR_A_OFFER_2">Предложение!$G$88</definedName>
    <definedName name="pIns_PT_VTAR_A_OFFER_3">Предложение!$G$148</definedName>
    <definedName name="pIns_PT_VTAR_A_OFFER_4">Предложение!$G$208</definedName>
    <definedName name="pIns_PT_VTAR_A_OFFER_5">Предложение!$G$268</definedName>
    <definedName name="pIns_PT_VTAR_A_VOTV">'ВО. Т-во'!$T$53</definedName>
    <definedName name="pIns_PT_VTAR_A_VOTV_OFFER_1">Предложение!$G$76</definedName>
    <definedName name="pIns_PT_VTAR_A_VOTV_OFFER_2">Предложение!$G$138</definedName>
    <definedName name="pIns_PT_VTAR_A_VOTV_OFFER_3">Предложение!$G$198</definedName>
    <definedName name="pIns_PT_VTAR_A_VOTV_OFFER_4">Предложение!$G$258</definedName>
    <definedName name="pIns_PT_VTAR_A_VOTV_OFFER_5">Предложение!$G$318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Предложение!$G$115</definedName>
    <definedName name="pIns_PT_VTAR_B_COLDVSNA_OFFER_3">Предложение!$G$175</definedName>
    <definedName name="pIns_PT_VTAR_B_COLDVSNA_OFFER_4">Предложение!$G$235</definedName>
    <definedName name="pIns_PT_VTAR_B_COLDVSNA_OFFER_5">Предложение!$G$295</definedName>
    <definedName name="pIns_PT_VTAR_B_HOTVSNA">'ГВС. Т-транс'!$T$54</definedName>
    <definedName name="pIns_PT_VTAR_B_HOTVSNA_OFFER_1">Предложение!$G$68</definedName>
    <definedName name="pIns_PT_VTAR_B_HOTVSNA_OFFER_2">Предложение!$G$130</definedName>
    <definedName name="pIns_PT_VTAR_B_HOTVSNA_OFFER_3">Предложение!$G$190</definedName>
    <definedName name="pIns_PT_VTAR_B_HOTVSNA_OFFER_4">Предложение!$G$250</definedName>
    <definedName name="pIns_PT_VTAR_B_HOTVSNA_OFFER_5">Предложение!$G$310</definedName>
    <definedName name="pIns_PT_VTAR_B_OFFER_1">Предложение!$G$29</definedName>
    <definedName name="pIns_PT_VTAR_B_OFFER_2">Предложение!$G$91</definedName>
    <definedName name="pIns_PT_VTAR_B_OFFER_3">Предложение!$G$151</definedName>
    <definedName name="pIns_PT_VTAR_B_OFFER_4">Предложение!$G$211</definedName>
    <definedName name="pIns_PT_VTAR_B_OFFER_5">Предложение!$G$271</definedName>
    <definedName name="pIns_PT_VTAR_B_VOTV">'ВО. Т-транс'!$T$53</definedName>
    <definedName name="pIns_PT_VTAR_B_VOTV_OFFER_1">Предложение!$G$79</definedName>
    <definedName name="pIns_PT_VTAR_B_VOTV_OFFER_2">Предложение!$G$141</definedName>
    <definedName name="pIns_PT_VTAR_B_VOTV_OFFER_3">Предложение!$G$201</definedName>
    <definedName name="pIns_PT_VTAR_B_VOTV_OFFER_4">Предложение!$G$261</definedName>
    <definedName name="pIns_PT_VTAR_B_VOTV_OFFER_5">Предложение!$G$321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Предложение!$G$118</definedName>
    <definedName name="pIns_PT_VTAR_C_COLDVSNA_OFFER_3">Предложение!$G$178</definedName>
    <definedName name="pIns_PT_VTAR_C_COLDVSNA_OFFER_4">Предложение!$G$238</definedName>
    <definedName name="pIns_PT_VTAR_C_COLDVSNA_OFFER_5">Предложение!$G$298</definedName>
    <definedName name="pIns_PT_VTAR_C_HOTVSNA">'ГВС. Т-подкл'!$T$63</definedName>
    <definedName name="pIns_PT_VTAR_C_HOTVSNA_OFFER_1">Предложение!$G$73</definedName>
    <definedName name="pIns_PT_VTAR_C_HOTVSNA_OFFER_2">Предложение!$G$135</definedName>
    <definedName name="pIns_PT_VTAR_C_HOTVSNA_OFFER_3">Предложение!$G$195</definedName>
    <definedName name="pIns_PT_VTAR_C_HOTVSNA_OFFER_4">Предложение!$G$255</definedName>
    <definedName name="pIns_PT_VTAR_C_HOTVSNA_OFFER_5">Предложение!$G$315</definedName>
    <definedName name="pIns_PT_VTAR_C_OFFER_1">Предложение!$G$32</definedName>
    <definedName name="pIns_PT_VTAR_C_OFFER_2">Предложение!$G$94</definedName>
    <definedName name="pIns_PT_VTAR_C_OFFER_3">Предложение!$G$154</definedName>
    <definedName name="pIns_PT_VTAR_C_OFFER_4">Предложение!$G$214</definedName>
    <definedName name="pIns_PT_VTAR_C_OFFER_5">Предложение!$G$274</definedName>
    <definedName name="pIns_PT_VTAR_C_VOTV">'ВО. Т-подкл'!$T$63</definedName>
    <definedName name="pIns_PT_VTAR_C_VOTV_OFFER_1">Предложение!$G$82</definedName>
    <definedName name="pIns_PT_VTAR_C_VOTV_OFFER_2">Предложение!$G$144</definedName>
    <definedName name="pIns_PT_VTAR_C_VOTV_OFFER_3">Предложение!$G$204</definedName>
    <definedName name="pIns_PT_VTAR_C_VOTV_OFFER_4">Предложение!$G$264</definedName>
    <definedName name="pIns_PT_VTAR_C_VOTV_OFFER_5">Предложение!$G$324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Предложение!$G$121</definedName>
    <definedName name="pIns_PT_VTAR_D_COLDVSNA_OFFER_3">Предложение!$G$181</definedName>
    <definedName name="pIns_PT_VTAR_D_COLDVSNA_OFFER_4">Предложение!$G$241</definedName>
    <definedName name="pIns_PT_VTAR_D_COLDVSNA_OFFER_5">Предложение!$G$301</definedName>
    <definedName name="pIns_PT_VTAR_D_OFFER_1">Предложение!$G$35</definedName>
    <definedName name="pIns_PT_VTAR_D_OFFER_2">Предложение!$G$97</definedName>
    <definedName name="pIns_PT_VTAR_D_OFFER_3">Предложение!$G$157</definedName>
    <definedName name="pIns_PT_VTAR_D_OFFER_4">Предложение!$G$217</definedName>
    <definedName name="pIns_PT_VTAR_D_OFFER_5">Предложение!$G$277</definedName>
    <definedName name="pIns_PT_VTAR_E_COLDVSNA">'ХВС. Т-подкл'!$T$63</definedName>
    <definedName name="pIns_PT_VTAR_E_COLDVSNA_OFFER_1">Предложение!$G$62</definedName>
    <definedName name="pIns_PT_VTAR_E_COLDVSNA_OFFER_2">Предложение!$G$124</definedName>
    <definedName name="pIns_PT_VTAR_E_COLDVSNA_OFFER_3">Предложение!$G$184</definedName>
    <definedName name="pIns_PT_VTAR_E_COLDVSNA_OFFER_4">Предложение!$G$244</definedName>
    <definedName name="pIns_PT_VTAR_E_COLDVSNA_OFFER_5">Предложение!$G$304</definedName>
    <definedName name="pIns_PT_VTAR_E1">'ТС. Т-передача ТЭ'!$T$57</definedName>
    <definedName name="pIns_PT_VTAR_E1_OFFER_1">Предложение!$G$38</definedName>
    <definedName name="pIns_PT_VTAR_E1_OFFER_2">Предложение!$G$100</definedName>
    <definedName name="pIns_PT_VTAR_E1_OFFER_3">Предложение!$G$160</definedName>
    <definedName name="pIns_PT_VTAR_E1_OFFER_4">Предложение!$G$220</definedName>
    <definedName name="pIns_PT_VTAR_E1_OFFER_5">Предложение!$G$280</definedName>
    <definedName name="pIns_PT_VTAR_E2">'ТС. Т-передача ТН'!$T$57</definedName>
    <definedName name="pIns_PT_VTAR_E2_OFFER_1">Предложение!$G$41</definedName>
    <definedName name="pIns_PT_VTAR_E2_OFFER_2">Предложение!$G$103</definedName>
    <definedName name="pIns_PT_VTAR_E2_OFFER_3">Предложение!$G$163</definedName>
    <definedName name="pIns_PT_VTAR_E2_OFFER_4">Предложение!$G$223</definedName>
    <definedName name="pIns_PT_VTAR_E2_OFFER_5">Предложение!$G$283</definedName>
    <definedName name="pIns_PT_VTAR_F">'ТС. Резерв мощности'!$T$57</definedName>
    <definedName name="pIns_PT_VTAR_F_OFFER_1">Предложение!$G$44</definedName>
    <definedName name="pIns_PT_VTAR_F_OFFER_2">Предложение!$G$106</definedName>
    <definedName name="pIns_PT_VTAR_F_OFFER_3">Предложение!$G$166</definedName>
    <definedName name="pIns_PT_VTAR_F_OFFER_4">Предложение!$G$226</definedName>
    <definedName name="pIns_PT_VTAR_F_OFFER_5">Предложение!$G$286</definedName>
    <definedName name="pIns_PT_VTAR_G">'ТС. Т-подкл'!$T$62</definedName>
    <definedName name="pIns_PT_VTAR_G_OFFER_1">Предложение!$G$47</definedName>
    <definedName name="pIns_PT_VTAR_G_OFFER_2">Предложение!$G$109</definedName>
    <definedName name="pIns_PT_VTAR_G_OFFER_3">Предложение!$G$169</definedName>
    <definedName name="pIns_PT_VTAR_G_OFFER_4">Предложение!$G$229</definedName>
    <definedName name="pIns_PT_VTAR_G_OFFER_5">Предложение!$G$289</definedName>
    <definedName name="pIns_PT_VTAR_H">'ТС. Т-подкл(инд)'!$T$59</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Т-подкл(инд)'!$AJ$40</definedName>
    <definedName name="pIns_ver_HEAT_TARIFF_I">'ТС. Т-ТЭ | предел'!$AL$39</definedName>
    <definedName name="pIns_ver_HEAT_TARIFF_I_1">'ТС. Т-ТЭ | индикат'!$AL$39</definedName>
    <definedName name="pIns_ver_HOTVSNA_TARIFF_A_HOTVSNA">'ГВС. Т-гор.вода'!$BC$37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Т-подкл(инд)'!$47:$58</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тарифов'!$AL$12:$AL$132</definedName>
    <definedName name="PT_DIFFERENTIATION_CS_ID">'Перечень тарифов'!$AF$12:$AF$132</definedName>
    <definedName name="PT_DIFFERENTIATION_IST_TE">'Перечень тарифов'!$AM$12:$AM$132</definedName>
    <definedName name="PT_DIFFERENTIATION_IST_TE_ID">'Перечень тарифов'!$AG$12:$AG$132</definedName>
    <definedName name="PT_DIFFERENTIATION_NTAR">'Перечень тарифов'!$AJ$12:$AJ$132</definedName>
    <definedName name="PT_DIFFERENTIATION_NTAR_ID">'Перечень тарифов'!$AD$12:$AD$132</definedName>
    <definedName name="PT_DIFFERENTIATION_NUM_CS">'Перечень тарифов'!$AP$12:$AP$132</definedName>
    <definedName name="PT_DIFFERENTIATION_NUM_IST_TE">'Перечень тарифов'!$AQ$12:$AQ$132</definedName>
    <definedName name="PT_DIFFERENTIATION_NUM_NTAR">'Перечень тарифов'!$AN$12:$AN$132</definedName>
    <definedName name="PT_DIFFERENTIATION_NUM_TER">'Перечень тарифов'!$AO$12:$AO$132</definedName>
    <definedName name="PT_DIFFERENTIATION_TER">'Перечень тарифов'!$AK$12:$AK$132</definedName>
    <definedName name="PT_DIFFERENTIATION_TER_ID">'Перечень тарифов'!$AE$12:$AE$132</definedName>
    <definedName name="PT_DIFFERENTIATION_VDET">'Перечень тарифов'!$AI$12:$AI$132</definedName>
    <definedName name="PT_DIFFERENTIATION_VTAR">'Перечень тарифов'!$AH$12:$AH$132</definedName>
    <definedName name="PT_DIFFERENTIATION_VTAR_ID">'Перечень тарифов'!$AC$12:$AC$132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20">'ТС. Т-подкл(инд)'!$48:$57</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Т-подкл(инд)'!$45:$61</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Т-подкл(инд)'!$46:$59</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VD_LIST">REESTR_VED!$A$2:$B$4</definedName>
    <definedName name="VD_ID_LIST">REESTR_VED!$A$2:$A$4</definedName>
    <definedName name="VD_NAME_LIST">REESTR_VED!$B$2:$B$4</definedName>
    <definedName name="et_B_FHD20_1">et_union_hor!$115:$123</definedName>
    <definedName name="pt_ter_30">'ГВС. Т-подкл'!#REF!</definedName>
    <definedName name="pt_cs_30">'ГВС. Т-подкл'!#REF!</definedName>
    <definedName name="pt_cs_31">'ГВС. Т-подкл'!#REF!</definedName>
    <definedName name="pt_cs_32">'ГВС. Т-подкл'!#REF!</definedName>
    <definedName name="pt_cs_33">'ГВС. Т-подкл'!#REF!</definedName>
    <definedName name="_xlnm._FilterDatabase" localSheetId="57">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<sst xmlns="http://schemas.openxmlformats.org/spreadsheetml/2006/main" count="46384" uniqueCount="9765">
  <si>
    <t xml:space="preserve"> (требуется обновление)</t>
  </si>
  <si>
    <t>Код отчёта: PP108.OPEN.INFO.PRICE.HOTVSNA.EIAS</t>
  </si>
  <si>
    <t>Версия отчёта: 1.0.7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</si>
  <si>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</si>
  <si>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</si>
  <si>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</si>
  <si>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</si>
  <si>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</si>
  <si>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</si>
  <si>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</si>
  <si>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</si>
  <si>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</si>
  <si>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</si>
  <si>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</si>
  <si>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Московская область</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</si>
  <si>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</si>
  <si>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</si>
  <si>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</si>
  <si>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</si>
  <si>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</si>
  <si>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</si>
  <si>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</si>
  <si>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</si>
  <si>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</si>
  <si>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</si>
  <si>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</si>
  <si>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</si>
  <si>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</si>
  <si>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</si>
  <si>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</si>
  <si>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</si>
  <si>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</si>
  <si>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</si>
  <si>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</si>
  <si>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</si>
  <si>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</si>
  <si>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</si>
  <si>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317-Р</t>
  </si>
  <si>
    <t>Наименование органа регулирования, принявшего решение об утверждении тарифов</t>
  </si>
  <si>
    <t>Комитет по ценам и тарифам по Московской области</t>
  </si>
  <si>
    <t>Источник официального опубликования решения</t>
  </si>
  <si>
    <t>Сайт Комитета по ценам и тарифам Московской области  на Интернет-портале Правительства Московской области</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</si>
  <si>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</si>
  <si>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</si>
  <si>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Филиал "Шатурская ГРЭС" ПАО "Юнипро"</t>
  </si>
  <si>
    <t>Наименование (описание) обособленного подразделения</t>
  </si>
  <si>
    <t>ИНН</t>
  </si>
  <si>
    <t>8602067092</t>
  </si>
  <si>
    <t>КПП</t>
  </si>
  <si>
    <t>504902001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</si>
  <si>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</si>
  <si>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</si>
  <si>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</si>
  <si>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</si>
  <si>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</si>
  <si>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</si>
  <si>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</si>
  <si>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</si>
  <si>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</si>
  <si>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</si>
  <si>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</si>
  <si>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</si>
  <si>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</si>
  <si>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</si>
  <si>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</si>
  <si>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</si>
  <si>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</si>
  <si>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</si>
  <si>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140700, Московская область, г.Шатура, Черноозерский проезд, д.5.</t>
  </si>
  <si>
    <t>Фамилия, имя, отчество руководителя</t>
  </si>
  <si>
    <t>Овчинников Сергей Борисович</t>
  </si>
  <si>
    <t>Ответственный за заполнение формы</t>
  </si>
  <si>
    <t>Фамилия, имя, отчество</t>
  </si>
  <si>
    <t>Крапоткина Оксана Владимировна</t>
  </si>
  <si>
    <t>Должность</t>
  </si>
  <si>
    <t xml:space="preserve">начальник ПЭО </t>
  </si>
  <si>
    <t>Контактный телефон</t>
  </si>
  <si>
    <t>8 -49645-71106</t>
  </si>
  <si>
    <t>E-mail</t>
  </si>
  <si>
    <t>Krapotkina_OV@unipro.energy</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</si>
  <si>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</si>
  <si>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</si>
  <si>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</si>
  <si>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</si>
  <si>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</si>
  <si>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</si>
  <si>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</si>
  <si>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</si>
  <si>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</si>
  <si>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</si>
  <si>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</si>
  <si>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</si>
  <si>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</si>
  <si>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</si>
  <si>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</si>
  <si>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</si>
  <si>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329</t>
  </si>
  <si>
    <t>Шатура</t>
  </si>
  <si>
    <t>46786000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</si>
  <si>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</si>
  <si>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</si>
  <si>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</si>
  <si>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</si>
  <si>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</si>
  <si>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</si>
  <si>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</si>
  <si>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</si>
  <si>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</si>
  <si>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</si>
  <si>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</si>
  <si>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</si>
  <si>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</si>
  <si>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</si>
  <si>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</si>
  <si>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</si>
  <si>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</si>
  <si>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</si>
  <si>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</si>
  <si>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</si>
  <si>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</si>
  <si>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</si>
  <si>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</si>
  <si>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</si>
  <si>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</si>
  <si>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</si>
  <si>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</si>
  <si>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</si>
  <si>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</si>
  <si>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</si>
  <si>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</si>
  <si>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</si>
  <si>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</si>
  <si>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</si>
  <si>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</si>
  <si>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</si>
  <si>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</si>
  <si>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</si>
  <si>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</si>
  <si>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</si>
  <si>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</si>
  <si>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</si>
  <si>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</si>
  <si>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</si>
  <si>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</si>
  <si>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</si>
  <si>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</si>
  <si>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</si>
  <si>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</si>
  <si>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</si>
  <si>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</si>
  <si>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</si>
  <si>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</si>
  <si>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</si>
  <si>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</si>
  <si>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</si>
  <si>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</si>
  <si>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</si>
  <si>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</si>
  <si>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</si>
  <si>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</si>
  <si>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</si>
  <si>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</si>
  <si>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</si>
  <si>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</si>
  <si>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</si>
  <si>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</si>
  <si>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</si>
  <si>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</si>
  <si>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</si>
  <si>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</si>
  <si>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</si>
  <si>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</si>
  <si>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</si>
  <si>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</si>
  <si>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</si>
  <si>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</si>
  <si>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</si>
  <si>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</si>
  <si>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</si>
  <si>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</si>
  <si>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</si>
  <si>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</si>
  <si>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</si>
  <si>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</si>
  <si>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</si>
  <si>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</si>
  <si>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</si>
  <si>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</si>
  <si>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</si>
  <si>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</si>
  <si>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</si>
  <si>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</si>
  <si>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</si>
  <si>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</si>
  <si>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</si>
  <si>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</si>
  <si>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</si>
  <si>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</si>
  <si>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</si>
  <si>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</si>
  <si>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</si>
  <si>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</si>
  <si>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</si>
  <si>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</si>
  <si>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</si>
  <si>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</si>
  <si>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</si>
  <si>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</si>
  <si>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</si>
  <si>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</si>
  <si>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</si>
  <si>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</si>
  <si>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</si>
  <si>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</si>
  <si>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</si>
  <si>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</si>
  <si>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</si>
  <si>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</si>
  <si>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</si>
  <si>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</si>
  <si>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</si>
  <si>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</si>
  <si>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</si>
  <si>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</si>
  <si>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</si>
  <si>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</si>
  <si>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</si>
  <si>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</si>
  <si>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</si>
  <si>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</si>
  <si>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</si>
  <si>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</si>
  <si>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</si>
  <si>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</si>
  <si>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</si>
  <si>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</si>
  <si>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</si>
  <si>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</si>
  <si>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</si>
  <si>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</si>
  <si>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</si>
  <si>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</si>
  <si>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</si>
  <si>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</si>
  <si>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</si>
  <si>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Тарифы на горячую воду в закрытых системах горячего водоснабжения</t>
  </si>
  <si>
    <t>4189706</t>
  </si>
  <si>
    <t>pIns_PT_VTAR_A_HOTVSNA</t>
  </si>
  <si>
    <t>pt_ntar_14</t>
  </si>
  <si>
    <t>pt_ter_14</t>
  </si>
  <si>
    <t>pt_cs_14</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</si>
  <si>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</si>
  <si>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</si>
  <si>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</si>
  <si>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</si>
  <si>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</si>
  <si>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</si>
  <si>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</si>
  <si>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</si>
  <si>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</si>
  <si>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</si>
  <si>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</si>
  <si>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</si>
  <si>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</si>
  <si>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</si>
  <si>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</si>
  <si>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</si>
  <si>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</si>
  <si>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</si>
  <si>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</si>
  <si>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</si>
  <si>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</si>
  <si>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</si>
  <si>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</si>
  <si>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</si>
  <si>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</si>
  <si>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</si>
  <si>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</si>
  <si>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</si>
  <si>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</si>
  <si>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</si>
  <si>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</si>
  <si>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</si>
  <si>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</si>
  <si>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</si>
  <si>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</si>
  <si>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</si>
  <si>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</si>
  <si>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</si>
  <si>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</si>
  <si>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</si>
  <si>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</si>
  <si>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</si>
  <si>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</si>
  <si>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</si>
  <si>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</si>
  <si>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</si>
  <si>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</si>
  <si>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</si>
  <si>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</si>
  <si>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</si>
  <si>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</si>
  <si>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</si>
  <si>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</si>
  <si>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</si>
  <si>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</si>
  <si>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</si>
  <si>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</si>
  <si>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</si>
  <si>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</si>
  <si>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</si>
  <si>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</si>
  <si>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</si>
  <si>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</si>
  <si>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</si>
  <si>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</si>
  <si>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</si>
  <si>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</si>
  <si>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</si>
  <si>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</si>
  <si>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</si>
  <si>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</si>
  <si>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</si>
  <si>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</si>
  <si>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</si>
  <si>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</si>
  <si>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</si>
  <si>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</si>
  <si>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</si>
  <si>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</si>
  <si>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</si>
  <si>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</si>
  <si>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</si>
  <si>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</si>
  <si>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</si>
  <si>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</si>
  <si>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</si>
  <si>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</si>
  <si>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</si>
  <si>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</si>
  <si>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</si>
  <si>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</si>
  <si>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</si>
  <si>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</si>
  <si>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</si>
  <si>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</si>
  <si>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</si>
  <si>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</si>
  <si>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</si>
  <si>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</si>
  <si>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</si>
  <si>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</si>
  <si>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</si>
  <si>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</si>
  <si>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</si>
  <si>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</si>
  <si>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</si>
  <si>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</si>
  <si>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</si>
  <si>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</si>
  <si>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</si>
  <si>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</si>
  <si>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</si>
  <si>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</si>
  <si>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</si>
  <si>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</si>
  <si>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</si>
  <si>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</si>
  <si>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</si>
  <si>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</si>
  <si>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</si>
  <si>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</si>
  <si>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</si>
  <si>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</si>
  <si>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</si>
  <si>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</si>
  <si>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</si>
  <si>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</si>
  <si>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</si>
  <si>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</si>
  <si>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</si>
  <si>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</si>
  <si>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</si>
  <si>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</si>
  <si>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</si>
  <si>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</si>
  <si>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</si>
  <si>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</si>
  <si>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</si>
  <si>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</si>
  <si>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</si>
  <si>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</si>
  <si>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</si>
  <si>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</si>
  <si>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</si>
  <si>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</si>
  <si>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</si>
  <si>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</si>
  <si>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</si>
  <si>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</si>
  <si>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</si>
  <si>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</si>
  <si>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</si>
  <si>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</si>
  <si>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</si>
  <si>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</si>
  <si>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</si>
  <si>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</si>
  <si>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</si>
  <si>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</si>
  <si>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</si>
  <si>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</si>
  <si>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</si>
  <si>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</si>
  <si>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</si>
  <si>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</si>
  <si>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</si>
  <si>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</si>
  <si>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</si>
  <si>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</si>
  <si>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</si>
  <si>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</si>
  <si>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</si>
  <si>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</si>
  <si>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</si>
  <si>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</si>
  <si>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</si>
  <si>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</si>
  <si>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</si>
  <si>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</si>
  <si>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</si>
  <si>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</si>
  <si>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</si>
  <si>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</si>
  <si>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</si>
  <si>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</si>
  <si>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</si>
  <si>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</si>
  <si>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</si>
  <si>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</si>
  <si>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</si>
  <si>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</si>
  <si>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</si>
  <si>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</si>
  <si>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</si>
  <si>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</si>
  <si>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</si>
  <si>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</si>
  <si>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</si>
  <si>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</si>
  <si>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</si>
  <si>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</si>
  <si>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</si>
  <si>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</si>
  <si>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</si>
  <si>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</si>
  <si>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</si>
  <si>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</si>
  <si>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</si>
  <si>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</si>
  <si>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</si>
  <si>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</si>
  <si>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</si>
  <si>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</si>
  <si>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</si>
  <si>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</si>
  <si>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</si>
  <si>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</si>
  <si>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</si>
  <si>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</si>
  <si>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</si>
  <si>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</si>
  <si>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</si>
  <si>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</si>
  <si>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</si>
  <si>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</si>
  <si>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</si>
  <si>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</si>
  <si>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</si>
  <si>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</si>
  <si>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</si>
  <si>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</si>
  <si>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</si>
  <si>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</si>
  <si>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</si>
  <si>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</si>
  <si>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</si>
  <si>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</si>
  <si>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</si>
  <si>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</si>
  <si>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</si>
  <si>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</si>
  <si>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</si>
  <si>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</si>
  <si>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</si>
  <si>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</si>
  <si>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</si>
  <si>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</si>
  <si>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</si>
  <si>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</si>
  <si>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</si>
  <si>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</si>
  <si>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</si>
  <si>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</si>
  <si>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</si>
  <si>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</si>
  <si>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</si>
  <si>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</si>
  <si>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</si>
  <si>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</si>
  <si>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</si>
  <si>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</si>
  <si>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</si>
  <si>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</si>
  <si>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</si>
  <si>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</si>
  <si>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</si>
  <si>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</si>
  <si>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</si>
  <si>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</si>
  <si>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</si>
  <si>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</si>
  <si>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</si>
  <si>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</si>
  <si>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</si>
  <si>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</si>
  <si>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</si>
  <si>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</si>
  <si>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</si>
  <si>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</si>
  <si>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</si>
  <si>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</si>
  <si>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</si>
  <si>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</si>
  <si>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</si>
  <si>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</si>
  <si>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</si>
  <si>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</si>
  <si>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</si>
  <si>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</si>
  <si>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</si>
  <si>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</si>
  <si>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прочие</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</si>
  <si>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</si>
  <si>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</si>
  <si>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</si>
  <si>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</si>
  <si>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</si>
  <si>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</si>
  <si>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</si>
  <si>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</si>
  <si>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</si>
  <si>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</si>
  <si>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</si>
  <si>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</si>
  <si>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</si>
  <si>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</si>
  <si>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</si>
  <si>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</si>
  <si>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</si>
  <si>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</si>
  <si>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</si>
  <si>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</si>
  <si>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</si>
  <si>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</si>
  <si>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</si>
  <si>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</si>
  <si>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</si>
  <si>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</si>
  <si>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</si>
  <si>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</si>
  <si>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</si>
  <si>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</si>
  <si>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</si>
  <si>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</si>
  <si>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</si>
  <si>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</si>
  <si>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</si>
  <si>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</si>
  <si>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</si>
  <si>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</si>
  <si>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</si>
  <si>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</si>
  <si>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</si>
  <si>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</si>
  <si>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</si>
  <si>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</si>
  <si>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</si>
  <si>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</si>
  <si>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</si>
  <si>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</si>
  <si>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</si>
  <si>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</si>
  <si>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</si>
  <si>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</si>
  <si>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</si>
  <si>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</si>
  <si>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</si>
  <si>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</si>
  <si>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</si>
  <si>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</si>
  <si>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</si>
  <si>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</si>
  <si>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</si>
  <si>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</si>
  <si>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</si>
  <si>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</si>
  <si>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</si>
  <si>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</si>
  <si>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</si>
  <si>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</si>
  <si>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</si>
  <si>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</si>
  <si>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</si>
  <si>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</si>
  <si>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</si>
  <si>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</si>
  <si>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</si>
  <si>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</si>
  <si>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</si>
  <si>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</si>
  <si>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</si>
  <si>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</si>
  <si>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</si>
  <si>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</si>
  <si>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</si>
  <si>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</si>
  <si>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</si>
  <si>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</si>
  <si>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</si>
  <si>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</si>
  <si>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</si>
  <si>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</si>
  <si>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</si>
  <si>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</si>
  <si>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</si>
  <si>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</si>
  <si>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</si>
  <si>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</si>
  <si>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</si>
  <si>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</si>
  <si>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</si>
  <si>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</si>
  <si>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</si>
  <si>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</si>
  <si>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</si>
  <si>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</si>
  <si>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</si>
  <si>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</si>
  <si>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</si>
  <si>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</si>
  <si>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</si>
  <si>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</si>
  <si>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</si>
  <si>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</si>
  <si>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</si>
  <si>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</si>
  <si>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</si>
  <si>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</si>
  <si>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</si>
  <si>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</si>
  <si>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</si>
  <si>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</si>
  <si>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</si>
  <si>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</si>
  <si>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</si>
  <si>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</si>
  <si>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</si>
  <si>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</si>
  <si>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</si>
  <si>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</si>
  <si>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</si>
  <si>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</si>
  <si>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</si>
  <si>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</si>
  <si>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</si>
  <si>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</si>
  <si>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</si>
  <si>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</si>
  <si>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</si>
  <si>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</si>
  <si>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</si>
  <si>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</si>
  <si>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</si>
  <si>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</si>
  <si>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</si>
  <si>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</si>
  <si>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</si>
  <si>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</si>
  <si>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</si>
  <si>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</si>
  <si>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</si>
  <si>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</si>
  <si>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</si>
  <si>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</si>
  <si>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</si>
  <si>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</si>
  <si>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</si>
  <si>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</si>
  <si>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</si>
  <si>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</si>
  <si>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</si>
  <si>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</si>
  <si>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</si>
  <si>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</si>
  <si>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</si>
  <si>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</si>
  <si>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</si>
  <si>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</si>
  <si>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</si>
  <si>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</si>
  <si>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</si>
  <si>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</si>
  <si>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</si>
  <si>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</si>
  <si>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</si>
  <si>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</si>
  <si>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</si>
  <si>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</si>
  <si>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</si>
  <si>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</si>
  <si>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</si>
  <si>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</si>
  <si>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</si>
  <si>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</si>
  <si>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</si>
  <si>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</si>
  <si>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</si>
  <si>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</si>
  <si>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</si>
  <si>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</si>
  <si>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</si>
  <si>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</si>
  <si>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</si>
  <si>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</si>
  <si>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</si>
  <si>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</si>
  <si>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</si>
  <si>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</si>
  <si>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</si>
  <si>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</si>
  <si>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</si>
  <si>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</si>
  <si>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</si>
  <si>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</si>
  <si>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</si>
  <si>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</si>
  <si>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</si>
  <si>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</si>
  <si>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</si>
  <si>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</si>
  <si>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</si>
  <si>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</si>
  <si>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</si>
  <si>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</si>
  <si>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</si>
  <si>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</si>
  <si>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</si>
  <si>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</si>
  <si>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</si>
  <si>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</si>
  <si>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</si>
  <si>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</si>
  <si>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</si>
  <si>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</si>
  <si>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</si>
  <si>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</si>
  <si>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</si>
  <si>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</si>
  <si>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</si>
  <si>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</si>
  <si>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</si>
  <si>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</si>
  <si>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</si>
  <si>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</si>
  <si>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</si>
  <si>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</si>
  <si>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</si>
  <si>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</si>
  <si>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</si>
  <si>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</si>
  <si>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</si>
  <si>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</si>
  <si>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</si>
  <si>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</si>
  <si>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</si>
  <si>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</si>
  <si>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</si>
  <si>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</si>
  <si>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</si>
  <si>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</si>
  <si>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</si>
  <si>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</si>
  <si>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</si>
  <si>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</si>
  <si>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</si>
  <si>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</si>
  <si>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</si>
  <si>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</si>
  <si>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</si>
  <si>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</si>
  <si>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</si>
  <si>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</si>
  <si>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</si>
  <si>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</si>
  <si>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</si>
  <si>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</si>
  <si>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</si>
  <si>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</si>
  <si>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</si>
  <si>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</si>
  <si>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</si>
  <si>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</si>
  <si>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</si>
  <si>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</si>
  <si>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</si>
  <si>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</si>
  <si>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</si>
  <si>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</si>
  <si>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</si>
  <si>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</si>
  <si>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</si>
  <si>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</si>
  <si>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</si>
  <si>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</si>
  <si>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</si>
  <si>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</si>
  <si>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</si>
  <si>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</si>
  <si>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</si>
  <si>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</si>
  <si>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</si>
  <si>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</si>
  <si>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</si>
  <si>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</si>
  <si>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</si>
  <si>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</si>
  <si>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</si>
  <si>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</si>
  <si>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</si>
  <si>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</si>
  <si>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</si>
  <si>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</si>
  <si>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</si>
  <si>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</si>
  <si>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</si>
  <si>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</si>
  <si>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</si>
  <si>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</si>
  <si>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</si>
  <si>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</si>
  <si>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</si>
  <si>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</si>
  <si>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</si>
  <si>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</si>
  <si>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</si>
  <si>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</si>
  <si>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</si>
  <si>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</si>
  <si>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</si>
  <si>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</si>
  <si>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</si>
  <si>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</si>
  <si>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</si>
  <si>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</si>
  <si>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</si>
  <si>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</si>
  <si>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</si>
  <si>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</si>
  <si>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</si>
  <si>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</si>
  <si>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</si>
  <si>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</si>
  <si>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</si>
  <si>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</si>
  <si>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</si>
  <si>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</si>
  <si>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</si>
  <si>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</si>
  <si>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</si>
  <si>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</si>
  <si>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</si>
  <si>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</si>
  <si>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</si>
  <si>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</si>
  <si>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</si>
  <si>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</si>
  <si>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</si>
  <si>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</si>
  <si>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</si>
  <si>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</si>
  <si>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</si>
  <si>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</si>
  <si>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</si>
  <si>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</si>
  <si>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</si>
  <si>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</si>
  <si>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</si>
  <si>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</si>
  <si>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</si>
  <si>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</si>
  <si>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</si>
  <si>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</si>
  <si>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</si>
  <si>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</si>
  <si>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</si>
  <si>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</si>
  <si>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</si>
  <si>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</si>
  <si>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</si>
  <si>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</si>
  <si>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</si>
  <si>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</si>
  <si>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</si>
  <si>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</si>
  <si>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</si>
  <si>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</si>
  <si>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</si>
  <si>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</si>
  <si>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</si>
  <si>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</si>
  <si>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</si>
  <si>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</si>
  <si>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</si>
  <si>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</si>
  <si>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</si>
  <si>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</si>
  <si>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</si>
  <si>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</si>
  <si>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</si>
  <si>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</si>
  <si>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</si>
  <si>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</si>
  <si>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</si>
  <si>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</si>
  <si>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</si>
  <si>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</si>
  <si>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</si>
  <si>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</si>
  <si>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</si>
  <si>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</si>
  <si>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</si>
  <si>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</si>
  <si>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</si>
  <si>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</si>
  <si>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</si>
  <si>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</si>
  <si>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</si>
  <si>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</si>
  <si>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</si>
  <si>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</si>
  <si>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</si>
  <si>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</si>
  <si>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</si>
  <si>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</si>
  <si>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</si>
  <si>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</si>
  <si>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</si>
  <si>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</si>
  <si>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</si>
  <si>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</si>
  <si>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</si>
  <si>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</si>
  <si>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</si>
  <si>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</si>
  <si>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</si>
  <si>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</si>
  <si>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</si>
  <si>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</si>
  <si>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</si>
  <si>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</si>
  <si>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</si>
  <si>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</si>
  <si>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</si>
  <si>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</si>
  <si>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</si>
  <si>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</si>
  <si>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</si>
  <si>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</si>
  <si>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</si>
  <si>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</si>
  <si>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</si>
  <si>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</si>
  <si>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</si>
  <si>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</si>
  <si>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</si>
  <si>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</si>
  <si>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</si>
  <si>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</si>
  <si>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</si>
  <si>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</si>
  <si>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</si>
  <si>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</si>
  <si>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</si>
  <si>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</si>
  <si>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</si>
  <si>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</si>
  <si>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</si>
  <si>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</si>
  <si>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</si>
  <si>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</si>
  <si>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</si>
  <si>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</si>
  <si>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</si>
  <si>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</si>
  <si>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</si>
  <si>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</si>
  <si>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</si>
  <si>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</si>
  <si>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</si>
  <si>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</si>
  <si>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</si>
  <si>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</si>
  <si>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</si>
  <si>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</si>
  <si>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</si>
  <si>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</si>
  <si>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</si>
  <si>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</si>
  <si>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</si>
  <si>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</si>
  <si>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</si>
  <si>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</si>
  <si>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</si>
  <si>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</si>
  <si>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</si>
  <si>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</si>
  <si>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</si>
  <si>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</si>
  <si>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</si>
  <si>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</si>
  <si>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</si>
  <si>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</si>
  <si>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</si>
  <si>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</si>
  <si>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</si>
  <si>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</si>
  <si>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</si>
  <si>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</si>
  <si>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</si>
  <si>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</si>
  <si>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</si>
  <si>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</si>
  <si>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</si>
  <si>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</si>
  <si>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</si>
  <si>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</si>
  <si>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</si>
  <si>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</si>
  <si>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</si>
  <si>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</si>
  <si>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</si>
  <si>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</si>
  <si>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https://www.unipro.energy/activities/tariff/warm/shaturskaya/2024/</t>
  </si>
  <si>
    <t>https://portal.eias.ru/Portal/DownloadPage.aspx?type=12&amp;guid=8aed9864-b387-4de7-8489-111e1522b5ca</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</si>
  <si>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</si>
  <si>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https://portal.eias.ru/Portal/DownloadPage.aspx?type=12&amp;guid=cc9aab10-8593-4f8e-b3fb-41354e8eaef9</t>
  </si>
  <si>
    <t>Перечень документов и сведений, представляемых одновременно с заявкой о подключении к централизованной системе горячего водоснабжения</t>
  </si>
  <si>
    <t>https://portal.eias.ru/Portal/DownloadPage.aspx?type=12&amp;guid=33163908-1583-423f-826c-d846b5ca9deb</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</si>
  <si>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</si>
  <si>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07.12.2011 №416-ФЗ «О водоснабжении и водоотведении»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</si>
  <si>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</si>
  <si>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Правилами горячего водоснабжения», утвержденных постановлением Правительства Российской Федерации от 29.07.2013 №642</t>
  </si>
  <si>
    <t>Постановлением Правительства РФ от 30.11.2021 №2130 «Об утверждении правил подключения (технологического присоединения) объектов капитального строительства к централизованным системам горячего водоснабжения, холодного водоснабжения и (или) водоотведения, о внесении изменений в отдельные акты Правительства Российской Федерации и признании утратившими силу отдельных актов Правительства Российской Федерации и положений отдельных актов Правительства Российской Федерации»</t>
  </si>
  <si>
    <t>5.1.1</t>
  </si>
  <si>
    <t>8(49645)71409</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</si>
  <si>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</si>
  <si>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</si>
  <si>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Моск.область, г.Шатура, Проспект Ильича, д.4</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</si>
  <si>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</si>
  <si>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00:08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</si>
  <si>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</si>
  <si>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</si>
  <si>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</si>
  <si>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</si>
  <si>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</si>
  <si>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</si>
  <si>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</si>
  <si>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</si>
  <si>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pt_ntar_26</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</si>
  <si>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</si>
  <si>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</si>
  <si>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</si>
  <si>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</si>
  <si>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</si>
  <si>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</si>
  <si>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</si>
  <si>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</si>
  <si>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</si>
  <si>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</si>
  <si>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</si>
  <si>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</si>
  <si>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</si>
  <si>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</si>
  <si>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</si>
  <si>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</si>
  <si>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</si>
  <si>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</si>
  <si>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</si>
  <si>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</si>
  <si>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</si>
  <si>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</si>
  <si>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</si>
  <si>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</si>
  <si>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</si>
  <si>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</si>
  <si>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</si>
  <si>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</si>
  <si>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</si>
  <si>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</si>
  <si>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</si>
  <si>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</si>
  <si>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</si>
  <si>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</si>
  <si>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</si>
  <si>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</si>
  <si>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</si>
  <si>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</si>
  <si>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</si>
  <si>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</si>
  <si>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</si>
  <si>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</si>
  <si>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</si>
  <si>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</si>
  <si>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</si>
  <si>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</si>
  <si>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</si>
  <si>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</si>
  <si>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</si>
  <si>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</si>
  <si>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</si>
  <si>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</si>
  <si>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</si>
  <si>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</si>
  <si>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</si>
  <si>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</si>
  <si>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</si>
  <si>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</si>
  <si>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</si>
  <si>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</si>
  <si>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</si>
  <si>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</si>
  <si>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</si>
  <si>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</si>
  <si>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</si>
  <si>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</si>
  <si>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</si>
  <si>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</si>
  <si>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</si>
  <si>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</si>
  <si>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</si>
  <si>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</si>
  <si>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</si>
  <si>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</si>
  <si>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</si>
  <si>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</si>
  <si>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</si>
  <si>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</si>
  <si>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</si>
  <si>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</si>
  <si>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</si>
  <si>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</si>
  <si>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</si>
  <si>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</si>
  <si>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</si>
  <si>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</si>
  <si>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</si>
  <si>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</si>
  <si>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</si>
  <si>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</si>
  <si>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</si>
  <si>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</si>
  <si>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</si>
  <si>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</si>
  <si>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</si>
  <si>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</si>
  <si>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</si>
  <si>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</si>
  <si>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</si>
  <si>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</si>
  <si>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</si>
  <si>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</si>
  <si>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</si>
  <si>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</si>
  <si>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</si>
  <si>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</si>
  <si>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</si>
  <si>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</si>
  <si>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</si>
  <si>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</si>
  <si>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</si>
  <si>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</si>
  <si>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</si>
  <si>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</si>
  <si>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</si>
  <si>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</si>
  <si>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</si>
  <si>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</si>
  <si>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</si>
  <si>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</si>
  <si>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</si>
  <si>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</si>
  <si>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</si>
  <si>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</si>
  <si>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</si>
  <si>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</si>
  <si>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</si>
  <si>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</si>
  <si>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</si>
  <si>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</si>
  <si>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</si>
  <si>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</si>
  <si>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</si>
  <si>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</si>
  <si>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</si>
  <si>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</si>
  <si>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</si>
  <si>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</si>
  <si>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</si>
  <si>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</si>
  <si>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</si>
  <si>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</si>
  <si>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</si>
  <si>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</si>
  <si>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</si>
  <si>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</si>
  <si>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</si>
  <si>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</si>
  <si>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</si>
  <si>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</si>
  <si>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</si>
  <si>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</si>
  <si>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</si>
  <si>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</si>
  <si>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</si>
  <si>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</si>
  <si>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</si>
  <si>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</si>
  <si>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</si>
  <si>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</si>
  <si>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</si>
  <si>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</si>
  <si>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</si>
  <si>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</si>
  <si>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</si>
  <si>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</si>
  <si>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</si>
  <si>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</si>
  <si>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</si>
  <si>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</si>
  <si>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</si>
  <si>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</si>
  <si>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</si>
  <si>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</si>
  <si>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</si>
  <si>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</si>
  <si>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</si>
  <si>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</si>
  <si>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</si>
  <si>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</si>
  <si>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</si>
  <si>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</si>
  <si>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</si>
  <si>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</si>
  <si>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</si>
  <si>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</si>
  <si>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</si>
  <si>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</si>
  <si>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</si>
  <si>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</si>
  <si>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</si>
  <si>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</si>
  <si>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</si>
  <si>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</si>
  <si>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</si>
  <si>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</si>
  <si>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</si>
  <si>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</si>
  <si>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</si>
  <si>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</si>
  <si>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</si>
  <si>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</si>
  <si>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</si>
  <si>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</si>
  <si>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</si>
  <si>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</si>
  <si>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</si>
  <si>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</si>
  <si>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</si>
  <si>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</si>
  <si>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</si>
  <si>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</si>
  <si>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</si>
  <si>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</si>
  <si>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</si>
  <si>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</si>
  <si>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</si>
  <si>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</si>
  <si>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</si>
  <si>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</si>
  <si>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</si>
  <si>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</si>
  <si>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</si>
  <si>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</si>
  <si>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</si>
  <si>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</si>
  <si>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</si>
  <si>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</si>
  <si>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</si>
  <si>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</si>
  <si>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</si>
  <si>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</si>
  <si>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</si>
  <si>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</si>
  <si>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</si>
  <si>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</si>
  <si>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</si>
  <si>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</si>
  <si>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</si>
  <si>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</si>
  <si>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</si>
  <si>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</si>
  <si>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</si>
  <si>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</si>
  <si>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</si>
  <si>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</si>
  <si>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</si>
  <si>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</si>
  <si>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</si>
  <si>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</si>
  <si>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</si>
  <si>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</si>
  <si>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</si>
  <si>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</si>
  <si>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</si>
  <si>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</si>
  <si>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</si>
  <si>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</si>
  <si>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</si>
  <si>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</si>
  <si>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</si>
  <si>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</si>
  <si>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</si>
  <si>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</si>
  <si>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</si>
  <si>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</si>
  <si>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</si>
  <si>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</si>
  <si>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</si>
  <si>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</si>
  <si>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</si>
  <si>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</si>
  <si>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</si>
  <si>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</si>
  <si>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</si>
  <si>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</si>
  <si>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</si>
  <si>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</si>
  <si>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</si>
  <si>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</si>
  <si>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</si>
  <si>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</si>
  <si>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</si>
  <si>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</si>
  <si>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</si>
  <si>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</si>
  <si>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</si>
  <si>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</si>
  <si>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</si>
  <si>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</si>
  <si>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</si>
  <si>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</si>
  <si>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</si>
  <si>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</si>
  <si>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</si>
  <si>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</si>
  <si>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</si>
  <si>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</si>
  <si>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</si>
  <si>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</si>
  <si>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</si>
  <si>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</si>
  <si>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</si>
  <si>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</si>
  <si>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</si>
  <si>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</si>
  <si>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</si>
  <si>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</si>
  <si>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</si>
  <si>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</si>
  <si>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</si>
  <si>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</si>
  <si>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</si>
  <si>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</si>
  <si>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</si>
  <si>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</si>
  <si>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</si>
  <si>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</si>
  <si>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</si>
  <si>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</si>
  <si>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</si>
  <si>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</si>
  <si>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</si>
  <si>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</si>
  <si>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</si>
  <si>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</si>
  <si>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</si>
  <si>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</si>
  <si>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</si>
  <si>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</si>
  <si>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</si>
  <si>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</si>
  <si>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</si>
  <si>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</si>
  <si>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</si>
  <si>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</si>
  <si>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</si>
  <si>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</si>
  <si>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</si>
  <si>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</si>
  <si>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</si>
  <si>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</si>
  <si>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</si>
  <si>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</si>
  <si>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</si>
  <si>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</si>
  <si>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</si>
  <si>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</si>
  <si>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</si>
  <si>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</si>
  <si>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</si>
  <si>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</si>
  <si>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</si>
  <si>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</si>
  <si>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</si>
  <si>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</si>
  <si>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</si>
  <si>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</si>
  <si>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</si>
  <si>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</si>
  <si>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</si>
  <si>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</si>
  <si>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</si>
  <si>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</si>
  <si>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</si>
  <si>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</si>
  <si>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</si>
  <si>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</si>
  <si>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</si>
  <si>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</si>
  <si>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</si>
  <si>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</si>
  <si>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</si>
  <si>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</si>
  <si>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</si>
  <si>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</si>
  <si>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</si>
  <si>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</si>
  <si>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</si>
  <si>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</si>
  <si>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</si>
  <si>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</si>
  <si>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</si>
  <si>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</si>
  <si>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</si>
  <si>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</si>
  <si>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</si>
  <si>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</si>
  <si>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</si>
  <si>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</si>
  <si>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</si>
  <si>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</si>
  <si>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</si>
  <si>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</si>
  <si>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</si>
  <si>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</si>
  <si>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</si>
  <si>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</si>
  <si>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</si>
  <si>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</si>
  <si>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</si>
  <si>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</si>
  <si>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</si>
  <si>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</si>
  <si>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</si>
  <si>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</si>
  <si>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</si>
  <si>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</si>
  <si>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</si>
  <si>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</si>
  <si>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</si>
  <si>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</si>
  <si>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</si>
  <si>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</si>
  <si>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</si>
  <si>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</si>
  <si>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</si>
  <si>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</si>
  <si>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</si>
  <si>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</si>
  <si>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</si>
  <si>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</si>
  <si>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</si>
  <si>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</si>
  <si>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</si>
  <si>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</si>
  <si>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</si>
  <si>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</si>
  <si>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</si>
  <si>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</si>
  <si>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</si>
  <si>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</si>
  <si>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</si>
  <si>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</si>
  <si>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</si>
  <si>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</si>
  <si>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</si>
  <si>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</si>
  <si>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</si>
  <si>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</si>
  <si>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</si>
  <si>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</si>
  <si>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</si>
  <si>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</si>
  <si>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</si>
  <si>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</si>
  <si>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</si>
  <si>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</si>
  <si>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</si>
  <si>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</si>
  <si>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</si>
  <si>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</si>
  <si>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</si>
  <si>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</si>
  <si>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</si>
  <si>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</si>
  <si>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</si>
  <si>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</si>
  <si>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</si>
  <si>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</si>
  <si>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</si>
  <si>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</si>
  <si>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</si>
  <si>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</si>
  <si>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</si>
  <si>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</si>
  <si>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</si>
  <si>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</si>
  <si>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</si>
  <si>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</si>
  <si>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</si>
  <si>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</si>
  <si>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</si>
  <si>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</si>
  <si>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</si>
  <si>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</si>
  <si>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</si>
  <si>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</si>
  <si>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</si>
  <si>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</si>
  <si>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</si>
  <si>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</si>
  <si>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</si>
  <si>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</si>
  <si>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</si>
  <si>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</si>
  <si>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</si>
  <si>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</si>
  <si>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</si>
  <si>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</si>
  <si>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</si>
  <si>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</si>
  <si>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</si>
  <si>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</si>
  <si>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</si>
  <si>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</si>
  <si>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</si>
  <si>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</si>
  <si>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</si>
  <si>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</si>
  <si>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</si>
  <si>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</si>
  <si>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</si>
  <si>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</si>
  <si>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</si>
  <si>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</si>
  <si>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</si>
  <si>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</si>
  <si>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</si>
  <si>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</si>
  <si>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</si>
  <si>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</si>
  <si>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</si>
  <si>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</si>
  <si>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</si>
  <si>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</si>
  <si>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</si>
  <si>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</si>
  <si>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</si>
  <si>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</si>
  <si>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</si>
  <si>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</si>
  <si>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</si>
  <si>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</si>
  <si>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</si>
  <si>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</si>
  <si>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</si>
  <si>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</si>
  <si>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</si>
  <si>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</si>
  <si>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</si>
  <si>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</si>
  <si>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</si>
  <si>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</si>
  <si>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</si>
  <si>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</si>
  <si>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</si>
  <si>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</si>
  <si>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</si>
  <si>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</si>
  <si>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</si>
  <si>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</si>
  <si>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</si>
  <si>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</si>
  <si>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</si>
  <si>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</si>
  <si>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</si>
  <si>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</si>
  <si>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</si>
  <si>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</si>
  <si>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</si>
  <si>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</si>
  <si>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</si>
  <si>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</si>
  <si>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</si>
  <si>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</si>
  <si>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</si>
  <si>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</si>
  <si>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</si>
  <si>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</si>
  <si>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</si>
  <si>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</si>
  <si>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</si>
  <si>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</si>
  <si>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</si>
  <si>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</si>
  <si>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</si>
  <si>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</si>
  <si>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</si>
  <si>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</si>
  <si>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</si>
  <si>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</si>
  <si>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</si>
  <si>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</si>
  <si>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</si>
  <si>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</si>
  <si>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</si>
  <si>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</si>
  <si>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</si>
  <si>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</si>
  <si>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</si>
  <si>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</si>
  <si>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</si>
  <si>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</si>
  <si>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</si>
  <si>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</si>
  <si>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</si>
  <si>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</si>
  <si>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</si>
  <si>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</si>
  <si>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</si>
  <si>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</si>
  <si>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</si>
  <si>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</si>
  <si>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</si>
  <si>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</si>
  <si>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</si>
  <si>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</si>
  <si>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</si>
  <si>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</si>
  <si>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</si>
  <si>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</si>
  <si>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</si>
  <si>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</si>
  <si>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</si>
  <si>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</si>
  <si>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</si>
  <si>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</si>
  <si>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</si>
  <si>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</si>
  <si>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</si>
  <si>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</si>
  <si>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</si>
  <si>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</si>
  <si>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</si>
  <si>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</si>
  <si>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</si>
  <si>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</si>
  <si>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</si>
  <si>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</si>
  <si>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</si>
  <si>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</si>
  <si>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</si>
  <si>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</si>
  <si>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</si>
  <si>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</si>
  <si>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</si>
  <si>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</si>
  <si>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</si>
  <si>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</si>
  <si>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</si>
  <si>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</si>
  <si>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</si>
  <si>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</si>
  <si>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</si>
  <si>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</si>
  <si>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</si>
  <si>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</si>
  <si>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</si>
  <si>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</si>
  <si>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</si>
  <si>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</si>
  <si>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</si>
  <si>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</si>
  <si>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</si>
  <si>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</si>
  <si>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</si>
  <si>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</si>
  <si>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</si>
  <si>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</si>
  <si>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</si>
  <si>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</si>
  <si>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</si>
  <si>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</si>
  <si>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</si>
  <si>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</si>
  <si>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</si>
  <si>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</si>
  <si>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</si>
  <si>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</si>
  <si>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</si>
  <si>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</si>
  <si>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</si>
  <si>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</si>
  <si>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</si>
  <si>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</si>
  <si>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</si>
  <si>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</si>
  <si>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</si>
  <si>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</si>
  <si>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</si>
  <si>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</si>
  <si>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</si>
  <si>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</si>
  <si>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</si>
  <si>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</si>
  <si>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</si>
  <si>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</si>
  <si>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</si>
  <si>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</si>
  <si>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</si>
  <si>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</si>
  <si>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</si>
  <si>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</si>
  <si>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</si>
  <si>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</si>
  <si>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</si>
  <si>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</si>
  <si>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</si>
  <si>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</si>
  <si>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</si>
  <si>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</si>
  <si>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</si>
  <si>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</si>
  <si>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</si>
  <si>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</si>
  <si>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</si>
  <si>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</si>
  <si>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</si>
  <si>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</si>
  <si>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</si>
  <si>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</si>
  <si>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</si>
  <si>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</si>
  <si>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</si>
  <si>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</si>
  <si>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</si>
  <si>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</si>
  <si>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</si>
  <si>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</si>
  <si>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</si>
  <si>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</si>
  <si>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</si>
  <si>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</si>
  <si>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</si>
  <si>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</si>
  <si>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</si>
  <si>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</si>
  <si>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</si>
  <si>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</si>
  <si>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</si>
  <si>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</si>
  <si>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</si>
  <si>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</si>
  <si>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</si>
  <si>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</si>
  <si>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</si>
  <si>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</si>
  <si>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</si>
  <si>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</si>
  <si>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</si>
  <si>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</si>
  <si>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</si>
  <si>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</si>
  <si>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</si>
  <si>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</si>
  <si>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</si>
  <si>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</si>
  <si>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</si>
  <si>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</si>
  <si>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</si>
  <si>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</si>
  <si>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</si>
  <si>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</si>
  <si>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</si>
  <si>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</si>
  <si>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</si>
  <si>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</si>
  <si>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</si>
  <si>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</si>
  <si>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</si>
  <si>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</si>
  <si>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</si>
  <si>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</si>
  <si>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</si>
  <si>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</si>
  <si>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</si>
  <si>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</si>
  <si>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</si>
  <si>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</si>
  <si>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</si>
  <si>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</si>
  <si>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</si>
  <si>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</si>
  <si>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</si>
  <si>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</si>
  <si>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</si>
  <si>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</si>
  <si>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</si>
  <si>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</si>
  <si>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</si>
  <si>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</si>
  <si>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</si>
  <si>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</si>
  <si>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</si>
  <si>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</si>
  <si>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</si>
  <si>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</si>
  <si>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</si>
  <si>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</si>
  <si>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</si>
  <si>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</si>
  <si>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</si>
  <si>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</si>
  <si>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</si>
  <si>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</si>
  <si>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</si>
  <si>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</si>
  <si>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</si>
  <si>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</si>
  <si>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</si>
  <si>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</si>
  <si>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</si>
  <si>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</si>
  <si>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</si>
  <si>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</si>
  <si>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</si>
  <si>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</si>
  <si>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</si>
  <si>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</si>
  <si>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</si>
  <si>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</si>
  <si>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</si>
  <si>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</si>
  <si>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</si>
  <si>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</si>
  <si>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</si>
  <si>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</si>
  <si>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</si>
  <si>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</si>
  <si>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</si>
  <si>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</si>
  <si>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</si>
  <si>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</si>
  <si>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</si>
  <si>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</si>
  <si>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</si>
  <si>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</si>
  <si>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</si>
  <si>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</si>
  <si>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</si>
  <si>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</si>
  <si>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</si>
  <si>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</si>
  <si>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</si>
  <si>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</si>
  <si>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</si>
  <si>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</si>
  <si>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</si>
  <si>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</si>
  <si>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</si>
  <si>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</si>
  <si>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</si>
  <si>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</si>
  <si>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</si>
  <si>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</si>
  <si>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</si>
  <si>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</si>
  <si>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</si>
  <si>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</si>
  <si>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</si>
  <si>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</si>
  <si>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</si>
  <si>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</si>
  <si>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</si>
  <si>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</si>
  <si>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</si>
  <si>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</si>
  <si>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</si>
  <si>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</si>
  <si>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</si>
  <si>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</si>
  <si>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</si>
  <si>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</si>
  <si>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</si>
  <si>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</si>
  <si>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</si>
  <si>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</si>
  <si>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</si>
  <si>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</si>
  <si>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</si>
  <si>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</si>
  <si>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</si>
  <si>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</si>
  <si>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</si>
  <si>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</si>
  <si>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</si>
  <si>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</si>
  <si>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</si>
  <si>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</si>
  <si>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</si>
  <si>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</si>
  <si>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</si>
  <si>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</si>
  <si>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</si>
  <si>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</si>
  <si>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</si>
  <si>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</si>
  <si>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</si>
  <si>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</si>
  <si>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</si>
  <si>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</si>
  <si>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</si>
  <si>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</si>
  <si>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</si>
  <si>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</si>
  <si>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</si>
  <si>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</si>
  <si>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</si>
  <si>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</si>
  <si>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</si>
  <si>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</si>
  <si>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</si>
  <si>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</si>
  <si>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</si>
  <si>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</si>
  <si>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</si>
  <si>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</si>
  <si>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</si>
  <si>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</si>
  <si>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</si>
  <si>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</si>
  <si>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</si>
  <si>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</si>
  <si>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</si>
  <si>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</si>
  <si>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</si>
  <si>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</si>
  <si>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</si>
  <si>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</si>
  <si>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</si>
  <si>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</si>
  <si>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</si>
  <si>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</si>
  <si>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</si>
  <si>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</si>
  <si>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</si>
  <si>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</si>
  <si>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</si>
  <si>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</si>
  <si>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</si>
  <si>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</si>
  <si>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</si>
  <si>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</si>
  <si>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</si>
  <si>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</si>
  <si>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</si>
  <si>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</si>
  <si>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</si>
  <si>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</si>
  <si>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</si>
  <si>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</si>
  <si>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</si>
  <si>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</si>
  <si>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</si>
  <si>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</si>
  <si>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</si>
  <si>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</si>
  <si>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</si>
  <si>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</si>
  <si>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</si>
  <si>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</si>
  <si>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</si>
  <si>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</si>
  <si>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</si>
  <si>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</si>
  <si>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</si>
  <si>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</si>
  <si>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</si>
  <si>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</si>
  <si>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</si>
  <si>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</si>
  <si>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</si>
  <si>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</si>
  <si>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</si>
  <si>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</si>
  <si>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</si>
  <si>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</si>
  <si>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</si>
  <si>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</si>
  <si>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</si>
  <si>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</si>
  <si>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</si>
  <si>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</si>
  <si>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</si>
  <si>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</si>
  <si>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</si>
  <si>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</si>
  <si>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</si>
  <si>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</si>
  <si>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</si>
  <si>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</si>
  <si>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</si>
  <si>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</si>
  <si>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</si>
  <si>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</si>
  <si>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</si>
  <si>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</si>
  <si>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</si>
  <si>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</si>
  <si>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</si>
  <si>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</si>
  <si>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</si>
  <si>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</si>
  <si>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</si>
  <si>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</si>
  <si>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</si>
  <si>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</si>
  <si>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</si>
  <si>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</si>
  <si>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</si>
  <si>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</si>
  <si>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</si>
  <si>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</si>
  <si>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</si>
  <si>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</si>
  <si>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</si>
  <si>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</si>
  <si>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</si>
  <si>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</si>
  <si>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</si>
  <si>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</si>
  <si>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</si>
  <si>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</si>
  <si>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</si>
  <si>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</si>
  <si>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</si>
  <si>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</si>
  <si>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</si>
  <si>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</si>
  <si>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</si>
  <si>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</si>
  <si>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</si>
  <si>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</si>
  <si>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</si>
  <si>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</si>
  <si>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</si>
  <si>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</si>
  <si>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</si>
  <si>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</si>
  <si>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</si>
  <si>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</si>
  <si>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</si>
  <si>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</si>
  <si>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</si>
  <si>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</si>
  <si>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</si>
  <si>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</si>
  <si>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</si>
  <si>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</si>
  <si>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</si>
  <si>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</si>
  <si>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</si>
  <si>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</si>
  <si>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</si>
  <si>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</si>
  <si>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</si>
  <si>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</si>
  <si>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</si>
  <si>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</si>
  <si>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</si>
  <si>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</si>
  <si>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</si>
  <si>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</si>
  <si>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</si>
  <si>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</si>
  <si>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</si>
  <si>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</si>
  <si>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</si>
  <si>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</si>
  <si>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</si>
  <si>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</si>
  <si>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</si>
  <si>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</si>
  <si>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</si>
  <si>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</si>
  <si>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</si>
  <si>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</si>
  <si>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</si>
  <si>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</si>
  <si>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</si>
  <si>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</si>
  <si>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</si>
  <si>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</si>
  <si>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</si>
  <si>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</si>
  <si>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</si>
  <si>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</si>
  <si>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</si>
  <si>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</si>
  <si>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</si>
  <si>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</si>
  <si>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</si>
  <si>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</si>
  <si>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</si>
  <si>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</si>
  <si>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</si>
  <si>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</si>
  <si>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</si>
  <si>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</si>
  <si>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</si>
  <si>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</si>
  <si>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</si>
  <si>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</si>
  <si>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</si>
  <si>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</si>
  <si>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</si>
  <si>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</si>
  <si>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</si>
  <si>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</si>
  <si>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</si>
  <si>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</si>
  <si>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</si>
  <si>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</si>
  <si>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</si>
  <si>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</si>
  <si>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</si>
  <si>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</si>
  <si>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</si>
  <si>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</si>
  <si>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</si>
  <si>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</si>
  <si>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2596</t>
  </si>
  <si>
    <t>26513482</t>
  </si>
  <si>
    <t>192 КЭЧ района</t>
  </si>
  <si>
    <t>5003019471</t>
  </si>
  <si>
    <t>500301001</t>
  </si>
  <si>
    <t>31-12-2017 00:00:00</t>
  </si>
  <si>
    <t>26361023</t>
  </si>
  <si>
    <t>255 УНР филиал ФГУП "Ремонтно-эксплуатационное управление МО РФ"</t>
  </si>
  <si>
    <t>7714318063</t>
  </si>
  <si>
    <t>503202001</t>
  </si>
  <si>
    <t>26357532</t>
  </si>
  <si>
    <t>«а/к 1784» Филиал ГУП МО «Мострансавто» г. Дмитров</t>
  </si>
  <si>
    <t>5000000017</t>
  </si>
  <si>
    <t>500702001</t>
  </si>
  <si>
    <t>30-06-2019 00:00:00</t>
  </si>
  <si>
    <t>31335815</t>
  </si>
  <si>
    <t>А/К  1791</t>
  </si>
  <si>
    <t>5047227020</t>
  </si>
  <si>
    <t>504243001</t>
  </si>
  <si>
    <t>01-06-2019 00:00:00</t>
  </si>
  <si>
    <t>26357536</t>
  </si>
  <si>
    <t>А/К1791</t>
  </si>
  <si>
    <t>504202001</t>
  </si>
  <si>
    <t>31366000</t>
  </si>
  <si>
    <t>АНО "РСВ"</t>
  </si>
  <si>
    <t>9710063040</t>
  </si>
  <si>
    <t>504445001</t>
  </si>
  <si>
    <t>21-06-2018 00:00:00</t>
  </si>
  <si>
    <t>26357851</t>
  </si>
  <si>
    <t>АО "121 АРЗ"</t>
  </si>
  <si>
    <t>5032168904</t>
  </si>
  <si>
    <t>503201001</t>
  </si>
  <si>
    <t>07-05-2007 00:00:00</t>
  </si>
  <si>
    <t>26774699</t>
  </si>
  <si>
    <t>АО "175 ДОК"</t>
  </si>
  <si>
    <t>5024060150</t>
  </si>
  <si>
    <t>502401001</t>
  </si>
  <si>
    <t>11-08-2003 00:00:00</t>
  </si>
  <si>
    <t>26357765</t>
  </si>
  <si>
    <t>АО "198 КЖИ"</t>
  </si>
  <si>
    <t>5028002208</t>
  </si>
  <si>
    <t>502801001</t>
  </si>
  <si>
    <t>29-10-1998 00:00:00</t>
  </si>
  <si>
    <t>26505018</t>
  </si>
  <si>
    <t>АО "22 БТРЗ"</t>
  </si>
  <si>
    <t>5031087177</t>
  </si>
  <si>
    <t>503101001</t>
  </si>
  <si>
    <t>27-08-2009 00:00:00</t>
  </si>
  <si>
    <t>26357541</t>
  </si>
  <si>
    <t>АО "345 Механический завод"</t>
  </si>
  <si>
    <t>5001000059</t>
  </si>
  <si>
    <t>500101001</t>
  </si>
  <si>
    <t>26511968</t>
  </si>
  <si>
    <t>АО "99 Завод Авиационного технологического оборудования"</t>
  </si>
  <si>
    <t>5051001072</t>
  </si>
  <si>
    <t>505101001</t>
  </si>
  <si>
    <t>31-12-2020 00:00:00</t>
  </si>
  <si>
    <t>26357816</t>
  </si>
  <si>
    <t>АО "Агрокомплекс Горки-2"</t>
  </si>
  <si>
    <t>5032000193</t>
  </si>
  <si>
    <t>26357606</t>
  </si>
  <si>
    <t>АО "Агромехсервис"</t>
  </si>
  <si>
    <t>5007006667</t>
  </si>
  <si>
    <t>500701001</t>
  </si>
  <si>
    <t>29-01-1993 00:00:00</t>
  </si>
  <si>
    <t>26358038</t>
  </si>
  <si>
    <t>АО "БШФ"</t>
  </si>
  <si>
    <t>5072701131</t>
  </si>
  <si>
    <t>507201001</t>
  </si>
  <si>
    <t>18-12-1992 00:00:00</t>
  </si>
  <si>
    <t>31-05-2020 00:00:00</t>
  </si>
  <si>
    <t>26357799</t>
  </si>
  <si>
    <t>АО "БЭЗ"</t>
  </si>
  <si>
    <t>5031013256</t>
  </si>
  <si>
    <t>20-06-2002 00:00:00</t>
  </si>
  <si>
    <t>26548015</t>
  </si>
  <si>
    <t>АО "Бецема"</t>
  </si>
  <si>
    <t>5024012580</t>
  </si>
  <si>
    <t>22-03-1991 00:00:00</t>
  </si>
  <si>
    <t>29649705</t>
  </si>
  <si>
    <t>АО "Бронницкий ТВК"</t>
  </si>
  <si>
    <t>5002004144</t>
  </si>
  <si>
    <t>500201001</t>
  </si>
  <si>
    <t>04-08-2015 00:00:00</t>
  </si>
  <si>
    <t>26361020</t>
  </si>
  <si>
    <t>АО "ВЕГЕТТА"</t>
  </si>
  <si>
    <t>7713070229</t>
  </si>
  <si>
    <t>504701001</t>
  </si>
  <si>
    <t>17-08-1992 00:00:00</t>
  </si>
  <si>
    <t>30991677</t>
  </si>
  <si>
    <t>АО "ВКС"</t>
  </si>
  <si>
    <t>5053039931</t>
  </si>
  <si>
    <t>505301001</t>
  </si>
  <si>
    <t>11-11-2015 00:00:00</t>
  </si>
  <si>
    <t>26357652</t>
  </si>
  <si>
    <t>АО "ВПК "НПО машиностроения"</t>
  </si>
  <si>
    <t>5012039795</t>
  </si>
  <si>
    <t>504101001</t>
  </si>
  <si>
    <t>28-02-2007 00:00:00</t>
  </si>
  <si>
    <t>26508615</t>
  </si>
  <si>
    <t>АО "ВТС"</t>
  </si>
  <si>
    <t>5005043328</t>
  </si>
  <si>
    <t>500501001</t>
  </si>
  <si>
    <t>07-06-2006 00:00:00</t>
  </si>
  <si>
    <t>27581214</t>
  </si>
  <si>
    <t>АО "Вектор плюс"</t>
  </si>
  <si>
    <t>5024099693</t>
  </si>
  <si>
    <t>15-10-2008 00:00:00</t>
  </si>
  <si>
    <t>26355858</t>
  </si>
  <si>
    <t>АО "Владимирская газовая компания"</t>
  </si>
  <si>
    <t>3302003469</t>
  </si>
  <si>
    <t>332701001</t>
  </si>
  <si>
    <t>26357825</t>
  </si>
  <si>
    <t>АО "Внуковский завод огнеупорных изделий"</t>
  </si>
  <si>
    <t>5032018384</t>
  </si>
  <si>
    <t>26510853</t>
  </si>
  <si>
    <t>АО "Волоколамское ПТП РЖКХ"</t>
  </si>
  <si>
    <t>5004021787</t>
  </si>
  <si>
    <t>500401001</t>
  </si>
  <si>
    <t>31-12-2008 00:00:00</t>
  </si>
  <si>
    <t>26777929</t>
  </si>
  <si>
    <t>АО "Воскресенские минеральные удобрения"</t>
  </si>
  <si>
    <t>5005000148</t>
  </si>
  <si>
    <t>05-02-1993 00:00:00</t>
  </si>
  <si>
    <t>01-03-2023 00:00:00</t>
  </si>
  <si>
    <t>26357605</t>
  </si>
  <si>
    <t>АО "ГАММА"</t>
  </si>
  <si>
    <t>5007006378</t>
  </si>
  <si>
    <t>23-04-1993 00:00:00</t>
  </si>
  <si>
    <t>28796046</t>
  </si>
  <si>
    <t>АО "ГТ Энерго"</t>
  </si>
  <si>
    <t>7703806647</t>
  </si>
  <si>
    <t>772801001</t>
  </si>
  <si>
    <t>30335229</t>
  </si>
  <si>
    <t>АО "ГУ ЖКХ"</t>
  </si>
  <si>
    <t>5116000922</t>
  </si>
  <si>
    <t>770401001</t>
  </si>
  <si>
    <t>26511491</t>
  </si>
  <si>
    <t>АО "Газпромнефть МЗСМ"</t>
  </si>
  <si>
    <t>5052012550</t>
  </si>
  <si>
    <t>505001001</t>
  </si>
  <si>
    <t>30872564</t>
  </si>
  <si>
    <t>АО "Главное управление обустройства войск"</t>
  </si>
  <si>
    <t>7703702341</t>
  </si>
  <si>
    <t>23-01-2017 00:00:00</t>
  </si>
  <si>
    <t>26357634</t>
  </si>
  <si>
    <t>АО "ДМЗ" им. Н.П.Федорова"</t>
  </si>
  <si>
    <t>5010030050</t>
  </si>
  <si>
    <t>501001001</t>
  </si>
  <si>
    <t>26357672</t>
  </si>
  <si>
    <t>АО "ДП "Истра-Нутриция"</t>
  </si>
  <si>
    <t>5017014392</t>
  </si>
  <si>
    <t>501701001</t>
  </si>
  <si>
    <t>12-07-1995 00:00:00</t>
  </si>
  <si>
    <t>26357906</t>
  </si>
  <si>
    <t>АО "Делфин груп"</t>
  </si>
  <si>
    <t>5038021231</t>
  </si>
  <si>
    <t>503801001</t>
  </si>
  <si>
    <t>05-10-1992 00:00:00</t>
  </si>
  <si>
    <t>26357619</t>
  </si>
  <si>
    <t>АО "ДоКон"</t>
  </si>
  <si>
    <t>5009003446</t>
  </si>
  <si>
    <t>500901001</t>
  </si>
  <si>
    <t>13-05-1994 00:00:00</t>
  </si>
  <si>
    <t>26357635</t>
  </si>
  <si>
    <t>АО "ЕзАТИ"</t>
  </si>
  <si>
    <t>5011000900</t>
  </si>
  <si>
    <t>501101001</t>
  </si>
  <si>
    <t>05-08-2021 00:00:00</t>
  </si>
  <si>
    <t>30983740</t>
  </si>
  <si>
    <t>АО "ЖИЛСЕРВИС"</t>
  </si>
  <si>
    <t>5075369524</t>
  </si>
  <si>
    <t>507501001</t>
  </si>
  <si>
    <t>11-12-2008 00:00:00</t>
  </si>
  <si>
    <t>26357819</t>
  </si>
  <si>
    <t>АО "Заречье" им.С.А.Кушнарева</t>
  </si>
  <si>
    <t>5032001366</t>
  </si>
  <si>
    <t>29-12-1993 00:00:00</t>
  </si>
  <si>
    <t>26511085</t>
  </si>
  <si>
    <t>АО "ЗиО-Подольск"</t>
  </si>
  <si>
    <t>5036040729</t>
  </si>
  <si>
    <t>503601001</t>
  </si>
  <si>
    <t>04-10-1999 00:00:00</t>
  </si>
  <si>
    <t>31462818</t>
  </si>
  <si>
    <t>АО "Ивантеевская Теплосеть"</t>
  </si>
  <si>
    <t>5038156503</t>
  </si>
  <si>
    <t>01-01-2021 00:00:00</t>
  </si>
  <si>
    <t>26357686</t>
  </si>
  <si>
    <t>АО "Истринская теплосеть"</t>
  </si>
  <si>
    <t>5017067757</t>
  </si>
  <si>
    <t>11-01-2007 00:00:00</t>
  </si>
  <si>
    <t>26357694</t>
  </si>
  <si>
    <t>АО "КЗМК"</t>
  </si>
  <si>
    <t>5019003188</t>
  </si>
  <si>
    <t>501901001</t>
  </si>
  <si>
    <t>16-07-1998 00:00:00</t>
  </si>
  <si>
    <t>31686643</t>
  </si>
  <si>
    <t>АО "КРОКУС ИНТЕРНЭШНЛ"</t>
  </si>
  <si>
    <t>7728115183</t>
  </si>
  <si>
    <t>10-12-1993 00:00:00</t>
  </si>
  <si>
    <t>30985860</t>
  </si>
  <si>
    <t>АО "КСИ"</t>
  </si>
  <si>
    <t>5038117416</t>
  </si>
  <si>
    <t>12-11-2015 00:00:00</t>
  </si>
  <si>
    <t>26357862</t>
  </si>
  <si>
    <t>АО "Карболит"</t>
  </si>
  <si>
    <t>5034050168</t>
  </si>
  <si>
    <t>503401001</t>
  </si>
  <si>
    <t>07-10-1992 00:00:00</t>
  </si>
  <si>
    <t>26548291</t>
  </si>
  <si>
    <t>АО "Клинический санаторий "Валуево"</t>
  </si>
  <si>
    <t>7710013582</t>
  </si>
  <si>
    <t>775101001</t>
  </si>
  <si>
    <t>26357757</t>
  </si>
  <si>
    <t>АО "Комбинат ЖКХ и благоустройства поселка Красково"</t>
  </si>
  <si>
    <t>5027248223</t>
  </si>
  <si>
    <t>502701001</t>
  </si>
  <si>
    <t>28-12-2016 00:00:00</t>
  </si>
  <si>
    <t>20-12-2020 00:00:00</t>
  </si>
  <si>
    <t>26358075</t>
  </si>
  <si>
    <t>АО "Корпорация "Тактическое ракетное вооружение"</t>
  </si>
  <si>
    <t>5099000013</t>
  </si>
  <si>
    <t>997850001</t>
  </si>
  <si>
    <t>26357732</t>
  </si>
  <si>
    <t>АО "Красногорская теплосеть"</t>
  </si>
  <si>
    <t>5024047494</t>
  </si>
  <si>
    <t>26357958</t>
  </si>
  <si>
    <t>АО "ЛЕПСЕ"</t>
  </si>
  <si>
    <t>5044000014</t>
  </si>
  <si>
    <t>504401001</t>
  </si>
  <si>
    <t>11-06-1999 00:00:00</t>
  </si>
  <si>
    <t>26357736</t>
  </si>
  <si>
    <t>АО "ЛЗСФ"</t>
  </si>
  <si>
    <t>5025001397</t>
  </si>
  <si>
    <t>04-03-1992 00:00:00</t>
  </si>
  <si>
    <t>26357797</t>
  </si>
  <si>
    <t>АО "ЛОК "Колонтаево"</t>
  </si>
  <si>
    <t>5031009115</t>
  </si>
  <si>
    <t>04-05-1995 00:00:00</t>
  </si>
  <si>
    <t>26773576</t>
  </si>
  <si>
    <t>АО "Легион"</t>
  </si>
  <si>
    <t>5042090319</t>
  </si>
  <si>
    <t>26514150</t>
  </si>
  <si>
    <t>АО "Люберецкая теплосеть"</t>
  </si>
  <si>
    <t>5027130221</t>
  </si>
  <si>
    <t>28-12-2007 00:00:00</t>
  </si>
  <si>
    <t>26358045</t>
  </si>
  <si>
    <t>АО "МАНП"</t>
  </si>
  <si>
    <t>5074002308</t>
  </si>
  <si>
    <t>26505074</t>
  </si>
  <si>
    <t>АО "МАШ"</t>
  </si>
  <si>
    <t>7712094033</t>
  </si>
  <si>
    <t>09-07-1996 00:00:00</t>
  </si>
  <si>
    <t>26361033</t>
  </si>
  <si>
    <t>АО "МВЗ им. М.Л. Миля"</t>
  </si>
  <si>
    <t>7718016666</t>
  </si>
  <si>
    <t>509950001</t>
  </si>
  <si>
    <t>08-02-1993 00:00:00</t>
  </si>
  <si>
    <t>31401287</t>
  </si>
  <si>
    <t>АО "МОСМЕК Недвижимость"</t>
  </si>
  <si>
    <t>5003137066</t>
  </si>
  <si>
    <t>09-12-2019 00:00:00</t>
  </si>
  <si>
    <t>28007395</t>
  </si>
  <si>
    <t>АО "МОЭГ"</t>
  </si>
  <si>
    <t>5012070724</t>
  </si>
  <si>
    <t>501201001</t>
  </si>
  <si>
    <t>12-12-2011 00:00:00</t>
  </si>
  <si>
    <t>26509676</t>
  </si>
  <si>
    <t>АО "МСИ"</t>
  </si>
  <si>
    <t>7708000794</t>
  </si>
  <si>
    <t>504802001</t>
  </si>
  <si>
    <t>28073137</t>
  </si>
  <si>
    <t>АО "МСК Инжиниринг"</t>
  </si>
  <si>
    <t>5027188045</t>
  </si>
  <si>
    <t>07-08-2012 00:00:00</t>
  </si>
  <si>
    <t>26357711</t>
  </si>
  <si>
    <t>АО "Мебельщик"</t>
  </si>
  <si>
    <t>5022013387</t>
  </si>
  <si>
    <t>502201001</t>
  </si>
  <si>
    <t>10-10-1992 00:00:00</t>
  </si>
  <si>
    <t>26358026</t>
  </si>
  <si>
    <t>АО "Металлургический завод "Электросталь"</t>
  </si>
  <si>
    <t>5053000797</t>
  </si>
  <si>
    <t>28-01-1993 00:00:00</t>
  </si>
  <si>
    <t>26357771</t>
  </si>
  <si>
    <t>АО "Метровагонмаш"</t>
  </si>
  <si>
    <t>5029006702</t>
  </si>
  <si>
    <t>997450001</t>
  </si>
  <si>
    <t>26769803</t>
  </si>
  <si>
    <t>АО "Мобильные ГТЭС"</t>
  </si>
  <si>
    <t>7706627050</t>
  </si>
  <si>
    <t>770601001</t>
  </si>
  <si>
    <t>30987408</t>
  </si>
  <si>
    <t>АО "Молодёжный"</t>
  </si>
  <si>
    <t>5030091131</t>
  </si>
  <si>
    <t>503001001</t>
  </si>
  <si>
    <t>16-05-2017 00:00:00</t>
  </si>
  <si>
    <t>26357546</t>
  </si>
  <si>
    <t>АО "Московский АРЗ ДОСААФ"</t>
  </si>
  <si>
    <t>5001020016</t>
  </si>
  <si>
    <t>25-06-1999 00:00:00</t>
  </si>
  <si>
    <t>26548439</t>
  </si>
  <si>
    <t>АО "Москокс"</t>
  </si>
  <si>
    <t>5003003915</t>
  </si>
  <si>
    <t>27-08-1992 00:00:00</t>
  </si>
  <si>
    <t>31335738</t>
  </si>
  <si>
    <t>АО "Мострансавто"</t>
  </si>
  <si>
    <t>26357775</t>
  </si>
  <si>
    <t>АО "Мытищинская теплосеть"</t>
  </si>
  <si>
    <t>5029004624</t>
  </si>
  <si>
    <t>502901001</t>
  </si>
  <si>
    <t>04-07-2002 00:00:00</t>
  </si>
  <si>
    <t>26357702</t>
  </si>
  <si>
    <t>АО "Мясокомбинат Клинский"</t>
  </si>
  <si>
    <t>5020002260</t>
  </si>
  <si>
    <t>10-12-1991 00:00:00</t>
  </si>
  <si>
    <t>26361058</t>
  </si>
  <si>
    <t>АО "НАТЭК Инвест-Энерго"</t>
  </si>
  <si>
    <t>7724554013</t>
  </si>
  <si>
    <t>08-09-2005 00:00:00</t>
  </si>
  <si>
    <t>28054902</t>
  </si>
  <si>
    <t>АО "НПК "КБМ"</t>
  </si>
  <si>
    <t>5022039177</t>
  </si>
  <si>
    <t>02-07-2012 00:00:00</t>
  </si>
  <si>
    <t>26357901</t>
  </si>
  <si>
    <t>АО "НПО Дормаш"</t>
  </si>
  <si>
    <t>5038012452</t>
  </si>
  <si>
    <t>26774481</t>
  </si>
  <si>
    <t>АО "НПО ИТ"</t>
  </si>
  <si>
    <t>5018139517</t>
  </si>
  <si>
    <t>501801001</t>
  </si>
  <si>
    <t>05-08-2009 00:00:00</t>
  </si>
  <si>
    <t>26357959</t>
  </si>
  <si>
    <t>АО "НПО Стеклопластик"</t>
  </si>
  <si>
    <t>5044000039</t>
  </si>
  <si>
    <t>30-12-1992 00:00:00</t>
  </si>
  <si>
    <t>26505040</t>
  </si>
  <si>
    <t>АО "НПО ЭНЕРГОМАШ"</t>
  </si>
  <si>
    <t>5047008220</t>
  </si>
  <si>
    <t>13-02-1998 00:00:00</t>
  </si>
  <si>
    <t>26357777</t>
  </si>
  <si>
    <t>АО "Наро-Фоминский хладокомбинат"</t>
  </si>
  <si>
    <t>5030004410</t>
  </si>
  <si>
    <t>26622347</t>
  </si>
  <si>
    <t>АО "Научно-производственное предприятие "Исток" имени А.И. Шокина</t>
  </si>
  <si>
    <t>5050108496</t>
  </si>
  <si>
    <t>26357727</t>
  </si>
  <si>
    <t>АО "Никольское"</t>
  </si>
  <si>
    <t>5024013512</t>
  </si>
  <si>
    <t>13-12-1991 00:00:00</t>
  </si>
  <si>
    <t>31490855</t>
  </si>
  <si>
    <t>АО "Ногинское ПОГАТ"</t>
  </si>
  <si>
    <t>5031000514</t>
  </si>
  <si>
    <t>26506321</t>
  </si>
  <si>
    <t>АО "ОКТЕКС"</t>
  </si>
  <si>
    <t>5027070068</t>
  </si>
  <si>
    <t>05-08-1998 00:00:00</t>
  </si>
  <si>
    <t>26358004</t>
  </si>
  <si>
    <t>АО "ОМК Маркет"</t>
  </si>
  <si>
    <t>5050008290</t>
  </si>
  <si>
    <t>26357878</t>
  </si>
  <si>
    <t>АО "ПЗЭМИ"</t>
  </si>
  <si>
    <t>5036003332</t>
  </si>
  <si>
    <t>30-09-1992 00:00:00</t>
  </si>
  <si>
    <t>26504765</t>
  </si>
  <si>
    <t>АО "ПРОТЭП"</t>
  </si>
  <si>
    <t>5037002934</t>
  </si>
  <si>
    <t>503701001</t>
  </si>
  <si>
    <t>02-11-2005 00:00:00</t>
  </si>
  <si>
    <t>26357669</t>
  </si>
  <si>
    <t>АО "ПСО-13"</t>
  </si>
  <si>
    <t>5017000079</t>
  </si>
  <si>
    <t>501750001</t>
  </si>
  <si>
    <t>07-12-2005 00:00:00</t>
  </si>
  <si>
    <t>26357844</t>
  </si>
  <si>
    <t>АО "Парк-отель "Ершово"</t>
  </si>
  <si>
    <t>5032053886</t>
  </si>
  <si>
    <t>08-07-1999 00:00:00</t>
  </si>
  <si>
    <t>26357917</t>
  </si>
  <si>
    <t>АО "РАТЕКС"</t>
  </si>
  <si>
    <t>5040007918</t>
  </si>
  <si>
    <t>504001001</t>
  </si>
  <si>
    <t>26357951</t>
  </si>
  <si>
    <t>АО "РАТЕП"</t>
  </si>
  <si>
    <t>5043000212</t>
  </si>
  <si>
    <t>507701001</t>
  </si>
  <si>
    <t>31265968</t>
  </si>
  <si>
    <t>АО "РЕСУРС"</t>
  </si>
  <si>
    <t>5032293020</t>
  </si>
  <si>
    <t>25-01-2018 00:00:00</t>
  </si>
  <si>
    <t>31449373</t>
  </si>
  <si>
    <t>АО "РИР"</t>
  </si>
  <si>
    <t>7706757331</t>
  </si>
  <si>
    <t>06-06-2011 00:00:00</t>
  </si>
  <si>
    <t>26357916</t>
  </si>
  <si>
    <t>АО "РПКБ"</t>
  </si>
  <si>
    <t>5040007594</t>
  </si>
  <si>
    <t>26357792</t>
  </si>
  <si>
    <t>АО "РТИ"</t>
  </si>
  <si>
    <t>5031005664</t>
  </si>
  <si>
    <t>31-10-1993 00:00:00</t>
  </si>
  <si>
    <t>27671430</t>
  </si>
  <si>
    <t>АО "РЭУ"</t>
  </si>
  <si>
    <t>7714783092</t>
  </si>
  <si>
    <t>503243003</t>
  </si>
  <si>
    <t>26838066</t>
  </si>
  <si>
    <t>26513524</t>
  </si>
  <si>
    <t>АО "Раменская теплосеть"</t>
  </si>
  <si>
    <t>5040109331</t>
  </si>
  <si>
    <t>29-07-2011 00:00:00</t>
  </si>
  <si>
    <t>31480313</t>
  </si>
  <si>
    <t>АО "СПЕЦВЫСОТСТРОЙ"</t>
  </si>
  <si>
    <t>9731021838</t>
  </si>
  <si>
    <t>773101001</t>
  </si>
  <si>
    <t>17-01-2019 00:00:00</t>
  </si>
  <si>
    <t>26357949</t>
  </si>
  <si>
    <t>АО "СТЭК"</t>
  </si>
  <si>
    <t>5042080504</t>
  </si>
  <si>
    <t>504201001</t>
  </si>
  <si>
    <t>04-04-2005 00:00:00</t>
  </si>
  <si>
    <t>26357894</t>
  </si>
  <si>
    <t>АО "Санаторий Зеленый городок"</t>
  </si>
  <si>
    <t>5038004010</t>
  </si>
  <si>
    <t>21-07-2015 00:00:00</t>
  </si>
  <si>
    <t>26510967</t>
  </si>
  <si>
    <t>АО "Санаторий Истра"</t>
  </si>
  <si>
    <t>5017003947</t>
  </si>
  <si>
    <t>09-08-2002 00:00:00</t>
  </si>
  <si>
    <t>26357955</t>
  </si>
  <si>
    <t>АО "Серпуховский завод "Металлист"</t>
  </si>
  <si>
    <t>5043012881</t>
  </si>
  <si>
    <t>504301001</t>
  </si>
  <si>
    <t>16-03-1995 00:00:00</t>
  </si>
  <si>
    <t>26357674</t>
  </si>
  <si>
    <t>АО "Сокол"</t>
  </si>
  <si>
    <t>5017014522</t>
  </si>
  <si>
    <t>08-12-1999 00:00:00</t>
  </si>
  <si>
    <t>26357821</t>
  </si>
  <si>
    <t>АО "Стройполимер"</t>
  </si>
  <si>
    <t>5032010000</t>
  </si>
  <si>
    <t>20-07-2021 00:00:00</t>
  </si>
  <si>
    <t>26357977</t>
  </si>
  <si>
    <t>АО "Ступинская металлургичекая компания"</t>
  </si>
  <si>
    <t>5045023416</t>
  </si>
  <si>
    <t>504501001</t>
  </si>
  <si>
    <t>26509227</t>
  </si>
  <si>
    <t>АО "ТЭИК"</t>
  </si>
  <si>
    <t>5036064448</t>
  </si>
  <si>
    <t>24-02-2005 00:00:00</t>
  </si>
  <si>
    <t>30839292</t>
  </si>
  <si>
    <t>АО "ТЭП"</t>
  </si>
  <si>
    <t>5029191766</t>
  </si>
  <si>
    <t>20-11-2014 00:00:00</t>
  </si>
  <si>
    <t>26588413</t>
  </si>
  <si>
    <t>АО "Тепло РКК "Энергия"</t>
  </si>
  <si>
    <t>5018138369</t>
  </si>
  <si>
    <t>18-06-2009 00:00:00</t>
  </si>
  <si>
    <t>28797488</t>
  </si>
  <si>
    <t>АО "Теплогенерирующая компания-7"</t>
  </si>
  <si>
    <t>5024139265</t>
  </si>
  <si>
    <t>26357692</t>
  </si>
  <si>
    <t>АО "Теплосеть"</t>
  </si>
  <si>
    <t>5018134438</t>
  </si>
  <si>
    <t>31322693</t>
  </si>
  <si>
    <t>5052021890</t>
  </si>
  <si>
    <t>22-11-2010 00:00:00</t>
  </si>
  <si>
    <t>26357980</t>
  </si>
  <si>
    <t>АО "Троицкая камвольная фабрика"</t>
  </si>
  <si>
    <t>5046005770</t>
  </si>
  <si>
    <t>682901001</t>
  </si>
  <si>
    <t>28506272</t>
  </si>
  <si>
    <t>АО "ФПЛК"</t>
  </si>
  <si>
    <t>5024070944</t>
  </si>
  <si>
    <t>20-04-2005 00:00:00</t>
  </si>
  <si>
    <t>26783753</t>
  </si>
  <si>
    <t>АО "Фряновская фабрика"</t>
  </si>
  <si>
    <t>5050007378</t>
  </si>
  <si>
    <t>19-06-1996 00:00:00</t>
  </si>
  <si>
    <t>26357935</t>
  </si>
  <si>
    <t>АО "ЦНИИСМ"</t>
  </si>
  <si>
    <t>5042003203</t>
  </si>
  <si>
    <t>11-05-1993 00:00:00</t>
  </si>
  <si>
    <t>31519514</t>
  </si>
  <si>
    <t>АО "ЦНИИмаш"</t>
  </si>
  <si>
    <t>5018200994</t>
  </si>
  <si>
    <t>01-08-2019 00:00:00</t>
  </si>
  <si>
    <t>26357664</t>
  </si>
  <si>
    <t>АО "ЦНИП СДМ"</t>
  </si>
  <si>
    <t>5016000132</t>
  </si>
  <si>
    <t>501601001</t>
  </si>
  <si>
    <t>08-06-1994 00:00:00</t>
  </si>
  <si>
    <t>26814724</t>
  </si>
  <si>
    <t>АО "ЭКК"</t>
  </si>
  <si>
    <t>5024113605</t>
  </si>
  <si>
    <t>20-07-2010 00:00:00</t>
  </si>
  <si>
    <t>26504914</t>
  </si>
  <si>
    <t>АО "ЭМЗ им. В.М. Мясищева"</t>
  </si>
  <si>
    <t>5040097816</t>
  </si>
  <si>
    <t>05-03-2010 00:00:00</t>
  </si>
  <si>
    <t>01-11-2021 00:00:00</t>
  </si>
  <si>
    <t>26357631</t>
  </si>
  <si>
    <t>АО "ЭНЕРГОТЕН"</t>
  </si>
  <si>
    <t>5010003793</t>
  </si>
  <si>
    <t>26322043</t>
  </si>
  <si>
    <t>АО "Энергосервис"</t>
  </si>
  <si>
    <t>7709571825</t>
  </si>
  <si>
    <t>770301001</t>
  </si>
  <si>
    <t>31540261</t>
  </si>
  <si>
    <t>АО «ЖИЛЭНЕРГО»</t>
  </si>
  <si>
    <t>5047248800</t>
  </si>
  <si>
    <t>05-03-2021 00:00:00</t>
  </si>
  <si>
    <t>26548385</t>
  </si>
  <si>
    <t>АО «ЖКС п.Запрудня»</t>
  </si>
  <si>
    <t>5078015146</t>
  </si>
  <si>
    <t>507801001</t>
  </si>
  <si>
    <t>31-12-2019 00:00:00</t>
  </si>
  <si>
    <t>26504912</t>
  </si>
  <si>
    <t>АО «ЛИИ им. М.М.Громова»</t>
  </si>
  <si>
    <t>5040114973</t>
  </si>
  <si>
    <t>24-04-2012 00:00:00</t>
  </si>
  <si>
    <t>31541446</t>
  </si>
  <si>
    <t>АО «НИИ НПО «ЛУЧ»</t>
  </si>
  <si>
    <t>5074070474</t>
  </si>
  <si>
    <t>507401001</t>
  </si>
  <si>
    <t>26-07-2021 00:00:00</t>
  </si>
  <si>
    <t>31041690</t>
  </si>
  <si>
    <t>АО «ОЭЗ ТВТ «Дубна»</t>
  </si>
  <si>
    <t>5010034054</t>
  </si>
  <si>
    <t>28-11-2006 00:00:00</t>
  </si>
  <si>
    <t>26357842</t>
  </si>
  <si>
    <t>АО «Одинцовская теплосеть»</t>
  </si>
  <si>
    <t>5032199740</t>
  </si>
  <si>
    <t>26-12-2008 00:00:00</t>
  </si>
  <si>
    <t>31507215</t>
  </si>
  <si>
    <t>АО «Риал Ком»</t>
  </si>
  <si>
    <t>5074018467</t>
  </si>
  <si>
    <t>31507351</t>
  </si>
  <si>
    <t>АО «Тепло Шатуры»</t>
  </si>
  <si>
    <t>5049025358</t>
  </si>
  <si>
    <t>504901001</t>
  </si>
  <si>
    <t>31711156</t>
  </si>
  <si>
    <t>АО НПП "КлАСС"</t>
  </si>
  <si>
    <t>7724032017</t>
  </si>
  <si>
    <t>29-06-1994 00:00:00</t>
  </si>
  <si>
    <t>26783681</t>
  </si>
  <si>
    <t>772001001</t>
  </si>
  <si>
    <t>26357930</t>
  </si>
  <si>
    <t>АО ФНПЦ "НИИ прикладной химии"</t>
  </si>
  <si>
    <t>5042120394</t>
  </si>
  <si>
    <t>01-08-2011 00:00:00</t>
  </si>
  <si>
    <t>26360931</t>
  </si>
  <si>
    <t>АПК "Шатурский"</t>
  </si>
  <si>
    <t>7705035012</t>
  </si>
  <si>
    <t>504902013</t>
  </si>
  <si>
    <t>26357687</t>
  </si>
  <si>
    <t>Администрация г.п.Снегири</t>
  </si>
  <si>
    <t>5017070855</t>
  </si>
  <si>
    <t>26409912</t>
  </si>
  <si>
    <t>Академия ГПС МЧС России</t>
  </si>
  <si>
    <t>7717035419</t>
  </si>
  <si>
    <t>771701001</t>
  </si>
  <si>
    <t>26-06-2013 00:00:00</t>
  </si>
  <si>
    <t>26775075</t>
  </si>
  <si>
    <t>Белоусовское управление магистральных газопроводов филиал ООО "Газпром трансгаз Москва"</t>
  </si>
  <si>
    <t>5003028028</t>
  </si>
  <si>
    <t>400743001</t>
  </si>
  <si>
    <t>26361060</t>
  </si>
  <si>
    <t>Богородский филиал АО "НПО "Прибор"</t>
  </si>
  <si>
    <t>7726700943</t>
  </si>
  <si>
    <t>503143001</t>
  </si>
  <si>
    <t>12-07-2012 00:00:00</t>
  </si>
  <si>
    <t>26358031</t>
  </si>
  <si>
    <t>Болшевская КЭЧ</t>
  </si>
  <si>
    <t>5054003744</t>
  </si>
  <si>
    <t>505401001</t>
  </si>
  <si>
    <t>26357553</t>
  </si>
  <si>
    <t>Бронницкое УГХ</t>
  </si>
  <si>
    <t>5002000100</t>
  </si>
  <si>
    <t>26357585</t>
  </si>
  <si>
    <t>ВВ МВД России "Федосьино"</t>
  </si>
  <si>
    <t>5004015568</t>
  </si>
  <si>
    <t>26357818</t>
  </si>
  <si>
    <t>ВНИИССОК</t>
  </si>
  <si>
    <t>5032001327</t>
  </si>
  <si>
    <t>28876431</t>
  </si>
  <si>
    <t>ВТУ</t>
  </si>
  <si>
    <t>5001010498</t>
  </si>
  <si>
    <t>26357562</t>
  </si>
  <si>
    <t>Ватутинская КЭЧ</t>
  </si>
  <si>
    <t>5003005824</t>
  </si>
  <si>
    <t>500302001</t>
  </si>
  <si>
    <t>31-12-2016 00:00:00</t>
  </si>
  <si>
    <t>26548095</t>
  </si>
  <si>
    <t>5003009459</t>
  </si>
  <si>
    <t>26358068</t>
  </si>
  <si>
    <t>Войсковая часть 03340</t>
  </si>
  <si>
    <t>5077000884</t>
  </si>
  <si>
    <t>26799880</t>
  </si>
  <si>
    <t>Войсковая часть 12470</t>
  </si>
  <si>
    <t>5032027484</t>
  </si>
  <si>
    <t>26358005</t>
  </si>
  <si>
    <t>Войсковая часть 12672</t>
  </si>
  <si>
    <t>5050009625</t>
  </si>
  <si>
    <t>26361072</t>
  </si>
  <si>
    <t>Войсковая часть 1473</t>
  </si>
  <si>
    <t>7729114457</t>
  </si>
  <si>
    <t>772901001</t>
  </si>
  <si>
    <t>26357545</t>
  </si>
  <si>
    <t>Войсковая часть 3492</t>
  </si>
  <si>
    <t>5001018070</t>
  </si>
  <si>
    <t>23-01-1996 00:00:00</t>
  </si>
  <si>
    <t>26649290</t>
  </si>
  <si>
    <t>Войсковая часть 3641</t>
  </si>
  <si>
    <t>5038019183</t>
  </si>
  <si>
    <t>02-11-2016 00:00:00</t>
  </si>
  <si>
    <t>26357834</t>
  </si>
  <si>
    <t>Войсковая часть 67978</t>
  </si>
  <si>
    <t>5032027822</t>
  </si>
  <si>
    <t>26358067</t>
  </si>
  <si>
    <t>Войсковая часть 77865</t>
  </si>
  <si>
    <t>5077000877</t>
  </si>
  <si>
    <t>26360927</t>
  </si>
  <si>
    <t>Войсковая часть 96000</t>
  </si>
  <si>
    <t>5001018507</t>
  </si>
  <si>
    <t>26548201</t>
  </si>
  <si>
    <t>Войсковая часть № 03523</t>
  </si>
  <si>
    <t>5038003666</t>
  </si>
  <si>
    <t>26357833</t>
  </si>
  <si>
    <t>Войсковая часть №52361 (202 КЭЧ)</t>
  </si>
  <si>
    <t>5032027798</t>
  </si>
  <si>
    <t>31508987</t>
  </si>
  <si>
    <t>ГАПОУ МО "МЦК - Техникум имени С.П. Королева"</t>
  </si>
  <si>
    <t>5018160999</t>
  </si>
  <si>
    <t>14-01-2014 00:00:00</t>
  </si>
  <si>
    <t>26548122</t>
  </si>
  <si>
    <t>ГАСУСО МО «Добрый дом «Коломенский»</t>
  </si>
  <si>
    <t>5070000719</t>
  </si>
  <si>
    <t>01-09-1994 00:00:00</t>
  </si>
  <si>
    <t>26357539</t>
  </si>
  <si>
    <t>ГАСУСО МО «ПАНСИОНАТ «ПОДОЛЬСКИЙ»</t>
  </si>
  <si>
    <t>5021004407</t>
  </si>
  <si>
    <t>502101001</t>
  </si>
  <si>
    <t>17-07-1996 00:00:00</t>
  </si>
  <si>
    <t>31501512</t>
  </si>
  <si>
    <t>ГАУ МО "ЦСП №1"</t>
  </si>
  <si>
    <t>5075012595</t>
  </si>
  <si>
    <t>25-08-1999 00:00:00</t>
  </si>
  <si>
    <t>31257791</t>
  </si>
  <si>
    <t>ГАУЗМО КЦВМиР</t>
  </si>
  <si>
    <t>7712022913</t>
  </si>
  <si>
    <t>774301001</t>
  </si>
  <si>
    <t>14-05-2018 00:00:00</t>
  </si>
  <si>
    <t>05-10-2021 00:00:00</t>
  </si>
  <si>
    <t>31618344</t>
  </si>
  <si>
    <t>ГАУСО МО "КЦСОиР "Егорьевский"</t>
  </si>
  <si>
    <t>5011023295</t>
  </si>
  <si>
    <t>31-03-2004 00:00:00</t>
  </si>
  <si>
    <t>26513742</t>
  </si>
  <si>
    <t>ГБОУ НПО ПЛ № 96 МО</t>
  </si>
  <si>
    <t>5011004856</t>
  </si>
  <si>
    <t>01-12-2016 00:00:00</t>
  </si>
  <si>
    <t>26510879</t>
  </si>
  <si>
    <t>ГБПОУ МО "ВАТ "ХОЛМОГОРКА"</t>
  </si>
  <si>
    <t>5004000160</t>
  </si>
  <si>
    <t>16-02-2001 00:00:00</t>
  </si>
  <si>
    <t>30355814</t>
  </si>
  <si>
    <t>ГБПОУ МО "Коломенский аграрный колледж"</t>
  </si>
  <si>
    <t>5022021620</t>
  </si>
  <si>
    <t>05-08-2002 00:00:00</t>
  </si>
  <si>
    <t>31295766</t>
  </si>
  <si>
    <t>ГБПОУ МО "Павлово-Посадский техникум"</t>
  </si>
  <si>
    <t>5035039128</t>
  </si>
  <si>
    <t>503501001</t>
  </si>
  <si>
    <t>26357998</t>
  </si>
  <si>
    <t>ГБПОУ МО "ШЭТ"</t>
  </si>
  <si>
    <t>5049005915</t>
  </si>
  <si>
    <t>11-12-2002 00:00:00</t>
  </si>
  <si>
    <t>28799285</t>
  </si>
  <si>
    <t>5049003675</t>
  </si>
  <si>
    <t>17-05-2012 00:00:00</t>
  </si>
  <si>
    <t>26357897</t>
  </si>
  <si>
    <t>ГБПОУ МО «Пушкинский лесо-технический техникум»</t>
  </si>
  <si>
    <t>5038005825</t>
  </si>
  <si>
    <t>09-06-1994 00:00:00</t>
  </si>
  <si>
    <t>24-03-2021 00:00:00</t>
  </si>
  <si>
    <t>26357868</t>
  </si>
  <si>
    <t>ГБПОУ МО ПППЭТ</t>
  </si>
  <si>
    <t>5035005312</t>
  </si>
  <si>
    <t>31-12-2018 00:00:00</t>
  </si>
  <si>
    <t>26511079</t>
  </si>
  <si>
    <t>ГБСУ СО МО "Добрый дом"Куровской"</t>
  </si>
  <si>
    <t>5073065270</t>
  </si>
  <si>
    <t>07-04-1969 00:00:00</t>
  </si>
  <si>
    <t>26357644</t>
  </si>
  <si>
    <t>ГБСУ СО МО "Егорьевский дом-интернат"</t>
  </si>
  <si>
    <t>5011020336</t>
  </si>
  <si>
    <t>12-05-2021 00:00:00</t>
  </si>
  <si>
    <t>31507360</t>
  </si>
  <si>
    <t>ГБСУ СО МО "Пансионат "Егорьевский"</t>
  </si>
  <si>
    <t>5011015449</t>
  </si>
  <si>
    <t>16-09-2022 00:00:00</t>
  </si>
  <si>
    <t>26513744</t>
  </si>
  <si>
    <t>ГБСУСО МО "Добрый дом "Егорьевский"</t>
  </si>
  <si>
    <t>5011006941</t>
  </si>
  <si>
    <t>06-02-1995 00:00:00</t>
  </si>
  <si>
    <t>26808476</t>
  </si>
  <si>
    <t>ГБСУСО МО "Добрый дом "Чеховский"</t>
  </si>
  <si>
    <t>5048051186</t>
  </si>
  <si>
    <t>504801001</t>
  </si>
  <si>
    <t>22-06-1994 00:00:00</t>
  </si>
  <si>
    <t>26357919</t>
  </si>
  <si>
    <t>ГБСУСО МО «Добрый дом «Раменский»</t>
  </si>
  <si>
    <t>5040036267</t>
  </si>
  <si>
    <t>29-07-1996 00:00:00</t>
  </si>
  <si>
    <t>26358066</t>
  </si>
  <si>
    <t>ГБУ "Психоневрологический интернат №2"</t>
  </si>
  <si>
    <t>5077000796</t>
  </si>
  <si>
    <t>507707001</t>
  </si>
  <si>
    <t>26511483</t>
  </si>
  <si>
    <t>ГБУ "Реабилитационный центр для инвалидов по зрению"</t>
  </si>
  <si>
    <t>5045032690</t>
  </si>
  <si>
    <t>29-06-2004 00:00:00</t>
  </si>
  <si>
    <t>26357607</t>
  </si>
  <si>
    <t>ГБУ Геролонтогический центр "Дмитровский"</t>
  </si>
  <si>
    <t>5007008294</t>
  </si>
  <si>
    <t>24-12-1994 00:00:00</t>
  </si>
  <si>
    <t>26631434</t>
  </si>
  <si>
    <t>ГБУ СО МО "Центр социально-медицинской реабилитации инвалидов и ветеранов боевых действий "Ясенки"</t>
  </si>
  <si>
    <t>5074035310</t>
  </si>
  <si>
    <t>28257178</t>
  </si>
  <si>
    <t>ГБУ СОЦ "ТЕРРИТОРИЯ ВОЗМОЖНОСТЕЙ"</t>
  </si>
  <si>
    <t>5017035138</t>
  </si>
  <si>
    <t>04-09-1997 00:00:00</t>
  </si>
  <si>
    <t>15-02-2023 00:00:00</t>
  </si>
  <si>
    <t>26548148</t>
  </si>
  <si>
    <t>ГБУ Социальный дом "Данки"</t>
  </si>
  <si>
    <t>07-09-1999 00:00:00</t>
  </si>
  <si>
    <t>26784943</t>
  </si>
  <si>
    <t>ГБУ Социальный дом «Ступино»</t>
  </si>
  <si>
    <t>5045015550</t>
  </si>
  <si>
    <t>22-01-2001 00:00:00</t>
  </si>
  <si>
    <t>26357625</t>
  </si>
  <si>
    <t>ГБУ Социальный дом им. О.В. Кербикова</t>
  </si>
  <si>
    <t>5009014328</t>
  </si>
  <si>
    <t>13-03-1995 00:00:00</t>
  </si>
  <si>
    <t>26647766</t>
  </si>
  <si>
    <t>ГБУ ЦРИ "Красная Пахра"</t>
  </si>
  <si>
    <t>5046021524</t>
  </si>
  <si>
    <t>26548116</t>
  </si>
  <si>
    <t>ГБУ г. Москвы дом социального обслуживания "Филимонки" г. Москвы</t>
  </si>
  <si>
    <t>5003009280</t>
  </si>
  <si>
    <t>26531600</t>
  </si>
  <si>
    <t>ГБУЗ "ДГБВЛ № 3 ДЗМ"</t>
  </si>
  <si>
    <t>5075005654</t>
  </si>
  <si>
    <t>14-02-2003 00:00:00</t>
  </si>
  <si>
    <t>14-11-2017 00:00:00</t>
  </si>
  <si>
    <t>26357724</t>
  </si>
  <si>
    <t>ГБУЗ "МГОБ №62 ДЗМ"</t>
  </si>
  <si>
    <t>5024001482</t>
  </si>
  <si>
    <t>26357990</t>
  </si>
  <si>
    <t>ГБУЗ "ПБ № 5 ДЗМ"</t>
  </si>
  <si>
    <t>5048050866</t>
  </si>
  <si>
    <t>04-04-1994 00:00:00</t>
  </si>
  <si>
    <t>28426251</t>
  </si>
  <si>
    <t>ГБУЗ МНПЦ МРВСМ ДЗМ</t>
  </si>
  <si>
    <t>7709173101</t>
  </si>
  <si>
    <t>770901001</t>
  </si>
  <si>
    <t>15-10-2012 00:00:00</t>
  </si>
  <si>
    <t>26509093</t>
  </si>
  <si>
    <t>ГБУЗ МО "Психиатрическая больница №8"</t>
  </si>
  <si>
    <t>5034083364</t>
  </si>
  <si>
    <t>23-11-1995 00:00:00</t>
  </si>
  <si>
    <t>28059175</t>
  </si>
  <si>
    <t>ГБУЗ МО «Санаторий Пушкино»</t>
  </si>
  <si>
    <t>5038005670</t>
  </si>
  <si>
    <t>30358896</t>
  </si>
  <si>
    <t>ГБУЗ МО ПБ № 11</t>
  </si>
  <si>
    <t>5049005778</t>
  </si>
  <si>
    <t>18-07-2012 00:00:00</t>
  </si>
  <si>
    <t>28977988</t>
  </si>
  <si>
    <t>ГБУЗ ТКБ № 3 ДЗМ</t>
  </si>
  <si>
    <t>7733054120</t>
  </si>
  <si>
    <t>773301001</t>
  </si>
  <si>
    <t>15-05-2005 00:00:00</t>
  </si>
  <si>
    <t>26357963</t>
  </si>
  <si>
    <t>ГБУЗ Туберкулезная больница имени А.Е. Рабухина ДЗМ</t>
  </si>
  <si>
    <t>5044015638</t>
  </si>
  <si>
    <t>31601353</t>
  </si>
  <si>
    <t>ГКОУ МО "Каширская спецшкола "</t>
  </si>
  <si>
    <t>5019002787</t>
  </si>
  <si>
    <t>16-12-2002 00:00:00</t>
  </si>
  <si>
    <t>31507130</t>
  </si>
  <si>
    <t>ГКУ "Соцэнерго"</t>
  </si>
  <si>
    <t>7719253518</t>
  </si>
  <si>
    <t>771001001</t>
  </si>
  <si>
    <t>19-07-2021 00:00:00</t>
  </si>
  <si>
    <t>26358059</t>
  </si>
  <si>
    <t>ГКУЗ ТС №58 ДЗМ</t>
  </si>
  <si>
    <t>5075008045</t>
  </si>
  <si>
    <t>18-03-2015 00:00:00</t>
  </si>
  <si>
    <t>26357820</t>
  </si>
  <si>
    <t>ГОУ ВПО "Голицынский пограничный институт ФСБ РФ"</t>
  </si>
  <si>
    <t>5032004906</t>
  </si>
  <si>
    <t>26357616</t>
  </si>
  <si>
    <t>ГОУ ВПО "Московский физико-технический институт"</t>
  </si>
  <si>
    <t>5008006211</t>
  </si>
  <si>
    <t>500832001</t>
  </si>
  <si>
    <t>29-07-2013 00:00:00</t>
  </si>
  <si>
    <t>26361045</t>
  </si>
  <si>
    <t>ГП ТКЦ "Электробыт"</t>
  </si>
  <si>
    <t>7722013234</t>
  </si>
  <si>
    <t>14-09-2014 00:00:00</t>
  </si>
  <si>
    <t>26791473</t>
  </si>
  <si>
    <t>ГУ 193 КЭЧ района</t>
  </si>
  <si>
    <t>5001010466</t>
  </si>
  <si>
    <t>27581963</t>
  </si>
  <si>
    <t>ГУ здравоохранения г. Москвы Детская психиатрическая больница №11</t>
  </si>
  <si>
    <t>5050006060</t>
  </si>
  <si>
    <t>01-01-2020 00:00:00</t>
  </si>
  <si>
    <t>26793050</t>
  </si>
  <si>
    <t>ГУП "Завод Элвакс"</t>
  </si>
  <si>
    <t>5047008678</t>
  </si>
  <si>
    <t>26361009</t>
  </si>
  <si>
    <t>ГУП "Медицинский центр управления делами мэра и Правительства г. Москвы" Санаторий " Звенигород"</t>
  </si>
  <si>
    <t>7709096376</t>
  </si>
  <si>
    <t>501501001</t>
  </si>
  <si>
    <t>31642184</t>
  </si>
  <si>
    <t>ГУП "ЦУГИ"</t>
  </si>
  <si>
    <t>7705059380</t>
  </si>
  <si>
    <t>772201001</t>
  </si>
  <si>
    <t>14-01-2003 00:00:00</t>
  </si>
  <si>
    <t>26357684</t>
  </si>
  <si>
    <t>ГУП "Энергетик ВНИЦ"</t>
  </si>
  <si>
    <t>5017035956</t>
  </si>
  <si>
    <t>08-10-1998 00:00:00</t>
  </si>
  <si>
    <t>22-12-2020 00:00:00</t>
  </si>
  <si>
    <t>26796753</t>
  </si>
  <si>
    <t>ГУП МО "КС МО"</t>
  </si>
  <si>
    <t>5034065171</t>
  </si>
  <si>
    <t>23-12-1994 00:00:00</t>
  </si>
  <si>
    <t>26357869</t>
  </si>
  <si>
    <t>ГУП МО "Энергетик</t>
  </si>
  <si>
    <t>5035019481</t>
  </si>
  <si>
    <t>25-05-2018 00:00:00</t>
  </si>
  <si>
    <t>26775083</t>
  </si>
  <si>
    <t>Гавриловское линейное производственное управление магистральных газопроводов - филиал ООО “Газпром трансгаз Москва”</t>
  </si>
  <si>
    <t>507203001</t>
  </si>
  <si>
    <t>26357621</t>
  </si>
  <si>
    <t>Госфильмофонд России</t>
  </si>
  <si>
    <t>5009007137</t>
  </si>
  <si>
    <t>23-04-1997 00:00:00</t>
  </si>
  <si>
    <t>26357746</t>
  </si>
  <si>
    <t>ДМУП "ЭКПО"</t>
  </si>
  <si>
    <t>5027033059</t>
  </si>
  <si>
    <t>14-04-1995 00:00:00</t>
  </si>
  <si>
    <t>26573320</t>
  </si>
  <si>
    <t>ДОЦ "Старая Руза" Дирекции социальной сферы Моск. ж.д. ОАО "РЖД"</t>
  </si>
  <si>
    <t>7708503727</t>
  </si>
  <si>
    <t>507545013</t>
  </si>
  <si>
    <t>09-03-2007 00:00:00</t>
  </si>
  <si>
    <t>26548185</t>
  </si>
  <si>
    <t>Дирекция по тепло-водоснабжению Московской железной дороги филиала ОАО"РЖД"</t>
  </si>
  <si>
    <t>26357533</t>
  </si>
  <si>
    <t>Домодедовское ПАТП филиал ГУП МО "Мострансавто"</t>
  </si>
  <si>
    <t>500902001</t>
  </si>
  <si>
    <t>27674693</t>
  </si>
  <si>
    <t>ЖЭУ ЗАО "Мособлстрой №20"</t>
  </si>
  <si>
    <t>5038012910</t>
  </si>
  <si>
    <t>503802003</t>
  </si>
  <si>
    <t>12-01-1993 00:00:00</t>
  </si>
  <si>
    <t>26357952</t>
  </si>
  <si>
    <t>ЗАО  "Серпуховский текстиль"</t>
  </si>
  <si>
    <t>5043000653</t>
  </si>
  <si>
    <t>26358051</t>
  </si>
  <si>
    <t>ЗАО " Санаторий "Ерино"</t>
  </si>
  <si>
    <t>5074017181</t>
  </si>
  <si>
    <t>26357957</t>
  </si>
  <si>
    <t>ЗАО "250 ЗЖБИ"</t>
  </si>
  <si>
    <t>5043017390</t>
  </si>
  <si>
    <t>19-11-1998 00:00:00</t>
  </si>
  <si>
    <t>30877358</t>
  </si>
  <si>
    <t>ЗАО "ВИК "Тензо-М"</t>
  </si>
  <si>
    <t>5027048351</t>
  </si>
  <si>
    <t>22-08-1996 00:00:00</t>
  </si>
  <si>
    <t>28455243</t>
  </si>
  <si>
    <t>ЗАО "Восход"</t>
  </si>
  <si>
    <t>7705806498</t>
  </si>
  <si>
    <t>110101001</t>
  </si>
  <si>
    <t>26627375</t>
  </si>
  <si>
    <t>26358037</t>
  </si>
  <si>
    <t>ЗАО "ГОРАК"</t>
  </si>
  <si>
    <t>5072701075</t>
  </si>
  <si>
    <t>26772215</t>
  </si>
  <si>
    <t>ЗАО "ГородскиеТеплоСистемы"</t>
  </si>
  <si>
    <t>5038040611</t>
  </si>
  <si>
    <t>26357908</t>
  </si>
  <si>
    <t>503232001</t>
  </si>
  <si>
    <t>21-09-2022 00:00:00</t>
  </si>
  <si>
    <t>26544006</t>
  </si>
  <si>
    <t>ЗАО "Группа "Энерготехсервис"</t>
  </si>
  <si>
    <t>7719161472</t>
  </si>
  <si>
    <t>20-05-1997 00:00:00</t>
  </si>
  <si>
    <t>26357608</t>
  </si>
  <si>
    <t>ЗАО "ДЭлМЗ"</t>
  </si>
  <si>
    <t>5007031310</t>
  </si>
  <si>
    <t>26357601</t>
  </si>
  <si>
    <t>ЗАО "Дмитров-Холдинг"</t>
  </si>
  <si>
    <t>5006006664</t>
  </si>
  <si>
    <t>26357603</t>
  </si>
  <si>
    <t>ЗАО "Дмитровский трикотаж"</t>
  </si>
  <si>
    <t>5007001620</t>
  </si>
  <si>
    <t>01-01-2018 00:00:00</t>
  </si>
  <si>
    <t>26357838</t>
  </si>
  <si>
    <t>ЗАО "Дом отдыха Покровское"</t>
  </si>
  <si>
    <t>5032032484</t>
  </si>
  <si>
    <t>26772186</t>
  </si>
  <si>
    <t>ЗАО "Домостроитель"</t>
  </si>
  <si>
    <t>5050009760</t>
  </si>
  <si>
    <t>505701001</t>
  </si>
  <si>
    <t>26357944</t>
  </si>
  <si>
    <t>ЗАО "ЗОЗП"</t>
  </si>
  <si>
    <t>5042015689</t>
  </si>
  <si>
    <t>17-10-2002 00:00:00</t>
  </si>
  <si>
    <t>26357843</t>
  </si>
  <si>
    <t>ЗАО "Завод малоэтажного домостроения "Подмосковье"</t>
  </si>
  <si>
    <t>5032049456</t>
  </si>
  <si>
    <t>28-08-2017 00:00:00</t>
  </si>
  <si>
    <t>26627332</t>
  </si>
  <si>
    <t>ЗАО "Звенигородская Энерго-Сетевая Компания"</t>
  </si>
  <si>
    <t>5015011734</t>
  </si>
  <si>
    <t>30384074</t>
  </si>
  <si>
    <t>ЗАО "ЗиО-Здоровье"</t>
  </si>
  <si>
    <t>5036046054</t>
  </si>
  <si>
    <t>05-06-2001 00:00:00</t>
  </si>
  <si>
    <t>26549209</t>
  </si>
  <si>
    <t>ЗАО "КСПЗ"</t>
  </si>
  <si>
    <t>5021011845</t>
  </si>
  <si>
    <t>401801001</t>
  </si>
  <si>
    <t>26357709</t>
  </si>
  <si>
    <t>ЗАО "Климовский специализированный патронный завод" ("КСПЗ")</t>
  </si>
  <si>
    <t>502103001</t>
  </si>
  <si>
    <t>26357893</t>
  </si>
  <si>
    <t>ЗАО "ЛВЗ "Топаз"</t>
  </si>
  <si>
    <t>5038002790</t>
  </si>
  <si>
    <t>997350001</t>
  </si>
  <si>
    <t>26513484</t>
  </si>
  <si>
    <t>ЗАО "Ленинское"</t>
  </si>
  <si>
    <t>5070000236</t>
  </si>
  <si>
    <t>507001001</t>
  </si>
  <si>
    <t>30359419</t>
  </si>
  <si>
    <t>ЗАО "МБМ Центр Лимитед"</t>
  </si>
  <si>
    <t>7730095544</t>
  </si>
  <si>
    <t>24-06-1997 00:00:00</t>
  </si>
  <si>
    <t>26504900</t>
  </si>
  <si>
    <t>ЗАО "МОСМЕК"</t>
  </si>
  <si>
    <t>5003086982</t>
  </si>
  <si>
    <t>15-06-2010 00:00:00</t>
  </si>
  <si>
    <t>26504868</t>
  </si>
  <si>
    <t>ЗАО "Международный Аэропорт "Домодедово"</t>
  </si>
  <si>
    <t>5009026330</t>
  </si>
  <si>
    <t>05-02-2015 00:00:00</t>
  </si>
  <si>
    <t>26357971</t>
  </si>
  <si>
    <t>ЗАО "Михневская швейная фабрика"</t>
  </si>
  <si>
    <t>5045000497</t>
  </si>
  <si>
    <t>26357902</t>
  </si>
  <si>
    <t>ЗАО "Мособлстрой-20"</t>
  </si>
  <si>
    <t>26357591</t>
  </si>
  <si>
    <t>ЗАО "Мосрентген"</t>
  </si>
  <si>
    <t>5003000880</t>
  </si>
  <si>
    <t>27554202</t>
  </si>
  <si>
    <t>ЗАО "Новая усадьба"</t>
  </si>
  <si>
    <t>7728587940</t>
  </si>
  <si>
    <t>26357864</t>
  </si>
  <si>
    <t>ЗАО "ПО "Берег"</t>
  </si>
  <si>
    <t>5035001332</t>
  </si>
  <si>
    <t>30-01-1992 00:00:00</t>
  </si>
  <si>
    <t>26357817</t>
  </si>
  <si>
    <t>ЗАО "Петелинская птицефабрика"</t>
  </si>
  <si>
    <t>5032000235</t>
  </si>
  <si>
    <t>10-02-1999 00:00:00</t>
  </si>
  <si>
    <t>26357941</t>
  </si>
  <si>
    <t>ЗАО "Победа"</t>
  </si>
  <si>
    <t>5042008152</t>
  </si>
  <si>
    <t>26357626</t>
  </si>
  <si>
    <t>ЗАО "Промкомбинат"</t>
  </si>
  <si>
    <t>5009019799</t>
  </si>
  <si>
    <t>26357866</t>
  </si>
  <si>
    <t>ЗАО "Рахмановский шелковый комбинат"</t>
  </si>
  <si>
    <t>5035002671</t>
  </si>
  <si>
    <t>26357948</t>
  </si>
  <si>
    <t>ЗАО "СТРОЙГРУППА СП"</t>
  </si>
  <si>
    <t>5042074571</t>
  </si>
  <si>
    <t>26-09-2003 00:00:00</t>
  </si>
  <si>
    <t>26357666</t>
  </si>
  <si>
    <t>ЗАО "Санаторий "Зеленая роща"</t>
  </si>
  <si>
    <t>5016003599</t>
  </si>
  <si>
    <t>26358065</t>
  </si>
  <si>
    <t>ЗАО "Серпуховский кирпичный завод"</t>
  </si>
  <si>
    <t>5077000700</t>
  </si>
  <si>
    <t>26548177</t>
  </si>
  <si>
    <t>ЗАО "Совхоз имени Ленина"</t>
  </si>
  <si>
    <t>5003009032</t>
  </si>
  <si>
    <t>31026430</t>
  </si>
  <si>
    <t>ЗАО "Союзэнерго"</t>
  </si>
  <si>
    <t>7719535689</t>
  </si>
  <si>
    <t>26535423</t>
  </si>
  <si>
    <t>ЗАО "СпецМонтажСервис44"</t>
  </si>
  <si>
    <t>5050063870</t>
  </si>
  <si>
    <t>26357636</t>
  </si>
  <si>
    <t>ЗАО "ТЕХОС"</t>
  </si>
  <si>
    <t>5011002143</t>
  </si>
  <si>
    <t>26357744</t>
  </si>
  <si>
    <t>ЗАО "Торгмаш"</t>
  </si>
  <si>
    <t>5027032418</t>
  </si>
  <si>
    <t>12-11-1991 00:00:00</t>
  </si>
  <si>
    <t>26786346</t>
  </si>
  <si>
    <t>ЗАО "Фрязинская Теплосеть"</t>
  </si>
  <si>
    <t>5052020960</t>
  </si>
  <si>
    <t>505201001</t>
  </si>
  <si>
    <t>24-03-2010 00:00:00</t>
  </si>
  <si>
    <t>26514148</t>
  </si>
  <si>
    <t>ЗАО "Щелковская шелкоткацкая фабрика"</t>
  </si>
  <si>
    <t>5050013967</t>
  </si>
  <si>
    <t>26357683</t>
  </si>
  <si>
    <t>ЗАО "ЭНО"</t>
  </si>
  <si>
    <t>5017032666</t>
  </si>
  <si>
    <t>02-12-1996 00:00:00</t>
  </si>
  <si>
    <t>26360944</t>
  </si>
  <si>
    <t>ЗАО "ЭСМА"</t>
  </si>
  <si>
    <t>7706580525</t>
  </si>
  <si>
    <t>504601001</t>
  </si>
  <si>
    <t>26357929</t>
  </si>
  <si>
    <t>ЗАО "Электроизолит"</t>
  </si>
  <si>
    <t>5042000530</t>
  </si>
  <si>
    <t>26357620</t>
  </si>
  <si>
    <t>ЗАО ДЗМК "МЕТАКО"</t>
  </si>
  <si>
    <t>5009006969</t>
  </si>
  <si>
    <t>26776822</t>
  </si>
  <si>
    <t>ЗАО ОМЗ "НИИ ХИММАШ"</t>
  </si>
  <si>
    <t>5050003422</t>
  </si>
  <si>
    <t>11-09-2014 00:00:00</t>
  </si>
  <si>
    <t>26357766</t>
  </si>
  <si>
    <t>ЗАО Производственное предприятие "Авторос-2"</t>
  </si>
  <si>
    <t>5028015528</t>
  </si>
  <si>
    <t>26357970</t>
  </si>
  <si>
    <t>ЗАО Сельскохозяйственное предприятие "Аксиньино"</t>
  </si>
  <si>
    <t>5045000352</t>
  </si>
  <si>
    <t>26358057</t>
  </si>
  <si>
    <t>ЗАО ТМПСО "Рузский дом"</t>
  </si>
  <si>
    <t>5075002332</t>
  </si>
  <si>
    <t>26627395</t>
  </si>
  <si>
    <t>ЗАО Управляющая компания "ИнтеллектСервис"</t>
  </si>
  <si>
    <t>7727651270</t>
  </si>
  <si>
    <t>772701001</t>
  </si>
  <si>
    <t>26357726</t>
  </si>
  <si>
    <t>ЗАО"Бецема"</t>
  </si>
  <si>
    <t>26357751</t>
  </si>
  <si>
    <t>Замоскворецкая КЭЧ</t>
  </si>
  <si>
    <t>5027037536</t>
  </si>
  <si>
    <t>26360957</t>
  </si>
  <si>
    <t>Зарайский офсет</t>
  </si>
  <si>
    <t>7707585815</t>
  </si>
  <si>
    <t>501402001</t>
  </si>
  <si>
    <t>26511305</t>
  </si>
  <si>
    <t>ИБК РАН</t>
  </si>
  <si>
    <t>5039001069</t>
  </si>
  <si>
    <t>503901001</t>
  </si>
  <si>
    <t>21-04-1998 00:00:00</t>
  </si>
  <si>
    <t>01-11-2018 00:00:00</t>
  </si>
  <si>
    <t>31656362</t>
  </si>
  <si>
    <t>ИП СИДОРОВ АЛЕКСАНДР АНАТОЛЬЕВИЧ</t>
  </si>
  <si>
    <t>774399496500</t>
  </si>
  <si>
    <t>25-06-2009 00:00:00</t>
  </si>
  <si>
    <t>31518267</t>
  </si>
  <si>
    <t>ИП Саталин Александр андреевич</t>
  </si>
  <si>
    <t>504004459205</t>
  </si>
  <si>
    <t>26-11-2007 00:00:00</t>
  </si>
  <si>
    <t>31652209</t>
  </si>
  <si>
    <t>ИП Факин Виталий Александрович</t>
  </si>
  <si>
    <t>501208187603</t>
  </si>
  <si>
    <t>10-05-2017 00:00:00</t>
  </si>
  <si>
    <t>КОМИТЕТ ПО ЦЕНАМ И ТАРИФАМ МОСКОВСКОЙ ОБЛАСТИ</t>
  </si>
  <si>
    <t>5024125640</t>
  </si>
  <si>
    <t>26358000</t>
  </si>
  <si>
    <t>Кривандинское МУ ЖКП</t>
  </si>
  <si>
    <t>5049008602</t>
  </si>
  <si>
    <t>26357839</t>
  </si>
  <si>
    <t>Кубинская КЭЧ района (ВЧ 45809,Кубинка-8)</t>
  </si>
  <si>
    <t>5032033640</t>
  </si>
  <si>
    <t>26358016</t>
  </si>
  <si>
    <t>ЛПУ "Гастроэнтерологический  санаторий "Монино"</t>
  </si>
  <si>
    <t>5050028120</t>
  </si>
  <si>
    <t>07-07-2017 00:00:00</t>
  </si>
  <si>
    <t>26649472</t>
  </si>
  <si>
    <t>ЛПУ санаторий "Озеры"</t>
  </si>
  <si>
    <t>5033002210</t>
  </si>
  <si>
    <t>503301001</t>
  </si>
  <si>
    <t>05-08-1992 00:00:00</t>
  </si>
  <si>
    <t>26357907</t>
  </si>
  <si>
    <t>Лечебно-профилактическое учреждение "Санаторий "Правда"</t>
  </si>
  <si>
    <t>5038036051</t>
  </si>
  <si>
    <t>26360985</t>
  </si>
  <si>
    <t>Локомотивное депо Лобня</t>
  </si>
  <si>
    <t>502531002</t>
  </si>
  <si>
    <t>26357537</t>
  </si>
  <si>
    <t>МАП №2 Автоколонна 1417" филиал ГУП МО "Мострансавто</t>
  </si>
  <si>
    <t>507231001</t>
  </si>
  <si>
    <t>31710439</t>
  </si>
  <si>
    <t>МБУ «Ликино-Дулевский КБ»</t>
  </si>
  <si>
    <t>5034051122</t>
  </si>
  <si>
    <t>26357772</t>
  </si>
  <si>
    <t>МГТУ им. Н.Э. БАУМАНА МФ</t>
  </si>
  <si>
    <t>7701002520</t>
  </si>
  <si>
    <t>770101001</t>
  </si>
  <si>
    <t>20-10-2016 00:00:00</t>
  </si>
  <si>
    <t>26360918</t>
  </si>
  <si>
    <t>МГУП "Истринский гидротехнический узел"</t>
  </si>
  <si>
    <t>7701002626</t>
  </si>
  <si>
    <t>30358385</t>
  </si>
  <si>
    <t>МКП "ИКЖКХ"</t>
  </si>
  <si>
    <t>5044046731</t>
  </si>
  <si>
    <t>02-02-2005 00:00:00</t>
  </si>
  <si>
    <t>30861122</t>
  </si>
  <si>
    <t>МКП "Ложковские теплосети"</t>
  </si>
  <si>
    <t>5044098948</t>
  </si>
  <si>
    <t>16-08-2016 00:00:00</t>
  </si>
  <si>
    <t>30991580</t>
  </si>
  <si>
    <t>МКП "Пешковские теплосети"</t>
  </si>
  <si>
    <t>5044109413</t>
  </si>
  <si>
    <t>25-07-2017 00:00:00</t>
  </si>
  <si>
    <t>26357670</t>
  </si>
  <si>
    <t>МЛПУ "Истринская районная больница"</t>
  </si>
  <si>
    <t>5017003626</t>
  </si>
  <si>
    <t>26357685</t>
  </si>
  <si>
    <t>МОУ "Лучинская СОШ"</t>
  </si>
  <si>
    <t>5017048867</t>
  </si>
  <si>
    <t>26774666</t>
  </si>
  <si>
    <t>МП "Быт-сервис"</t>
  </si>
  <si>
    <t>5022556721</t>
  </si>
  <si>
    <t>15-02-2016 00:00:00</t>
  </si>
  <si>
    <t>26548367</t>
  </si>
  <si>
    <t>МП "Городские инженерные системы"</t>
  </si>
  <si>
    <t>5015010459</t>
  </si>
  <si>
    <t>26357992</t>
  </si>
  <si>
    <t>МП "ЖКХ " Чеховского района</t>
  </si>
  <si>
    <t>5048052077</t>
  </si>
  <si>
    <t>21-06-1996 00:00:00</t>
  </si>
  <si>
    <t>26358036</t>
  </si>
  <si>
    <t>МП "Жилкомсервис"</t>
  </si>
  <si>
    <t>5071004120</t>
  </si>
  <si>
    <t>507101001</t>
  </si>
  <si>
    <t>28462523</t>
  </si>
  <si>
    <t>МП "Звенигородские инженерные сети"</t>
  </si>
  <si>
    <t>5015249617</t>
  </si>
  <si>
    <t>28044250</t>
  </si>
  <si>
    <t>МП "ЛП КТВС"</t>
  </si>
  <si>
    <t>5050097808</t>
  </si>
  <si>
    <t>06-06-2012 00:00:00</t>
  </si>
  <si>
    <t>28054885</t>
  </si>
  <si>
    <t>МП "Лотошинское ЖКХ"</t>
  </si>
  <si>
    <t>5071005886</t>
  </si>
  <si>
    <t>26357738</t>
  </si>
  <si>
    <t>МП "Лыткаринская теплосеть"</t>
  </si>
  <si>
    <t>5026000406</t>
  </si>
  <si>
    <t>502601001</t>
  </si>
  <si>
    <t>01-10-1992 00:00:00</t>
  </si>
  <si>
    <t>30809550</t>
  </si>
  <si>
    <t>МП "РЭУ"</t>
  </si>
  <si>
    <t>5022556658</t>
  </si>
  <si>
    <t>20-11-2009 00:00:00</t>
  </si>
  <si>
    <t>26357581</t>
  </si>
  <si>
    <t>МП "Сычевское ПТО ЖКХ"</t>
  </si>
  <si>
    <t>5004013426</t>
  </si>
  <si>
    <t>26357654</t>
  </si>
  <si>
    <t>МП "Теплоцентраль"</t>
  </si>
  <si>
    <t>5013006792</t>
  </si>
  <si>
    <t>28-12-1993 00:00:00</t>
  </si>
  <si>
    <t>26357987</t>
  </si>
  <si>
    <t>МП "Химкинская теплосеть"</t>
  </si>
  <si>
    <t>5047040706</t>
  </si>
  <si>
    <t>27295228</t>
  </si>
  <si>
    <t>МП «Быт-Сервис»</t>
  </si>
  <si>
    <t>5022556249</t>
  </si>
  <si>
    <t>502255624</t>
  </si>
  <si>
    <t>02-03-2023 00:00:00</t>
  </si>
  <si>
    <t>26358015</t>
  </si>
  <si>
    <t>МП ГОЩ "Щёлковская Теплосеть"</t>
  </si>
  <si>
    <t>5050026684</t>
  </si>
  <si>
    <t>27709982</t>
  </si>
  <si>
    <t>МП ГПМ "МИК"</t>
  </si>
  <si>
    <t>5050092408</t>
  </si>
  <si>
    <t>02-05-2012 00:00:00</t>
  </si>
  <si>
    <t>26357920</t>
  </si>
  <si>
    <t>МП ЖКХ "Ульянино"</t>
  </si>
  <si>
    <t>5040037158</t>
  </si>
  <si>
    <t>26358012</t>
  </si>
  <si>
    <t>МПГПС "Свердловское"</t>
  </si>
  <si>
    <t>5050019239</t>
  </si>
  <si>
    <t>26358074</t>
  </si>
  <si>
    <t>МПКХ "Шаховская"</t>
  </si>
  <si>
    <t>5079000720</t>
  </si>
  <si>
    <t>507901001</t>
  </si>
  <si>
    <t>26357752</t>
  </si>
  <si>
    <t>МУЖКП "Котельники"</t>
  </si>
  <si>
    <t>5027048658</t>
  </si>
  <si>
    <t>26597678</t>
  </si>
  <si>
    <t>МУЖРП №2</t>
  </si>
  <si>
    <t>5036001014</t>
  </si>
  <si>
    <t>26357882</t>
  </si>
  <si>
    <t>МУЖРП-4</t>
  </si>
  <si>
    <t>5036010805</t>
  </si>
  <si>
    <t>26357640</t>
  </si>
  <si>
    <t>МУП "Азимут"</t>
  </si>
  <si>
    <t>5011018009</t>
  </si>
  <si>
    <t>30-03-1999 00:00:00</t>
  </si>
  <si>
    <t>26548083</t>
  </si>
  <si>
    <t>МУП "БКС"</t>
  </si>
  <si>
    <t>5012091227</t>
  </si>
  <si>
    <t>18-02-2016 00:00:00</t>
  </si>
  <si>
    <t>26508619</t>
  </si>
  <si>
    <t>МУП "Белоозерское ЖКХ"</t>
  </si>
  <si>
    <t>5005038631</t>
  </si>
  <si>
    <t>19-05-2004 00:00:00</t>
  </si>
  <si>
    <t>26647127</t>
  </si>
  <si>
    <t>МУП "Благоустройство и развитие" городского округа Власиха</t>
  </si>
  <si>
    <t>5032223658</t>
  </si>
  <si>
    <t>02-06-2010 00:00:00</t>
  </si>
  <si>
    <t>26548211</t>
  </si>
  <si>
    <t>МУП "Большие Вязёмы"</t>
  </si>
  <si>
    <t>5032199148</t>
  </si>
  <si>
    <t>26357679</t>
  </si>
  <si>
    <t>МУП "Бужаровское РЭП ЖКХ"</t>
  </si>
  <si>
    <t>5017031214</t>
  </si>
  <si>
    <t>26514988</t>
  </si>
  <si>
    <t>МУП "ВИДНОВСКОЕ ПТО ГХ"</t>
  </si>
  <si>
    <t>5003002816</t>
  </si>
  <si>
    <t>18-04-2017 00:00:00</t>
  </si>
  <si>
    <t>26354067</t>
  </si>
  <si>
    <t>МУП "ВОДОКАНАЛ"</t>
  </si>
  <si>
    <t>5034028109</t>
  </si>
  <si>
    <t>13-09-2018 00:00:00</t>
  </si>
  <si>
    <t>30359822</t>
  </si>
  <si>
    <t>МУП "Водоканал"</t>
  </si>
  <si>
    <t>5019025953</t>
  </si>
  <si>
    <t>04-08-2014 00:00:00</t>
  </si>
  <si>
    <t>26548317</t>
  </si>
  <si>
    <t>МУП "Водоканал" г. Подольска</t>
  </si>
  <si>
    <t>5036029468</t>
  </si>
  <si>
    <t>30358464</t>
  </si>
  <si>
    <t>МУП "Восход-Сервис"</t>
  </si>
  <si>
    <t>5017106011</t>
  </si>
  <si>
    <t>17-04-2015 00:00:00</t>
  </si>
  <si>
    <t>26357707</t>
  </si>
  <si>
    <t>МУП "Высоковский коммунальщик"</t>
  </si>
  <si>
    <t>5020044492</t>
  </si>
  <si>
    <t>502001001</t>
  </si>
  <si>
    <t>07-12-2017 00:00:00</t>
  </si>
  <si>
    <t>28883293</t>
  </si>
  <si>
    <t>МУП "Горкинское ПТО ЖКХ"</t>
  </si>
  <si>
    <t>5003111798</t>
  </si>
  <si>
    <t>26774401</t>
  </si>
  <si>
    <t>МУП "ДЕЗ "ГОРХОЗ"</t>
  </si>
  <si>
    <t>5019021684</t>
  </si>
  <si>
    <t>21-09-2009 00:00:00</t>
  </si>
  <si>
    <t>21-10-2021 00:00:00</t>
  </si>
  <si>
    <t>31415574</t>
  </si>
  <si>
    <t>МУП "ДУ ЖКХ"</t>
  </si>
  <si>
    <t>5007105604</t>
  </si>
  <si>
    <t>10-09-2018 00:00:00</t>
  </si>
  <si>
    <t>26357887</t>
  </si>
  <si>
    <t>МУП "Дирекция Единого Заказчика"</t>
  </si>
  <si>
    <t>5036055450</t>
  </si>
  <si>
    <t>26357975</t>
  </si>
  <si>
    <t>МУП "Дубневское ЖКХ"</t>
  </si>
  <si>
    <t>5045018751</t>
  </si>
  <si>
    <t>26357658</t>
  </si>
  <si>
    <t>МУП "ЕСКХ Зарайского района"</t>
  </si>
  <si>
    <t>5014008866</t>
  </si>
  <si>
    <t>501401001</t>
  </si>
  <si>
    <t>05-06-2003 00:00:00</t>
  </si>
  <si>
    <t>26357637</t>
  </si>
  <si>
    <t>МУП "ЖИЛЭП"</t>
  </si>
  <si>
    <t>5011002440</t>
  </si>
  <si>
    <t>26357642</t>
  </si>
  <si>
    <t>МУП "ЖКХ - Раменки"</t>
  </si>
  <si>
    <t>5011020142</t>
  </si>
  <si>
    <t>01-02-2018 00:00:00</t>
  </si>
  <si>
    <t>28752080</t>
  </si>
  <si>
    <t>МУП "ЖКХ Горки-2"</t>
  </si>
  <si>
    <t>5032230817</t>
  </si>
  <si>
    <t>15-11-2010 00:00:00</t>
  </si>
  <si>
    <t>05-12-2017 00:00:00</t>
  </si>
  <si>
    <t>28506241</t>
  </si>
  <si>
    <t>МУП "ЖКХ Назарьево"</t>
  </si>
  <si>
    <t>5032272535</t>
  </si>
  <si>
    <t>11-11-2013 00:00:00</t>
  </si>
  <si>
    <t>26357767</t>
  </si>
  <si>
    <t>МУП "ЖКХ г. Можайска"</t>
  </si>
  <si>
    <t>5028018582</t>
  </si>
  <si>
    <t>26358023</t>
  </si>
  <si>
    <t>МУП "ЖКХ г. Щербинки"</t>
  </si>
  <si>
    <t>5051006070</t>
  </si>
  <si>
    <t>02-06-2021 00:00:00</t>
  </si>
  <si>
    <t>26985130</t>
  </si>
  <si>
    <t>МУП "ЖКХ городского поселения Деденево"</t>
  </si>
  <si>
    <t>5007078870</t>
  </si>
  <si>
    <t>23-12-2012 00:00:00</t>
  </si>
  <si>
    <t>26358033</t>
  </si>
  <si>
    <t>МУП "Жилищно-коммунальное объединение" г. Королев</t>
  </si>
  <si>
    <t>5054086525</t>
  </si>
  <si>
    <t>26357784</t>
  </si>
  <si>
    <t>МУП "Жилкомбытстрой-Молодежный"</t>
  </si>
  <si>
    <t>5030041170</t>
  </si>
  <si>
    <t>13-06-2002 00:00:00</t>
  </si>
  <si>
    <t>23-08-2023 00:00:00</t>
  </si>
  <si>
    <t>28461470</t>
  </si>
  <si>
    <t>МУП "Знаменское"</t>
  </si>
  <si>
    <t>5019023064</t>
  </si>
  <si>
    <t>04-04-2022 00:00:00</t>
  </si>
  <si>
    <t>26357668</t>
  </si>
  <si>
    <t>МУП "Ивантеевская Теплосеть"</t>
  </si>
  <si>
    <t>5016013325</t>
  </si>
  <si>
    <t>22-09-2005 00:00:00</t>
  </si>
  <si>
    <t>26357618</t>
  </si>
  <si>
    <t>МУП "Инженерные сети г.Долгопрудного"</t>
  </si>
  <si>
    <t>5008032317</t>
  </si>
  <si>
    <t>500801001</t>
  </si>
  <si>
    <t>11-12-2001 00:00:00</t>
  </si>
  <si>
    <t>28799718</t>
  </si>
  <si>
    <t>МУП "КК Аксенки"</t>
  </si>
  <si>
    <t>5031111687</t>
  </si>
  <si>
    <t>25-07-2014 00:00:00</t>
  </si>
  <si>
    <t>28275063</t>
  </si>
  <si>
    <t>МУП "ККК"</t>
  </si>
  <si>
    <t>5042128611</t>
  </si>
  <si>
    <t>27-06-2013 00:00:00</t>
  </si>
  <si>
    <t>29-09-2023 00:00:00</t>
  </si>
  <si>
    <t>30832028</t>
  </si>
  <si>
    <t>МУП "КЛИНТЕПЛОСЕТЬ"</t>
  </si>
  <si>
    <t>5020079505</t>
  </si>
  <si>
    <t>05-11-2015 00:00:00</t>
  </si>
  <si>
    <t>26504775</t>
  </si>
  <si>
    <t>МУП "Коломенская электросеть"</t>
  </si>
  <si>
    <t>5022014550</t>
  </si>
  <si>
    <t>29-06-2022 00:00:00</t>
  </si>
  <si>
    <t>26357943</t>
  </si>
  <si>
    <t>МУП "Коммунальник"</t>
  </si>
  <si>
    <t>5042011797</t>
  </si>
  <si>
    <t>26548405</t>
  </si>
  <si>
    <t>МУП "Коммунальные системы Хотьково"</t>
  </si>
  <si>
    <t>5042116990</t>
  </si>
  <si>
    <t>26622068</t>
  </si>
  <si>
    <t>МУП "Коммунальный сервис Вербилки"</t>
  </si>
  <si>
    <t>5078019574</t>
  </si>
  <si>
    <t>10-10-2019 00:00:00</t>
  </si>
  <si>
    <t>26357873</t>
  </si>
  <si>
    <t>МУП "Коммунальщик"</t>
  </si>
  <si>
    <t>5035032436</t>
  </si>
  <si>
    <t>503503001</t>
  </si>
  <si>
    <t>26357676</t>
  </si>
  <si>
    <t>МУП "Костровское РЭП ЖКХ"</t>
  </si>
  <si>
    <t>5017030877</t>
  </si>
  <si>
    <t>28009115</t>
  </si>
  <si>
    <t>МУП "ЛТЭК"</t>
  </si>
  <si>
    <t>5074046190</t>
  </si>
  <si>
    <t>20-03-2012 00:00:00</t>
  </si>
  <si>
    <t>30834016</t>
  </si>
  <si>
    <t>МУП "Леонтьевское ЖКХ"</t>
  </si>
  <si>
    <t>5045055577</t>
  </si>
  <si>
    <t>22-04-2014 00:00:00</t>
  </si>
  <si>
    <t>26548323</t>
  </si>
  <si>
    <t>МУП "Лесной"</t>
  </si>
  <si>
    <t>5038070260</t>
  </si>
  <si>
    <t>27-07-2009 00:00:00</t>
  </si>
  <si>
    <t>26531579</t>
  </si>
  <si>
    <t>МУП "Луневобытсервис"</t>
  </si>
  <si>
    <t>5044092128</t>
  </si>
  <si>
    <t>17-10-2014 00:00:00</t>
  </si>
  <si>
    <t>30402024</t>
  </si>
  <si>
    <t>МУП "НИС"</t>
  </si>
  <si>
    <t>5024160570</t>
  </si>
  <si>
    <t>11-12-2015 00:00:00</t>
  </si>
  <si>
    <t>27-10-2022 00:00:00</t>
  </si>
  <si>
    <t>30358509</t>
  </si>
  <si>
    <t>МУП "Озёрская Теплосеть"</t>
  </si>
  <si>
    <t>5033001841</t>
  </si>
  <si>
    <t>23-04-2015 00:00:00</t>
  </si>
  <si>
    <t>26542453</t>
  </si>
  <si>
    <t>МУП "Октябрьское Жилищное Управление"</t>
  </si>
  <si>
    <t>5027090498</t>
  </si>
  <si>
    <t>10-12-2002 00:00:00</t>
  </si>
  <si>
    <t>28-09-2023 00:00:00</t>
  </si>
  <si>
    <t>26357680</t>
  </si>
  <si>
    <t>МУП "Онуфриевское РЭП ЖКХ"</t>
  </si>
  <si>
    <t>5017031260</t>
  </si>
  <si>
    <t>26357584</t>
  </si>
  <si>
    <t>МУП "Осташевское ПТП ЖКХ"</t>
  </si>
  <si>
    <t>5004023103</t>
  </si>
  <si>
    <t>27517178</t>
  </si>
  <si>
    <t>МУП "ПК "Андреевка"</t>
  </si>
  <si>
    <t>5044079945</t>
  </si>
  <si>
    <t>01-07-2011 00:00:00</t>
  </si>
  <si>
    <t>26645400</t>
  </si>
  <si>
    <t>МУП "ПТО ЖКХ"</t>
  </si>
  <si>
    <t>5045003106</t>
  </si>
  <si>
    <t>03-11-1998 00:00:00</t>
  </si>
  <si>
    <t>26504820</t>
  </si>
  <si>
    <t>МУП "ПТП ГХ"</t>
  </si>
  <si>
    <t>5053006284</t>
  </si>
  <si>
    <t>26357877</t>
  </si>
  <si>
    <t>МУП "Подольская  теплосеть"</t>
  </si>
  <si>
    <t>5036002770</t>
  </si>
  <si>
    <t>11-08-1992 00:00:00</t>
  </si>
  <si>
    <t>30922714</t>
  </si>
  <si>
    <t>МУП "РКС"</t>
  </si>
  <si>
    <t>5042143553</t>
  </si>
  <si>
    <t>22-12-2016 00:00:00</t>
  </si>
  <si>
    <t>26358063</t>
  </si>
  <si>
    <t>МУП "РСО го Серебряные Пруды"</t>
  </si>
  <si>
    <t>5019027534</t>
  </si>
  <si>
    <t>29-03-2016 00:00:00</t>
  </si>
  <si>
    <t>30919733</t>
  </si>
  <si>
    <t>МУП "Райкомсервис"</t>
  </si>
  <si>
    <t>5078022908</t>
  </si>
  <si>
    <t>10-10-2016 00:00:00</t>
  </si>
  <si>
    <t>01-02-2023 00:00:00</t>
  </si>
  <si>
    <t>26508625</t>
  </si>
  <si>
    <t>МУП "Ратмировское ЖКХ"</t>
  </si>
  <si>
    <t>5005038624</t>
  </si>
  <si>
    <t>30987425</t>
  </si>
  <si>
    <t>МУП "Ресурс - Деденево"</t>
  </si>
  <si>
    <t>5007101945</t>
  </si>
  <si>
    <t>31-07-2017 00:00:00</t>
  </si>
  <si>
    <t>27284710</t>
  </si>
  <si>
    <t>МУП "Ресурс"</t>
  </si>
  <si>
    <t>5042141718</t>
  </si>
  <si>
    <t>13-07-2016 00:00:00</t>
  </si>
  <si>
    <t>31-03-2020 00:00:00</t>
  </si>
  <si>
    <t>26357925</t>
  </si>
  <si>
    <t>МУП "Реутовская теплосеть"</t>
  </si>
  <si>
    <t>5041000136</t>
  </si>
  <si>
    <t>26357710</t>
  </si>
  <si>
    <t>МУП "СЕЗ"</t>
  </si>
  <si>
    <t>5021012341</t>
  </si>
  <si>
    <t>13-09-2002 00:00:00</t>
  </si>
  <si>
    <t>18-11-2022 00:00:00</t>
  </si>
  <si>
    <t>26357719</t>
  </si>
  <si>
    <t>МУП "СКИ"</t>
  </si>
  <si>
    <t>5023010332</t>
  </si>
  <si>
    <t>502301001</t>
  </si>
  <si>
    <t>09-02-2009 00:00:00</t>
  </si>
  <si>
    <t>31322115</t>
  </si>
  <si>
    <t>МУП "СП Теплосеть"</t>
  </si>
  <si>
    <t>5042150198</t>
  </si>
  <si>
    <t>23-01-2019 00:00:00</t>
  </si>
  <si>
    <t>30985874</t>
  </si>
  <si>
    <t>МУП "СПТС"</t>
  </si>
  <si>
    <t>5042143218</t>
  </si>
  <si>
    <t>22-11-2016 00:00:00</t>
  </si>
  <si>
    <t>28-01-2021 00:00:00</t>
  </si>
  <si>
    <t>26357956</t>
  </si>
  <si>
    <t>МУП "Серпуховская теплосеть"</t>
  </si>
  <si>
    <t>5043014617</t>
  </si>
  <si>
    <t>03-08-2020 00:00:00</t>
  </si>
  <si>
    <t>26511949</t>
  </si>
  <si>
    <t>МУП "Служба единого заказчика ЖКХ"</t>
  </si>
  <si>
    <t>5031044222</t>
  </si>
  <si>
    <t>26548413</t>
  </si>
  <si>
    <t>МУП "Сычевское ПТП ЖКХ"</t>
  </si>
  <si>
    <t>5004023128</t>
  </si>
  <si>
    <t>26357976</t>
  </si>
  <si>
    <t>МУП "ТАТАРИНОВСКОЕ ЖКХ"</t>
  </si>
  <si>
    <t>5045019755</t>
  </si>
  <si>
    <t>01-10-1996 00:00:00</t>
  </si>
  <si>
    <t>28267720</t>
  </si>
  <si>
    <t>МУП "ТКК"</t>
  </si>
  <si>
    <t>5027202116</t>
  </si>
  <si>
    <t>02-07-2013 00:00:00</t>
  </si>
  <si>
    <t>26358073</t>
  </si>
  <si>
    <t>МУП "Талдомсервис" г.Талдом</t>
  </si>
  <si>
    <t>5078015918</t>
  </si>
  <si>
    <t>23-11-2006 00:00:00</t>
  </si>
  <si>
    <t>26357717</t>
  </si>
  <si>
    <t>МУП "Тепло Коломны"</t>
  </si>
  <si>
    <t>5022030985</t>
  </si>
  <si>
    <t>05-12-2001 00:00:00</t>
  </si>
  <si>
    <t>26357914</t>
  </si>
  <si>
    <t>МУП "Тепловодоканал"</t>
  </si>
  <si>
    <t>5039008071</t>
  </si>
  <si>
    <t>26357698</t>
  </si>
  <si>
    <t>МУП "Теплоресурс"</t>
  </si>
  <si>
    <t>5019017180</t>
  </si>
  <si>
    <t>30913834</t>
  </si>
  <si>
    <t>МУП "Теплосеть Наро-Фоминского городского округа"</t>
  </si>
  <si>
    <t>5030015490</t>
  </si>
  <si>
    <t>04-09-1992 00:00:00</t>
  </si>
  <si>
    <t>26357884</t>
  </si>
  <si>
    <t>МУП "Теплосеть"</t>
  </si>
  <si>
    <t>5021012581</t>
  </si>
  <si>
    <t>26357648</t>
  </si>
  <si>
    <t>5012001181</t>
  </si>
  <si>
    <t>26357932</t>
  </si>
  <si>
    <t>5042001196</t>
  </si>
  <si>
    <t>08-11-2023 00:00:00</t>
  </si>
  <si>
    <t>26357898</t>
  </si>
  <si>
    <t>МУП "Теплосеть" Пушкинского муниципального района</t>
  </si>
  <si>
    <t>5038010261</t>
  </si>
  <si>
    <t>26357627</t>
  </si>
  <si>
    <t>МУП "Теплосеть" г.о Домодедово</t>
  </si>
  <si>
    <t>5009022752</t>
  </si>
  <si>
    <t>26357582</t>
  </si>
  <si>
    <t>МУП "Теряевское ПТО ЖКХ"</t>
  </si>
  <si>
    <t>5004013708</t>
  </si>
  <si>
    <t>26357981</t>
  </si>
  <si>
    <t>МУП "Троицктеплоэнерго"</t>
  </si>
  <si>
    <t>5046049865</t>
  </si>
  <si>
    <t>26783107</t>
  </si>
  <si>
    <t>МУП "УЭ"</t>
  </si>
  <si>
    <t>5031007809</t>
  </si>
  <si>
    <t>27018501</t>
  </si>
  <si>
    <t>МУП "Управляющая компания"</t>
  </si>
  <si>
    <t>5077024268</t>
  </si>
  <si>
    <t>27734283</t>
  </si>
  <si>
    <t>МУП "Феникс"</t>
  </si>
  <si>
    <t>5019022952</t>
  </si>
  <si>
    <t>18-01-2019 00:00:00</t>
  </si>
  <si>
    <t>26357922</t>
  </si>
  <si>
    <t>МУП "Чулковское ПТО КХ"</t>
  </si>
  <si>
    <t>5040054386</t>
  </si>
  <si>
    <t>31305053</t>
  </si>
  <si>
    <t>МУП "ЭЦУ"</t>
  </si>
  <si>
    <t>5053041031</t>
  </si>
  <si>
    <t>20-07-2005 00:00:00</t>
  </si>
  <si>
    <t>26357682</t>
  </si>
  <si>
    <t>МУП "Ядроминское РЭП ЖКХ"</t>
  </si>
  <si>
    <t>5017031775</t>
  </si>
  <si>
    <t>28009087</t>
  </si>
  <si>
    <t>МУП «Бытсервис»</t>
  </si>
  <si>
    <t>5074046344</t>
  </si>
  <si>
    <t>16-12-2011 00:00:00</t>
  </si>
  <si>
    <t>26504916</t>
  </si>
  <si>
    <t>МУП «Восход-Комплекс»</t>
  </si>
  <si>
    <t>5017042382</t>
  </si>
  <si>
    <t>28-09-2022 00:00:00</t>
  </si>
  <si>
    <t>27496827</t>
  </si>
  <si>
    <t>МУП «Домнинское»</t>
  </si>
  <si>
    <t>5019020602</t>
  </si>
  <si>
    <t>28958030</t>
  </si>
  <si>
    <t>МУП «Коммунальное хозяйство Коломенского района»</t>
  </si>
  <si>
    <t>5022047001</t>
  </si>
  <si>
    <t>10-12-2014 00:00:00</t>
  </si>
  <si>
    <t>27505912</t>
  </si>
  <si>
    <t>МУП «РСК Селковское»</t>
  </si>
  <si>
    <t>5042121278</t>
  </si>
  <si>
    <t>28493508</t>
  </si>
  <si>
    <t>МУП «УК г.п. Деденево»</t>
  </si>
  <si>
    <t>5007088807</t>
  </si>
  <si>
    <t>28463224</t>
  </si>
  <si>
    <t>МУП ГПЩ "Гортепло"</t>
  </si>
  <si>
    <t>5050105270</t>
  </si>
  <si>
    <t>26357940</t>
  </si>
  <si>
    <t>МУП ГХ г.Краснозаводск</t>
  </si>
  <si>
    <t>5042006606</t>
  </si>
  <si>
    <t>26357753</t>
  </si>
  <si>
    <t>МУП ЖКХ ГП Малаховка</t>
  </si>
  <si>
    <t>5027052196</t>
  </si>
  <si>
    <t>26357646</t>
  </si>
  <si>
    <t>МУП КХ "Егорьевские инженерные сети"</t>
  </si>
  <si>
    <t>5011025214</t>
  </si>
  <si>
    <t>26357997</t>
  </si>
  <si>
    <t>МУП Кервское ЖКП</t>
  </si>
  <si>
    <t>5049004340</t>
  </si>
  <si>
    <t>26358064</t>
  </si>
  <si>
    <t>МУП МПКХ Узуновское</t>
  </si>
  <si>
    <t>5076007380</t>
  </si>
  <si>
    <t>507601001</t>
  </si>
  <si>
    <t>26-11-2005 00:00:00</t>
  </si>
  <si>
    <t>26357681</t>
  </si>
  <si>
    <t>МУП Обушковское РЭП ЖКХ</t>
  </si>
  <si>
    <t>5017031750</t>
  </si>
  <si>
    <t>26358040</t>
  </si>
  <si>
    <t>МУП ПТО ЖХ №8 Орехово-Зуевского района</t>
  </si>
  <si>
    <t>5073006726</t>
  </si>
  <si>
    <t>507301001</t>
  </si>
  <si>
    <t>28265752</t>
  </si>
  <si>
    <t>МУП Серпуховского муниципального района "РКЭУ"</t>
  </si>
  <si>
    <t>5077027156</t>
  </si>
  <si>
    <t>21-02-2013 00:00:00</t>
  </si>
  <si>
    <t>26517721</t>
  </si>
  <si>
    <t>МУП Серпуховского района "УК ЖКХ"</t>
  </si>
  <si>
    <t>5077019733</t>
  </si>
  <si>
    <t>26357602</t>
  </si>
  <si>
    <t>МУП ТХ "Теплосервис"</t>
  </si>
  <si>
    <t>5006011488</t>
  </si>
  <si>
    <t>500601001</t>
  </si>
  <si>
    <t>26548331</t>
  </si>
  <si>
    <t>МУП ЩМР "Межрайонный Щелковский Водоканал"</t>
  </si>
  <si>
    <t>5050025306</t>
  </si>
  <si>
    <t>26584307</t>
  </si>
  <si>
    <t>МУП г.п.Загорянский "Загорянская муниципальная служба ЖКХ"</t>
  </si>
  <si>
    <t>5050061713</t>
  </si>
  <si>
    <t>06-02-2007 00:00:00</t>
  </si>
  <si>
    <t>26357675</t>
  </si>
  <si>
    <t>МУП сельского поселения Новопетровское "Новопетровское ПТО ЖКХ"</t>
  </si>
  <si>
    <t>5017030348</t>
  </si>
  <si>
    <t>28236959</t>
  </si>
  <si>
    <t>МФТИ</t>
  </si>
  <si>
    <t>26361356</t>
  </si>
  <si>
    <t>Международная межправительственная научно-исследовательская организация Объединенный институт ядерных исследований</t>
  </si>
  <si>
    <t>9909125356</t>
  </si>
  <si>
    <t>501063001</t>
  </si>
  <si>
    <t>26789256</t>
  </si>
  <si>
    <t>Московская КЭЧ района</t>
  </si>
  <si>
    <t>7709216845</t>
  </si>
  <si>
    <t>26360982</t>
  </si>
  <si>
    <t>Московская дирекция по тепловодоснабжению - структурное подразделение Центральной дирекции по тепловодоснабжению - филиала ОАО "РЖД"</t>
  </si>
  <si>
    <t>770845068</t>
  </si>
  <si>
    <t>27435083</t>
  </si>
  <si>
    <t>Московская дирекция по тепловодоснабжению СП ЦДТВ –филиал ОАО «РЖД»</t>
  </si>
  <si>
    <t>770845069</t>
  </si>
  <si>
    <t>26357593</t>
  </si>
  <si>
    <t>Московский коксогазовый завод</t>
  </si>
  <si>
    <t>5005001180</t>
  </si>
  <si>
    <t>30913903</t>
  </si>
  <si>
    <t>Московский областной филиал ООО "МЕЧЕЛ-ЭНЕРГО"</t>
  </si>
  <si>
    <t>7722245108</t>
  </si>
  <si>
    <t>500343001</t>
  </si>
  <si>
    <t>15-01-2010 00:00:00</t>
  </si>
  <si>
    <t>02-01-2019 00:00:00</t>
  </si>
  <si>
    <t>26357598</t>
  </si>
  <si>
    <t>НИТУ "МИСИС"</t>
  </si>
  <si>
    <t>7706019535</t>
  </si>
  <si>
    <t>770601005</t>
  </si>
  <si>
    <t>28145252</t>
  </si>
  <si>
    <t>НИЦ "Курчатовский институт"- ИФВЭ</t>
  </si>
  <si>
    <t>5037007869</t>
  </si>
  <si>
    <t>17-04-2012 00:00:00</t>
  </si>
  <si>
    <t>26504930</t>
  </si>
  <si>
    <t>НИЦ ЭРАТ (г. Люберцы)ФГУ «4 ЦНИИ Минобороны России"</t>
  </si>
  <si>
    <t>5027037198</t>
  </si>
  <si>
    <t>26773461</t>
  </si>
  <si>
    <t>НУ "Учебный центр Московского областного  объединения организаций профсоюзов"</t>
  </si>
  <si>
    <t>5003003520</t>
  </si>
  <si>
    <t>26774939</t>
  </si>
  <si>
    <t>Научно-исследовательский центр эксплуатации и ремонта авиационной техники (НИЦ ЭРАТ) (г. Люберцы) ФГУ "4 ЦНИИ Минобороны России"</t>
  </si>
  <si>
    <t>5054086684</t>
  </si>
  <si>
    <t>26357721</t>
  </si>
  <si>
    <t>Нахабинская КЭЧ</t>
  </si>
  <si>
    <t>5024000150</t>
  </si>
  <si>
    <t>26358054</t>
  </si>
  <si>
    <t>ОАО " Шишкин лес"</t>
  </si>
  <si>
    <t>5074030182</t>
  </si>
  <si>
    <t>26514101</t>
  </si>
  <si>
    <t>ОАО "АК "Рубин"</t>
  </si>
  <si>
    <t>5001000034</t>
  </si>
  <si>
    <t>26357696</t>
  </si>
  <si>
    <t>ОАО "Агросервис"</t>
  </si>
  <si>
    <t>5019007746</t>
  </si>
  <si>
    <t>26357693</t>
  </si>
  <si>
    <t>ОАО "Байсад-Кашира"</t>
  </si>
  <si>
    <t>5019002730</t>
  </si>
  <si>
    <t>26357540</t>
  </si>
  <si>
    <t>ОАО "Балашихинский литейно-механический завод"</t>
  </si>
  <si>
    <t>5001000027</t>
  </si>
  <si>
    <t>26357741</t>
  </si>
  <si>
    <t>ОАО "Белая Дача"</t>
  </si>
  <si>
    <t>5027026407</t>
  </si>
  <si>
    <t>26357623</t>
  </si>
  <si>
    <t>ОАО "Белостолбовский кирпичный завод"</t>
  </si>
  <si>
    <t>5009008934</t>
  </si>
  <si>
    <t>14-11-2019 00:00:00</t>
  </si>
  <si>
    <t>26358058</t>
  </si>
  <si>
    <t>ОАО "Бикор"</t>
  </si>
  <si>
    <t>5075002999</t>
  </si>
  <si>
    <t>14-02-2019 00:00:00</t>
  </si>
  <si>
    <t>26357725</t>
  </si>
  <si>
    <t>ОАО "Биомед им.И.И.Мечникова"</t>
  </si>
  <si>
    <t>5024010960</t>
  </si>
  <si>
    <t>26357964</t>
  </si>
  <si>
    <t>ОАО "Веста"</t>
  </si>
  <si>
    <t>5044020204</t>
  </si>
  <si>
    <t>26506459</t>
  </si>
  <si>
    <t>ОАО "Вешки"</t>
  </si>
  <si>
    <t>5029004007</t>
  </si>
  <si>
    <t>27517702</t>
  </si>
  <si>
    <t>ОАО "Водоканал Московской области"</t>
  </si>
  <si>
    <t>5056011395</t>
  </si>
  <si>
    <t>26508621</t>
  </si>
  <si>
    <t>ОАО "Воскресенск-Техноткань"</t>
  </si>
  <si>
    <t>5005000518</t>
  </si>
  <si>
    <t>26357815</t>
  </si>
  <si>
    <t>ОАО "ГКЗ"</t>
  </si>
  <si>
    <t>5032000108</t>
  </si>
  <si>
    <t>26-10-1992 00:00:00</t>
  </si>
  <si>
    <t>27581489</t>
  </si>
  <si>
    <t>ОАО "ГТ-ТЭЦ Энерго"</t>
  </si>
  <si>
    <t>7703311228</t>
  </si>
  <si>
    <t>26357918</t>
  </si>
  <si>
    <t>ОАО "Гжельский кирпичный завод"</t>
  </si>
  <si>
    <t>5040010068</t>
  </si>
  <si>
    <t>26357586</t>
  </si>
  <si>
    <t>ОАО "Городская коммунальная служба"</t>
  </si>
  <si>
    <t>5004016120</t>
  </si>
  <si>
    <t>26357748</t>
  </si>
  <si>
    <t>ОАО "ДОК №13"</t>
  </si>
  <si>
    <t>5027034849</t>
  </si>
  <si>
    <t>26508864</t>
  </si>
  <si>
    <t>ОАО "Даном"</t>
  </si>
  <si>
    <t>7727208050</t>
  </si>
  <si>
    <t>26358041</t>
  </si>
  <si>
    <t>ОАО "Демиховский машиностроительный завод"</t>
  </si>
  <si>
    <t>5073050010</t>
  </si>
  <si>
    <t>774550001</t>
  </si>
  <si>
    <t>26353593</t>
  </si>
  <si>
    <t>ОАО "Дмитровское"</t>
  </si>
  <si>
    <t>5049017702</t>
  </si>
  <si>
    <t>26358053</t>
  </si>
  <si>
    <t>ОАО "Дубровицы"</t>
  </si>
  <si>
    <t>5074030168</t>
  </si>
  <si>
    <t>26357639</t>
  </si>
  <si>
    <t>ОАО "Егорьевск-обувь"</t>
  </si>
  <si>
    <t>5011017647</t>
  </si>
  <si>
    <t>26357831</t>
  </si>
  <si>
    <t>ОАО "ЖКХ "Горки-Х"</t>
  </si>
  <si>
    <t>5032199652</t>
  </si>
  <si>
    <t>26357974</t>
  </si>
  <si>
    <t>ОАО "Жилевский завод пластмасс"</t>
  </si>
  <si>
    <t>5045009531</t>
  </si>
  <si>
    <t>26773039</t>
  </si>
  <si>
    <t>ОАО "Завод Микропровод"</t>
  </si>
  <si>
    <t>5036013524</t>
  </si>
  <si>
    <t>26357731</t>
  </si>
  <si>
    <t>ОАО "КАПО"</t>
  </si>
  <si>
    <t>5024043796</t>
  </si>
  <si>
    <t>06-12-2017 00:00:00</t>
  </si>
  <si>
    <t>26357937</t>
  </si>
  <si>
    <t>ОАО "КРЭП" п.Лоза</t>
  </si>
  <si>
    <t>5042004743</t>
  </si>
  <si>
    <t>26357788</t>
  </si>
  <si>
    <t>ОАО "Караваево"</t>
  </si>
  <si>
    <t>5031002293</t>
  </si>
  <si>
    <t>26783214</t>
  </si>
  <si>
    <t>ОАО "Каскад"</t>
  </si>
  <si>
    <t>5034017900</t>
  </si>
  <si>
    <t>26361015</t>
  </si>
  <si>
    <t>ОАО "Климатехника"</t>
  </si>
  <si>
    <t>7710088186</t>
  </si>
  <si>
    <t>13-01-1993 00:00:00</t>
  </si>
  <si>
    <t>26357701</t>
  </si>
  <si>
    <t>ОАО "Клинстройдеталь"</t>
  </si>
  <si>
    <t>5020002012</t>
  </si>
  <si>
    <t>26358034</t>
  </si>
  <si>
    <t>ОАО "Коломенский опытный мясокомбинат"</t>
  </si>
  <si>
    <t>5070000268</t>
  </si>
  <si>
    <t>26357714</t>
  </si>
  <si>
    <t>ОАО "КоломнаТЕКМАШ"</t>
  </si>
  <si>
    <t>5022014060</t>
  </si>
  <si>
    <t>26357934</t>
  </si>
  <si>
    <t>ОАО "Комбинат ЖБИ"</t>
  </si>
  <si>
    <t>5042002506</t>
  </si>
  <si>
    <t>26357728</t>
  </si>
  <si>
    <t>ОАО "Красногорский завод им.С.А.Зверева"</t>
  </si>
  <si>
    <t>5024022965</t>
  </si>
  <si>
    <t>509950002</t>
  </si>
  <si>
    <t>26357542</t>
  </si>
  <si>
    <t>ОАО "Криогенмаш"</t>
  </si>
  <si>
    <t>5001000066</t>
  </si>
  <si>
    <t>500995001</t>
  </si>
  <si>
    <t>26357761</t>
  </si>
  <si>
    <t>ОАО "ЛЗП"</t>
  </si>
  <si>
    <t>5027100964</t>
  </si>
  <si>
    <t>18-05-2004 00:00:00</t>
  </si>
  <si>
    <t>26357737</t>
  </si>
  <si>
    <t>ОАО "Лыткаринский завод оптического стекла"</t>
  </si>
  <si>
    <t>5026000300</t>
  </si>
  <si>
    <t>26514099</t>
  </si>
  <si>
    <t>ОАО "Люберецкий Завод Монтажавтоматика"</t>
  </si>
  <si>
    <t>5027070580</t>
  </si>
  <si>
    <t>502700001</t>
  </si>
  <si>
    <t>26358009</t>
  </si>
  <si>
    <t>ОАО "ММК-Профиль-Москва"</t>
  </si>
  <si>
    <t>5050014030</t>
  </si>
  <si>
    <t>28237062</t>
  </si>
  <si>
    <t>ОАО "МОЭК-Генерация"</t>
  </si>
  <si>
    <t>7720615579</t>
  </si>
  <si>
    <t>14-04-2017 00:00:00</t>
  </si>
  <si>
    <t>26357885</t>
  </si>
  <si>
    <t>ОАО "Машиностроительный завод  "ЗиО-Подольск"</t>
  </si>
  <si>
    <t>26358027</t>
  </si>
  <si>
    <t>ОАО "Машиностроительный завод"</t>
  </si>
  <si>
    <t>5053005918</t>
  </si>
  <si>
    <t>26357926</t>
  </si>
  <si>
    <t>ОАО "Медтрэйд"</t>
  </si>
  <si>
    <t>5041001980</t>
  </si>
  <si>
    <t>26536148</t>
  </si>
  <si>
    <t>ОАО "Мишеронское"</t>
  </si>
  <si>
    <t>5049017646</t>
  </si>
  <si>
    <t>26409938</t>
  </si>
  <si>
    <t>ОАО "Московская теплосетевая компания"</t>
  </si>
  <si>
    <t>7705654252</t>
  </si>
  <si>
    <t>01-10-2012 00:00:00</t>
  </si>
  <si>
    <t>26508638</t>
  </si>
  <si>
    <t>ОАО "Московский завод "Кристалл" филиал "Корыстово"</t>
  </si>
  <si>
    <t>7722019116</t>
  </si>
  <si>
    <t>501902001</t>
  </si>
  <si>
    <t>26791506</t>
  </si>
  <si>
    <t>ОАО "Московское" по племенной работе</t>
  </si>
  <si>
    <t>5031066307</t>
  </si>
  <si>
    <t>26785344</t>
  </si>
  <si>
    <t>ОАО "НИИРП"</t>
  </si>
  <si>
    <t>5042013804</t>
  </si>
  <si>
    <t>28-10-1992 00:00:00</t>
  </si>
  <si>
    <t>26357794</t>
  </si>
  <si>
    <t>ОАО "НИИЭИ"</t>
  </si>
  <si>
    <t>5031099373</t>
  </si>
  <si>
    <t>26586236</t>
  </si>
  <si>
    <t>ОАО "НКС"</t>
  </si>
  <si>
    <t>5031078359</t>
  </si>
  <si>
    <t>26357809</t>
  </si>
  <si>
    <t>ОАО "НПТО ЖКХ"</t>
  </si>
  <si>
    <t>5031100117</t>
  </si>
  <si>
    <t>26357876</t>
  </si>
  <si>
    <t>ОАО "Народное предприятие Подольсккабель"</t>
  </si>
  <si>
    <t>5036002480</t>
  </si>
  <si>
    <t>26358055</t>
  </si>
  <si>
    <t>ОАО "Наш дом"</t>
  </si>
  <si>
    <t>5074030552</t>
  </si>
  <si>
    <t>20-03-2019 00:00:00</t>
  </si>
  <si>
    <t>26357673</t>
  </si>
  <si>
    <t>ОАО "Ново-Иерусалимский кирпичный завод"</t>
  </si>
  <si>
    <t>5017014441</t>
  </si>
  <si>
    <t>28252425</t>
  </si>
  <si>
    <t>ОАО "Новомосковский Технопарк"</t>
  </si>
  <si>
    <t>5003004676</t>
  </si>
  <si>
    <t>26357802</t>
  </si>
  <si>
    <t>ОАО "Ногинский хлебокомбинат"</t>
  </si>
  <si>
    <t>5031020302</t>
  </si>
  <si>
    <t>28819493</t>
  </si>
  <si>
    <t>ОАО "Огниково"</t>
  </si>
  <si>
    <t>5017003880</t>
  </si>
  <si>
    <t>06-03-1997 00:00:00</t>
  </si>
  <si>
    <t>26357883</t>
  </si>
  <si>
    <t>ОАО "Опытный завод "Луч"</t>
  </si>
  <si>
    <t>5036012986</t>
  </si>
  <si>
    <t>26548035</t>
  </si>
  <si>
    <t>ОАО "Орловское"</t>
  </si>
  <si>
    <t>5050080402</t>
  </si>
  <si>
    <t>22-09-2009 00:00:00</t>
  </si>
  <si>
    <t>26357665</t>
  </si>
  <si>
    <t>ОАО "Оснастка"</t>
  </si>
  <si>
    <t>5016003006</t>
  </si>
  <si>
    <t>18-07-1997 00:00:00</t>
  </si>
  <si>
    <t>28079626</t>
  </si>
  <si>
    <t>ОАО "Осташевское ПТП ЖКХ"</t>
  </si>
  <si>
    <t>5004024717</t>
  </si>
  <si>
    <t>28441737</t>
  </si>
  <si>
    <t>ОАО "ПМК-15"</t>
  </si>
  <si>
    <t>5074001230</t>
  </si>
  <si>
    <t>26357614</t>
  </si>
  <si>
    <t>ОАО "ПО "ТОС"</t>
  </si>
  <si>
    <t>5008000202</t>
  </si>
  <si>
    <t>26783320</t>
  </si>
  <si>
    <t>ОАО "ПТФ "Энергоприбор"</t>
  </si>
  <si>
    <t>5035016402</t>
  </si>
  <si>
    <t>26357867</t>
  </si>
  <si>
    <t>ОАО "Павлово-Посадский камвольщик"</t>
  </si>
  <si>
    <t>5035003185</t>
  </si>
  <si>
    <t>26358070</t>
  </si>
  <si>
    <t>ОАО "Пансионат "Рождественское"</t>
  </si>
  <si>
    <t>5077001334</t>
  </si>
  <si>
    <t>26357827</t>
  </si>
  <si>
    <t>ОАО "Пансионат с лечением Солнечная поляна"</t>
  </si>
  <si>
    <t>5032022630</t>
  </si>
  <si>
    <t>26360357</t>
  </si>
  <si>
    <t>ОАО "Первая генерирующая компания оптового рынка электроэнергии»</t>
  </si>
  <si>
    <t>7203158282</t>
  </si>
  <si>
    <t>26548339</t>
  </si>
  <si>
    <t>ОАО "Песковский комбинат строительных материалов"</t>
  </si>
  <si>
    <t>5070000042</t>
  </si>
  <si>
    <t>26358043</t>
  </si>
  <si>
    <t>ОАО "Подольская  механизированная колонна №15"</t>
  </si>
  <si>
    <t>26357888</t>
  </si>
  <si>
    <t>ОАО "Подольская теплоэнергетическая компания"</t>
  </si>
  <si>
    <t>5036056101</t>
  </si>
  <si>
    <t>26357874</t>
  </si>
  <si>
    <t>ОАО "Подольский химико- металлургический завод"</t>
  </si>
  <si>
    <t>5036001060</t>
  </si>
  <si>
    <t>26357879</t>
  </si>
  <si>
    <t>ОАО "Подольский хлебокомбинат"</t>
  </si>
  <si>
    <t>5036004939</t>
  </si>
  <si>
    <t>26357875</t>
  </si>
  <si>
    <t>ОАО "Подольский экспериментальный мукомольный завод"</t>
  </si>
  <si>
    <t>5036002339</t>
  </si>
  <si>
    <t>26357881</t>
  </si>
  <si>
    <t>ОАО "Подольский электромеханический завод"</t>
  </si>
  <si>
    <t>5036007545</t>
  </si>
  <si>
    <t>26774750</t>
  </si>
  <si>
    <t>ОАО "Позит"</t>
  </si>
  <si>
    <t>5038011787</t>
  </si>
  <si>
    <t>26568954</t>
  </si>
  <si>
    <t>ОАО "Предприятие ЖКХ "Шарапово"</t>
  </si>
  <si>
    <t>5032199902</t>
  </si>
  <si>
    <t>26357863</t>
  </si>
  <si>
    <t>ОАО "Прибордеталь"</t>
  </si>
  <si>
    <t>5034050200</t>
  </si>
  <si>
    <t>28817352</t>
  </si>
  <si>
    <t>ОАО "Прогресс"</t>
  </si>
  <si>
    <t>5049021561</t>
  </si>
  <si>
    <t>505501001</t>
  </si>
  <si>
    <t>28237030</t>
  </si>
  <si>
    <t>ОАО "Пушкинская Теплосеть"</t>
  </si>
  <si>
    <t>5038088317</t>
  </si>
  <si>
    <t>01-02-2012 00:00:00</t>
  </si>
  <si>
    <t>26357904</t>
  </si>
  <si>
    <t>ОАО "Пушкинский текстиль"</t>
  </si>
  <si>
    <t>5038015478</t>
  </si>
  <si>
    <t>26357899</t>
  </si>
  <si>
    <t>ОАО "Пушкинский электромеханический завод"</t>
  </si>
  <si>
    <t>5038010790</t>
  </si>
  <si>
    <t>26650302</t>
  </si>
  <si>
    <t>ОАО "РЖД"</t>
  </si>
  <si>
    <t>997650003</t>
  </si>
  <si>
    <t>31-03-2012 00:00:00</t>
  </si>
  <si>
    <t>26628224</t>
  </si>
  <si>
    <t>ОАО "РЖД" (Дирекция по тепловодоснабжению - СП Октябрьской железной дороги - филиала ОАО "РЖД")</t>
  </si>
  <si>
    <t>780445002</t>
  </si>
  <si>
    <t>26-11-2010 00:00:00</t>
  </si>
  <si>
    <t>01-04-2011 00:00:00</t>
  </si>
  <si>
    <t>26772226</t>
  </si>
  <si>
    <t>ОАО "РЖД" филиал Московской дирекции по ремонту пути ПМС №4</t>
  </si>
  <si>
    <t>770831027</t>
  </si>
  <si>
    <t>26567489</t>
  </si>
  <si>
    <t>ОАО "РЭП "Жаворонки"</t>
  </si>
  <si>
    <t>5032200001</t>
  </si>
  <si>
    <t>26357840</t>
  </si>
  <si>
    <t>ОАО "РЭП Старый Городок"</t>
  </si>
  <si>
    <t>5032199910</t>
  </si>
  <si>
    <t>26357924</t>
  </si>
  <si>
    <t>ОАО "Раменские коммунальные системы"</t>
  </si>
  <si>
    <t>5040062796</t>
  </si>
  <si>
    <t>26358047</t>
  </si>
  <si>
    <t>ОАО "Рязаново"</t>
  </si>
  <si>
    <t>5074030175</t>
  </si>
  <si>
    <t>26358069</t>
  </si>
  <si>
    <t>ОАО "Санаторий "Авангард"</t>
  </si>
  <si>
    <t>5077001327</t>
  </si>
  <si>
    <t>26548419</t>
  </si>
  <si>
    <t>21-04-1994 00:00:00</t>
  </si>
  <si>
    <t>22-03-2022 00:00:00</t>
  </si>
  <si>
    <t>26548443</t>
  </si>
  <si>
    <t>ОАО "Санаторий Поречье"</t>
  </si>
  <si>
    <t>5015000299</t>
  </si>
  <si>
    <t>18-01-1993 00:00:00</t>
  </si>
  <si>
    <t>26358013</t>
  </si>
  <si>
    <t>ОАО "Славия текстиль"</t>
  </si>
  <si>
    <t>5050022376</t>
  </si>
  <si>
    <t>26510915</t>
  </si>
  <si>
    <t>ОАО "Снегиревские огнеупоры"</t>
  </si>
  <si>
    <t>5017000505</t>
  </si>
  <si>
    <t>26357960</t>
  </si>
  <si>
    <t>ОАО "Солнечногорский стекольный завод"</t>
  </si>
  <si>
    <t>5044000053</t>
  </si>
  <si>
    <t>26357900</t>
  </si>
  <si>
    <t>ОАО "Софринский экспериментально-механический завод"</t>
  </si>
  <si>
    <t>5038012283</t>
  </si>
  <si>
    <t>26361040</t>
  </si>
  <si>
    <t>ОАО "Спартакэнерго"</t>
  </si>
  <si>
    <t>7719252306</t>
  </si>
  <si>
    <t>771301001</t>
  </si>
  <si>
    <t>26360932</t>
  </si>
  <si>
    <t>ОАО "Спецсетьстрой"</t>
  </si>
  <si>
    <t>7705041224</t>
  </si>
  <si>
    <t>28076876</t>
  </si>
  <si>
    <t>ОАО "Сычевское ПТП ЖКХ"</t>
  </si>
  <si>
    <t>5004024481</t>
  </si>
  <si>
    <t>24-02-2012 00:00:00</t>
  </si>
  <si>
    <t>26548019</t>
  </si>
  <si>
    <t>ОАО "Талдомские коммунальные системы"</t>
  </si>
  <si>
    <t>5078019510</t>
  </si>
  <si>
    <t>26548124</t>
  </si>
  <si>
    <t>ОАО "Текстильная фирма "Возрождение"</t>
  </si>
  <si>
    <t>5003001178</t>
  </si>
  <si>
    <t>01-11-1999 00:00:00</t>
  </si>
  <si>
    <t>26358020</t>
  </si>
  <si>
    <t>ОАО "Теплосеть 1+"</t>
  </si>
  <si>
    <t>5050047564</t>
  </si>
  <si>
    <t>26783906</t>
  </si>
  <si>
    <t>ОАО "Теплосеть"</t>
  </si>
  <si>
    <t>26358022</t>
  </si>
  <si>
    <t>ОАО "Теплосеть-Инвест"</t>
  </si>
  <si>
    <t>5050055205</t>
  </si>
  <si>
    <t>26357703</t>
  </si>
  <si>
    <t>ОАО "Термоприбор"</t>
  </si>
  <si>
    <t>5020002728</t>
  </si>
  <si>
    <t>26354066</t>
  </si>
  <si>
    <t>ОАО "Техническое решение"</t>
  </si>
  <si>
    <t>5022068139</t>
  </si>
  <si>
    <t>26353832</t>
  </si>
  <si>
    <t>ОАО "Торговый дом "ЗЛКЗ"</t>
  </si>
  <si>
    <t>0411095376</t>
  </si>
  <si>
    <t>26508597</t>
  </si>
  <si>
    <t>ОАО "Фетр"</t>
  </si>
  <si>
    <t>26361080</t>
  </si>
  <si>
    <t>ОАО "Химволокно"</t>
  </si>
  <si>
    <t>5043000117</t>
  </si>
  <si>
    <t>26357700</t>
  </si>
  <si>
    <t>ОАО "Химлаборприбор"</t>
  </si>
  <si>
    <t>5020000618</t>
  </si>
  <si>
    <t>26511923</t>
  </si>
  <si>
    <t>ОАО "ЦИТЭО"</t>
  </si>
  <si>
    <t>5047082632</t>
  </si>
  <si>
    <t>26793286</t>
  </si>
  <si>
    <t>ОАО "Чеховская энергетическая компания"</t>
  </si>
  <si>
    <t>5048015413</t>
  </si>
  <si>
    <t>26357995</t>
  </si>
  <si>
    <t>ОАО "Чеховский завод Гидросталь"</t>
  </si>
  <si>
    <t>5048080606</t>
  </si>
  <si>
    <t>26358018</t>
  </si>
  <si>
    <t>ОАО "Щелковский завод ВДМ"</t>
  </si>
  <si>
    <t>5050042936</t>
  </si>
  <si>
    <t>28982612</t>
  </si>
  <si>
    <t>ОАО "ЭКЗ"</t>
  </si>
  <si>
    <t>5047001778</t>
  </si>
  <si>
    <t>504701101</t>
  </si>
  <si>
    <t>14-11-2002 00:00:00</t>
  </si>
  <si>
    <t>26357983</t>
  </si>
  <si>
    <t>ОАО "Экспериментальный керамический завод"</t>
  </si>
  <si>
    <t>26358025</t>
  </si>
  <si>
    <t>ОАО "Электростальский завод тяжелого машиностроения"</t>
  </si>
  <si>
    <t>5053000564</t>
  </si>
  <si>
    <t>26358007</t>
  </si>
  <si>
    <t>ОАО "Эна"</t>
  </si>
  <si>
    <t>5050011790</t>
  </si>
  <si>
    <t>26357905</t>
  </si>
  <si>
    <t>ОАО "Энергия"</t>
  </si>
  <si>
    <t>5038016104</t>
  </si>
  <si>
    <t>23-12-1993 00:00:00</t>
  </si>
  <si>
    <t>26358019</t>
  </si>
  <si>
    <t>ОАО "Энергоресурсы"</t>
  </si>
  <si>
    <t>5050046112</t>
  </si>
  <si>
    <t>26504866</t>
  </si>
  <si>
    <t>ОАО «342 Механический завод»</t>
  </si>
  <si>
    <t>5009002001</t>
  </si>
  <si>
    <t>26357745</t>
  </si>
  <si>
    <t>ОАО «Радар-2633»</t>
  </si>
  <si>
    <t>5027149374</t>
  </si>
  <si>
    <t>26568952</t>
  </si>
  <si>
    <t>ОАО ЖКХ "Наро-Осановское"</t>
  </si>
  <si>
    <t>5032199596</t>
  </si>
  <si>
    <t>27614901</t>
  </si>
  <si>
    <t>ОАО ЛЗОС</t>
  </si>
  <si>
    <t>26548279</t>
  </si>
  <si>
    <t>ОАО ОК "Софрино"</t>
  </si>
  <si>
    <t>5038040883</t>
  </si>
  <si>
    <t>26357861</t>
  </si>
  <si>
    <t>ОАО ООМЗ "Транспрогресс"</t>
  </si>
  <si>
    <t>5034050136</t>
  </si>
  <si>
    <t>26357822</t>
  </si>
  <si>
    <t>ОАО РЭП "Голицыно"</t>
  </si>
  <si>
    <t>5032199589</t>
  </si>
  <si>
    <t>26357828</t>
  </si>
  <si>
    <t>ОАО РЭП "Немчиновка"</t>
  </si>
  <si>
    <t>5032199998</t>
  </si>
  <si>
    <t>26504922</t>
  </si>
  <si>
    <t>ОАО ХК «Коломенский завод»</t>
  </si>
  <si>
    <t>5022013517</t>
  </si>
  <si>
    <t>26357865</t>
  </si>
  <si>
    <t>ОАО Электрогорский опытно-экспериментальный завод "Элеон"</t>
  </si>
  <si>
    <t>5035001614</t>
  </si>
  <si>
    <t>26357747</t>
  </si>
  <si>
    <t>ОАО"Камов"</t>
  </si>
  <si>
    <t>5027033274</t>
  </si>
  <si>
    <t>26357985</t>
  </si>
  <si>
    <t>ОАО"Московский экспериментальный завод ДСП и Д"</t>
  </si>
  <si>
    <t>5047005980</t>
  </si>
  <si>
    <t>31644312</t>
  </si>
  <si>
    <t>ОБЩЕСТВО С ОГРАНИЧЕННОЙ ОТВЕТСТВЕННОСТЬЮ "ГОЛИЦЫНСКАЯ УПРАВЛЯЮЩАЯ КОМПАНИЯ"</t>
  </si>
  <si>
    <t>5032236181</t>
  </si>
  <si>
    <t>28058525</t>
  </si>
  <si>
    <t>ООО  "ЖК-Ресурс"</t>
  </si>
  <si>
    <t>5032254141</t>
  </si>
  <si>
    <t>03-07-2012 00:00:00</t>
  </si>
  <si>
    <t>28059164</t>
  </si>
  <si>
    <t>ООО  «ТехноАльянсИнвест»</t>
  </si>
  <si>
    <t>5001083979</t>
  </si>
  <si>
    <t>28877677</t>
  </si>
  <si>
    <t>ООО " Жостовская фабрика"</t>
  </si>
  <si>
    <t>5029081227</t>
  </si>
  <si>
    <t>31665118</t>
  </si>
  <si>
    <t>ООО " КСП"</t>
  </si>
  <si>
    <t>5034059160</t>
  </si>
  <si>
    <t>08-09-2020 00:00:00</t>
  </si>
  <si>
    <t>26357689</t>
  </si>
  <si>
    <t>ООО "160 ДСК"</t>
  </si>
  <si>
    <t>5018180402</t>
  </si>
  <si>
    <t>12-08-2015 00:00:00</t>
  </si>
  <si>
    <t>28143360</t>
  </si>
  <si>
    <t>ООО "54 ПК"</t>
  </si>
  <si>
    <t>5007079834</t>
  </si>
  <si>
    <t>04-08-2011 00:00:00</t>
  </si>
  <si>
    <t>11-05-2017 00:00:00</t>
  </si>
  <si>
    <t>30913847</t>
  </si>
  <si>
    <t>5007094720</t>
  </si>
  <si>
    <t>02-07-2015 00:00:00</t>
  </si>
  <si>
    <t>30871480</t>
  </si>
  <si>
    <t>ООО "858 УНР"</t>
  </si>
  <si>
    <t>5032145382</t>
  </si>
  <si>
    <t>04-04-2006 00:00:00</t>
  </si>
  <si>
    <t>30797934</t>
  </si>
  <si>
    <t>ООО "АДС СЕРВИС"</t>
  </si>
  <si>
    <t>5075020934</t>
  </si>
  <si>
    <t>31685256</t>
  </si>
  <si>
    <t>ООО "АМБ-ГРУПП"</t>
  </si>
  <si>
    <t>6639016140</t>
  </si>
  <si>
    <t>667001001</t>
  </si>
  <si>
    <t>20-04-2007 00:00:00</t>
  </si>
  <si>
    <t>28423875</t>
  </si>
  <si>
    <t>ООО "АвангардЪ-Контракт"</t>
  </si>
  <si>
    <t>7706231115</t>
  </si>
  <si>
    <t>26-04-2001 00:00:00</t>
  </si>
  <si>
    <t>30839215</t>
  </si>
  <si>
    <t>ООО "Агрокомплекс "Иванисово"</t>
  </si>
  <si>
    <t>5053067248</t>
  </si>
  <si>
    <t>26357730</t>
  </si>
  <si>
    <t>ООО "Акватория"</t>
  </si>
  <si>
    <t>5024033942</t>
  </si>
  <si>
    <t>17-04-1998 00:00:00</t>
  </si>
  <si>
    <t>26357781</t>
  </si>
  <si>
    <t>ООО "Алабинский опытный завод"</t>
  </si>
  <si>
    <t>5030019255</t>
  </si>
  <si>
    <t>26360941</t>
  </si>
  <si>
    <t>ООО "Альгида"</t>
  </si>
  <si>
    <t>7705664846</t>
  </si>
  <si>
    <t>770501001</t>
  </si>
  <si>
    <t>30869570</t>
  </si>
  <si>
    <t>ООО "Альянс"</t>
  </si>
  <si>
    <t>5035028944</t>
  </si>
  <si>
    <t>13-04-2015 00:00:00</t>
  </si>
  <si>
    <t>26360938</t>
  </si>
  <si>
    <t>ООО "Апраксин Центр"</t>
  </si>
  <si>
    <t>7705481426</t>
  </si>
  <si>
    <t>26513733</t>
  </si>
  <si>
    <t>ООО "Атлант"</t>
  </si>
  <si>
    <t>5011027927</t>
  </si>
  <si>
    <t>31461765</t>
  </si>
  <si>
    <t>ООО "БКС"</t>
  </si>
  <si>
    <t>5012039114</t>
  </si>
  <si>
    <t>31284237</t>
  </si>
  <si>
    <t>5031114871</t>
  </si>
  <si>
    <t>26357811</t>
  </si>
  <si>
    <t>503110001</t>
  </si>
  <si>
    <t>27-04-2015 00:00:00</t>
  </si>
  <si>
    <t>31434425</t>
  </si>
  <si>
    <t>ООО "БТС"</t>
  </si>
  <si>
    <t>5031133360</t>
  </si>
  <si>
    <t>04-03-2019 00:00:00</t>
  </si>
  <si>
    <t>26357552</t>
  </si>
  <si>
    <t>ООО "БХПФ"</t>
  </si>
  <si>
    <t>5001059045</t>
  </si>
  <si>
    <t>21-11-2006 00:00:00</t>
  </si>
  <si>
    <t>31435239</t>
  </si>
  <si>
    <t>ООО "БШФ"</t>
  </si>
  <si>
    <t>5072007036</t>
  </si>
  <si>
    <t>01-06-2020 00:00:00</t>
  </si>
  <si>
    <t>26357849</t>
  </si>
  <si>
    <t>ООО "Баковский завод"</t>
  </si>
  <si>
    <t>5032228582</t>
  </si>
  <si>
    <t>28059211</t>
  </si>
  <si>
    <t>ООО "Балашиха-Сити"</t>
  </si>
  <si>
    <t>5001047530</t>
  </si>
  <si>
    <t>774501001</t>
  </si>
  <si>
    <t>26357549</t>
  </si>
  <si>
    <t>ООО "Балашихинское коммунальное хозяйство"</t>
  </si>
  <si>
    <t>5001042852</t>
  </si>
  <si>
    <t>31644632</t>
  </si>
  <si>
    <t>ООО "Бауцентр"</t>
  </si>
  <si>
    <t>7707837396</t>
  </si>
  <si>
    <t>770701001</t>
  </si>
  <si>
    <t>25-06-2014 00:00:00</t>
  </si>
  <si>
    <t>26510020</t>
  </si>
  <si>
    <t>ООО "Белый парус- энергосервис"</t>
  </si>
  <si>
    <t>5001061291</t>
  </si>
  <si>
    <t>27518630</t>
  </si>
  <si>
    <t>ООО "Березовские коммунальные системы"</t>
  </si>
  <si>
    <t>5044076084</t>
  </si>
  <si>
    <t>31249207</t>
  </si>
  <si>
    <t>ООО "Большое Домодедово"</t>
  </si>
  <si>
    <t>5009064512</t>
  </si>
  <si>
    <t>28978586</t>
  </si>
  <si>
    <t>ООО "ВЕКТОР"</t>
  </si>
  <si>
    <t>5078021799</t>
  </si>
  <si>
    <t>02-04-2015 00:00:00</t>
  </si>
  <si>
    <t>28047622</t>
  </si>
  <si>
    <t>ООО "ВЕКТОР-V"</t>
  </si>
  <si>
    <t>5042116831</t>
  </si>
  <si>
    <t>26357782</t>
  </si>
  <si>
    <t>ООО "ВЕРЕЯ-ТЕПЛО"</t>
  </si>
  <si>
    <t>5030058060</t>
  </si>
  <si>
    <t>28-07-2020 00:00:00</t>
  </si>
  <si>
    <t>26357583</t>
  </si>
  <si>
    <t>ООО "ВТК"</t>
  </si>
  <si>
    <t>5004018752</t>
  </si>
  <si>
    <t>28149509</t>
  </si>
  <si>
    <t>ООО "ВТКХ"</t>
  </si>
  <si>
    <t>5072003225</t>
  </si>
  <si>
    <t>31334932</t>
  </si>
  <si>
    <t>ООО "ВТЭ"</t>
  </si>
  <si>
    <t>7736316207</t>
  </si>
  <si>
    <t>773601001</t>
  </si>
  <si>
    <t>26548197</t>
  </si>
  <si>
    <t>ООО "Вега"</t>
  </si>
  <si>
    <t>5050071140</t>
  </si>
  <si>
    <t>28979896</t>
  </si>
  <si>
    <t>5003113185</t>
  </si>
  <si>
    <t>24-03-2015 00:00:00</t>
  </si>
  <si>
    <t>26504761</t>
  </si>
  <si>
    <t>ООО "Веста-НТК"</t>
  </si>
  <si>
    <t>5012042396</t>
  </si>
  <si>
    <t>26357574</t>
  </si>
  <si>
    <t>ООО "Воскресенские тепловые сети"</t>
  </si>
  <si>
    <t>5003028155</t>
  </si>
  <si>
    <t>30402707</t>
  </si>
  <si>
    <t>ООО "Восход"</t>
  </si>
  <si>
    <t>7708587558</t>
  </si>
  <si>
    <t>25-01-2006 00:00:00</t>
  </si>
  <si>
    <t>30836838</t>
  </si>
  <si>
    <t>ООО "ГРАД"</t>
  </si>
  <si>
    <t>5038088109</t>
  </si>
  <si>
    <t>17-01-2012 00:00:00</t>
  </si>
  <si>
    <t>26357580</t>
  </si>
  <si>
    <t>ООО "ГазпромПХГ"</t>
  </si>
  <si>
    <t>5003065767</t>
  </si>
  <si>
    <t>505002001</t>
  </si>
  <si>
    <t>26508866</t>
  </si>
  <si>
    <t>ООО "ГеоТЭК"</t>
  </si>
  <si>
    <t>7704540206</t>
  </si>
  <si>
    <t>31469739</t>
  </si>
  <si>
    <t>ООО "Геруда"</t>
  </si>
  <si>
    <t>7715383058</t>
  </si>
  <si>
    <t>07-06-2003 00:00:00</t>
  </si>
  <si>
    <t>31026396</t>
  </si>
  <si>
    <t>ООО "Гефест-Инжиниринг"</t>
  </si>
  <si>
    <t>5047156838</t>
  </si>
  <si>
    <t>10-07-2014 00:00:00</t>
  </si>
  <si>
    <t>26361017</t>
  </si>
  <si>
    <t>ООО "ГлавГрадоСтрой"</t>
  </si>
  <si>
    <t>7710532690</t>
  </si>
  <si>
    <t>26357577</t>
  </si>
  <si>
    <t>ООО "Глобал Газис энд Энерджи"</t>
  </si>
  <si>
    <t>5003052782</t>
  </si>
  <si>
    <t>26627387</t>
  </si>
  <si>
    <t>ООО "ГрадИнвест"</t>
  </si>
  <si>
    <t>7729609724</t>
  </si>
  <si>
    <t>28982603</t>
  </si>
  <si>
    <t>ООО "Гранель Инжиниринг"</t>
  </si>
  <si>
    <t>5001091909</t>
  </si>
  <si>
    <t>24-12-2012 00:00:00</t>
  </si>
  <si>
    <t>26508708</t>
  </si>
  <si>
    <t>ООО "Гринэкс"</t>
  </si>
  <si>
    <t>5022033680</t>
  </si>
  <si>
    <t>15-07-2003 00:00:00</t>
  </si>
  <si>
    <t>28444216</t>
  </si>
  <si>
    <t>ООО "ДИСКОМ"</t>
  </si>
  <si>
    <t>7733516938</t>
  </si>
  <si>
    <t>773401001</t>
  </si>
  <si>
    <t>15-03-2004 00:00:00</t>
  </si>
  <si>
    <t>26504864</t>
  </si>
  <si>
    <t>ООО "ДОЗАКЛ"</t>
  </si>
  <si>
    <t>5007057012</t>
  </si>
  <si>
    <t>31008158</t>
  </si>
  <si>
    <t>ООО "ДОМОДЕДОВО ЭРФИЛД"</t>
  </si>
  <si>
    <t>5009097148</t>
  </si>
  <si>
    <t>31615776</t>
  </si>
  <si>
    <t>ООО "ДОС"</t>
  </si>
  <si>
    <t>5042158415</t>
  </si>
  <si>
    <t>28463877</t>
  </si>
  <si>
    <t>ООО "Деловой центр на Смирновской"</t>
  </si>
  <si>
    <t>5027121227</t>
  </si>
  <si>
    <t>26356796</t>
  </si>
  <si>
    <t>ООО "Дзержинские коммунальные сети"</t>
  </si>
  <si>
    <t>4004402685</t>
  </si>
  <si>
    <t>30832552</t>
  </si>
  <si>
    <t>ООО "Диском Сервис"</t>
  </si>
  <si>
    <t>7707083893</t>
  </si>
  <si>
    <t>30-08-2012 00:00:00</t>
  </si>
  <si>
    <t>31231979</t>
  </si>
  <si>
    <t>5036124344</t>
  </si>
  <si>
    <t>31024872</t>
  </si>
  <si>
    <t>ООО "Дмитровский трикотаж"</t>
  </si>
  <si>
    <t>5007102314</t>
  </si>
  <si>
    <t>14-09-2017 00:00:00</t>
  </si>
  <si>
    <t>26357629</t>
  </si>
  <si>
    <t>ООО "Дом и К"</t>
  </si>
  <si>
    <t>5009040215</t>
  </si>
  <si>
    <t>17-12-2002 00:00:00</t>
  </si>
  <si>
    <t>31603536</t>
  </si>
  <si>
    <t>ООО "Дом отдыха "Высокое"</t>
  </si>
  <si>
    <t>5020046490</t>
  </si>
  <si>
    <t>10-08-1999 00:00:00</t>
  </si>
  <si>
    <t>26357910</t>
  </si>
  <si>
    <t>ООО "Дом"</t>
  </si>
  <si>
    <t>5038042538</t>
  </si>
  <si>
    <t>28149040</t>
  </si>
  <si>
    <t>ООО "Драйв"</t>
  </si>
  <si>
    <t>7710541127</t>
  </si>
  <si>
    <t>31350492</t>
  </si>
  <si>
    <t>ООО "ЕСЭ-Кубань"</t>
  </si>
  <si>
    <t>2373002188</t>
  </si>
  <si>
    <t>237301001</t>
  </si>
  <si>
    <t>06-09-2012 00:00:00</t>
  </si>
  <si>
    <t>28459773</t>
  </si>
  <si>
    <t>ООО "ЕвроТЭК-Пушкино"</t>
  </si>
  <si>
    <t>5038092909</t>
  </si>
  <si>
    <t>24-08-2012 00:00:00</t>
  </si>
  <si>
    <t>26357645</t>
  </si>
  <si>
    <t>ООО "Егорьевская птицефабрика"</t>
  </si>
  <si>
    <t>5011020449</t>
  </si>
  <si>
    <t>28266903</t>
  </si>
  <si>
    <t>ООО "ЖЕМЧУЖИНА-СЕРВИС"</t>
  </si>
  <si>
    <t>5032087229</t>
  </si>
  <si>
    <t>10-09-2013 00:00:00</t>
  </si>
  <si>
    <t>26535510</t>
  </si>
  <si>
    <t>ООО "ЖК- Гусарская баллада"</t>
  </si>
  <si>
    <t>5032171752</t>
  </si>
  <si>
    <t>26360940</t>
  </si>
  <si>
    <t>ООО "ЖК-Эксплуатация"</t>
  </si>
  <si>
    <t>7705614595</t>
  </si>
  <si>
    <t>28546954</t>
  </si>
  <si>
    <t>ООО "ЖКО"</t>
  </si>
  <si>
    <t>7729775249</t>
  </si>
  <si>
    <t>504545001</t>
  </si>
  <si>
    <t>28049559</t>
  </si>
  <si>
    <t>ООО "ЖКУ Аксиньино"</t>
  </si>
  <si>
    <t>5045050145</t>
  </si>
  <si>
    <t>28049497</t>
  </si>
  <si>
    <t>ООО "ЖКХ Н. Ступино"</t>
  </si>
  <si>
    <t>5045052079</t>
  </si>
  <si>
    <t>28257193</t>
  </si>
  <si>
    <t>ООО "ЖКХ"</t>
  </si>
  <si>
    <t>5045053717</t>
  </si>
  <si>
    <t>31-05-2013 00:00:00</t>
  </si>
  <si>
    <t>26357969</t>
  </si>
  <si>
    <t>ООО "ЖилБытСервис"</t>
  </si>
  <si>
    <t>5044058462</t>
  </si>
  <si>
    <t>26357785</t>
  </si>
  <si>
    <t>ООО "Жилкомсервис мкр. Восточный"</t>
  </si>
  <si>
    <t>5030049130</t>
  </si>
  <si>
    <t>30854925</t>
  </si>
  <si>
    <t>ООО "Жилремстрой"</t>
  </si>
  <si>
    <t>5044043360</t>
  </si>
  <si>
    <t>11-06-2004 00:00:00</t>
  </si>
  <si>
    <t>26639020</t>
  </si>
  <si>
    <t>ООО "Жилресурс"</t>
  </si>
  <si>
    <t>5019019276</t>
  </si>
  <si>
    <t>28136954</t>
  </si>
  <si>
    <t>ООО "Жилстрой"</t>
  </si>
  <si>
    <t>5011025655</t>
  </si>
  <si>
    <t>26776060</t>
  </si>
  <si>
    <t>ООО "Жильё-XXI"</t>
  </si>
  <si>
    <t>5022091530</t>
  </si>
  <si>
    <t>30946760</t>
  </si>
  <si>
    <t>ООО "ЗМД Подмосковье"</t>
  </si>
  <si>
    <t>5032231747</t>
  </si>
  <si>
    <t>26-02-2016 00:00:00</t>
  </si>
  <si>
    <t>31471900</t>
  </si>
  <si>
    <t>ООО "ИКС Орехово-Зуево"</t>
  </si>
  <si>
    <t>7608037021</t>
  </si>
  <si>
    <t>28-05-2019 00:00:00</t>
  </si>
  <si>
    <t>28425515</t>
  </si>
  <si>
    <t>ООО "ИНВЕСТСТРОЙКОМ"</t>
  </si>
  <si>
    <t>5021010834</t>
  </si>
  <si>
    <t>30877556</t>
  </si>
  <si>
    <t>ООО "ИНВЕСТСТРОЙКОМ-Т"</t>
  </si>
  <si>
    <t>5012040222</t>
  </si>
  <si>
    <t>20-03-2007 00:00:00</t>
  </si>
  <si>
    <t>27554274</t>
  </si>
  <si>
    <t>ООО "ИСК Славянская"</t>
  </si>
  <si>
    <t>7707298747</t>
  </si>
  <si>
    <t>26357667</t>
  </si>
  <si>
    <t>ООО "ИТ Энергосбыт"</t>
  </si>
  <si>
    <t>5038120345</t>
  </si>
  <si>
    <t>22-03-2016 00:00:00</t>
  </si>
  <si>
    <t>26361063</t>
  </si>
  <si>
    <t>ООО "Инвестгазпром"</t>
  </si>
  <si>
    <t>7728175697</t>
  </si>
  <si>
    <t>26361052</t>
  </si>
  <si>
    <t>ООО "Инжтрасс-строй"</t>
  </si>
  <si>
    <t>7723159532</t>
  </si>
  <si>
    <t>772301001</t>
  </si>
  <si>
    <t>26984269</t>
  </si>
  <si>
    <t>ООО "ИнтерКапСтрой"</t>
  </si>
  <si>
    <t>7729561783</t>
  </si>
  <si>
    <t>26357967</t>
  </si>
  <si>
    <t>ООО "Инфракомплекс-Сервис"</t>
  </si>
  <si>
    <t>5044047580</t>
  </si>
  <si>
    <t>26357921</t>
  </si>
  <si>
    <t>ООО "Инфрастрой Быково"</t>
  </si>
  <si>
    <t>5040052212</t>
  </si>
  <si>
    <t>26357890</t>
  </si>
  <si>
    <t>ООО "Искож"</t>
  </si>
  <si>
    <t>5036070240</t>
  </si>
  <si>
    <t>18-01-2006 00:00:00</t>
  </si>
  <si>
    <t>31365894</t>
  </si>
  <si>
    <t>ООО "К-ЖБИ"</t>
  </si>
  <si>
    <t>5042134439</t>
  </si>
  <si>
    <t>11-11-2014 00:00:00</t>
  </si>
  <si>
    <t>31000161</t>
  </si>
  <si>
    <t>ООО "КАПО М"</t>
  </si>
  <si>
    <t>5024177479</t>
  </si>
  <si>
    <t>17-07-2017 00:00:00</t>
  </si>
  <si>
    <t>31078100</t>
  </si>
  <si>
    <t>ООО "КАРФАКС"</t>
  </si>
  <si>
    <t>9705061721</t>
  </si>
  <si>
    <t>02-03-2016 00:00:00</t>
  </si>
  <si>
    <t>31652187</t>
  </si>
  <si>
    <t>ООО "КВАРТАЛ-НЕДВИЖИМОСТЬ"</t>
  </si>
  <si>
    <t>5050120260</t>
  </si>
  <si>
    <t>20-08-2015 00:00:00</t>
  </si>
  <si>
    <t>26357733</t>
  </si>
  <si>
    <t>ООО "КНАУФ ГИПС"</t>
  </si>
  <si>
    <t>5024051564</t>
  </si>
  <si>
    <t>26548140</t>
  </si>
  <si>
    <t>ООО "КСК "Регион"</t>
  </si>
  <si>
    <t>5042097272</t>
  </si>
  <si>
    <t>07-12-2007 00:00:00</t>
  </si>
  <si>
    <t>27367507</t>
  </si>
  <si>
    <t>ООО "КТС"</t>
  </si>
  <si>
    <t>5024115112</t>
  </si>
  <si>
    <t>26583859</t>
  </si>
  <si>
    <t>ООО "КТТ-Дубки"</t>
  </si>
  <si>
    <t>5032126728</t>
  </si>
  <si>
    <t>18-03-2005 00:00:00</t>
  </si>
  <si>
    <t>30812297</t>
  </si>
  <si>
    <t>ООО "КТТ-Островцы"</t>
  </si>
  <si>
    <t>5032200428</t>
  </si>
  <si>
    <t>19-03-2015 00:00:00</t>
  </si>
  <si>
    <t>26984265</t>
  </si>
  <si>
    <t>ООО "КТТ-Реут"</t>
  </si>
  <si>
    <t>5012032158</t>
  </si>
  <si>
    <t>26358021</t>
  </si>
  <si>
    <t>ООО "Калорис"</t>
  </si>
  <si>
    <t>5050052645</t>
  </si>
  <si>
    <t>14-06-2005 00:00:00</t>
  </si>
  <si>
    <t>28984640</t>
  </si>
  <si>
    <t>ООО "Катуар-Инвест"</t>
  </si>
  <si>
    <t>5007091341</t>
  </si>
  <si>
    <t>10-09-2014 00:00:00</t>
  </si>
  <si>
    <t>26357706</t>
  </si>
  <si>
    <t>ООО "Клинтеплоэнергосервис"</t>
  </si>
  <si>
    <t>5020039630</t>
  </si>
  <si>
    <t>28457710</t>
  </si>
  <si>
    <t>ООО "Коммунальные Системы"</t>
  </si>
  <si>
    <t>5078020347</t>
  </si>
  <si>
    <t>26357764</t>
  </si>
  <si>
    <t>ООО "Коммунальные системы Томилино"  ("КСТ")</t>
  </si>
  <si>
    <t>5027118111</t>
  </si>
  <si>
    <t>31223233</t>
  </si>
  <si>
    <t>ООО "Компьюлинк Инфраструктра Ликино-Дулево"</t>
  </si>
  <si>
    <t>5034053754</t>
  </si>
  <si>
    <t>17-04-2017 00:00:00</t>
  </si>
  <si>
    <t>30802850</t>
  </si>
  <si>
    <t>ООО "Конвент-Плюс"</t>
  </si>
  <si>
    <t>7710245657</t>
  </si>
  <si>
    <t>773001001</t>
  </si>
  <si>
    <t>16-06-1997 00:00:00</t>
  </si>
  <si>
    <t>28049171</t>
  </si>
  <si>
    <t>ООО "Контакт-Ресурс"</t>
  </si>
  <si>
    <t>7705504151</t>
  </si>
  <si>
    <t>26645200</t>
  </si>
  <si>
    <t>ООО "Контур Строй"</t>
  </si>
  <si>
    <t>5042106985</t>
  </si>
  <si>
    <t>26631338</t>
  </si>
  <si>
    <t>ООО "Контур ресурс"</t>
  </si>
  <si>
    <t>5042106992</t>
  </si>
  <si>
    <t>08-06-2009 00:00:00</t>
  </si>
  <si>
    <t>30353734</t>
  </si>
  <si>
    <t>ООО "Котельная-Павшино"</t>
  </si>
  <si>
    <t>5032209999</t>
  </si>
  <si>
    <t>07-07-2015 00:00:00</t>
  </si>
  <si>
    <t>26357650</t>
  </si>
  <si>
    <t>ООО "Кучинский кирпичный завод"</t>
  </si>
  <si>
    <t>5012026203</t>
  </si>
  <si>
    <t>30-12-2015 00:00:00</t>
  </si>
  <si>
    <t>28425534</t>
  </si>
  <si>
    <t>ООО "ЛОГОПАРК МЕНЕДЖМЕНТ"</t>
  </si>
  <si>
    <t>5040071960</t>
  </si>
  <si>
    <t>15-06-2006 00:00:00</t>
  </si>
  <si>
    <t>28128472</t>
  </si>
  <si>
    <t>ООО "Ленинвест-Холдинг"</t>
  </si>
  <si>
    <t>5003061642</t>
  </si>
  <si>
    <t>26358056</t>
  </si>
  <si>
    <t>ООО "Лечебно-профилактическое учреждение "Санаторий Дорохово"</t>
  </si>
  <si>
    <t>5075023100</t>
  </si>
  <si>
    <t>26511070</t>
  </si>
  <si>
    <t>ООО "Ликинский автобус"</t>
  </si>
  <si>
    <t>5073006518</t>
  </si>
  <si>
    <t>503450001</t>
  </si>
  <si>
    <t>26511050</t>
  </si>
  <si>
    <t>ООО "Лирсот"</t>
  </si>
  <si>
    <t>7712026280</t>
  </si>
  <si>
    <t>26357551</t>
  </si>
  <si>
    <t>ООО "Лисья гора"</t>
  </si>
  <si>
    <t>5001058108</t>
  </si>
  <si>
    <t>26627359</t>
  </si>
  <si>
    <t>ООО "Логопарк Чехов"</t>
  </si>
  <si>
    <t>5048014875</t>
  </si>
  <si>
    <t>27518657</t>
  </si>
  <si>
    <t>ООО "Ложковские коммунальные системы"</t>
  </si>
  <si>
    <t>5044076119</t>
  </si>
  <si>
    <t>27-12-2018 00:00:00</t>
  </si>
  <si>
    <t>26358035</t>
  </si>
  <si>
    <t>ООО "Лотошинский автодор"</t>
  </si>
  <si>
    <t>5071006495</t>
  </si>
  <si>
    <t>28828992</t>
  </si>
  <si>
    <t>ООО "Луневобытсервис"</t>
  </si>
  <si>
    <t>5044092880</t>
  </si>
  <si>
    <t>26504932</t>
  </si>
  <si>
    <t>ООО "Любэнергоснаб"</t>
  </si>
  <si>
    <t>5027098306</t>
  </si>
  <si>
    <t>25-12-2003 00:00:00</t>
  </si>
  <si>
    <t>26774407</t>
  </si>
  <si>
    <t>ООО "Люсена"</t>
  </si>
  <si>
    <t>5019020000</t>
  </si>
  <si>
    <t>28869565</t>
  </si>
  <si>
    <t>ООО "М.К.Ф. Система-Бриз"</t>
  </si>
  <si>
    <t>7705387159</t>
  </si>
  <si>
    <t>10-05-2007 00:00:00</t>
  </si>
  <si>
    <t>28463563</t>
  </si>
  <si>
    <t>ООО "МДО"</t>
  </si>
  <si>
    <t>7709900371</t>
  </si>
  <si>
    <t>26548247</t>
  </si>
  <si>
    <t>ООО "МЕГА Белая Дача"</t>
  </si>
  <si>
    <t>5027108265</t>
  </si>
  <si>
    <t>26515847</t>
  </si>
  <si>
    <t>ООО "МЕЧЕЛ-ЭНЕРГО"</t>
  </si>
  <si>
    <t>771401001</t>
  </si>
  <si>
    <t>26773203</t>
  </si>
  <si>
    <t>ООО "МЖК "Люберцы-2"</t>
  </si>
  <si>
    <t>5027126306</t>
  </si>
  <si>
    <t>26508886</t>
  </si>
  <si>
    <t>ООО "МКХ Коломенского района"</t>
  </si>
  <si>
    <t>5022560710</t>
  </si>
  <si>
    <t>31560509</t>
  </si>
  <si>
    <t>ООО "МОЯ Жилищная Компания"</t>
  </si>
  <si>
    <t>5027021790</t>
  </si>
  <si>
    <t>16-02-2016 00:00:00</t>
  </si>
  <si>
    <t>30357268</t>
  </si>
  <si>
    <t>ООО "МПН"</t>
  </si>
  <si>
    <t>7717649120</t>
  </si>
  <si>
    <t>24-03-2009 00:00:00</t>
  </si>
  <si>
    <t>28869832</t>
  </si>
  <si>
    <t>ООО "МСК Инвест-проект"</t>
  </si>
  <si>
    <t>5012027944</t>
  </si>
  <si>
    <t>14-01-2015 00:00:00</t>
  </si>
  <si>
    <t>27518602</t>
  </si>
  <si>
    <t>ООО "Майдаровские коммунальные системы"</t>
  </si>
  <si>
    <t>5044076133</t>
  </si>
  <si>
    <t>13-02-2023 00:00:00</t>
  </si>
  <si>
    <t>26508851</t>
  </si>
  <si>
    <t>ООО "Маркет Трейд Центр"</t>
  </si>
  <si>
    <t>5024043965</t>
  </si>
  <si>
    <t>24-10-2000 00:00:00</t>
  </si>
  <si>
    <t>26357610</t>
  </si>
  <si>
    <t>ООО "Машиностроитель-ДЗФС"</t>
  </si>
  <si>
    <t>5007041608</t>
  </si>
  <si>
    <t>26357855</t>
  </si>
  <si>
    <t>ООО "Мех Оретекс"</t>
  </si>
  <si>
    <t>5034016985</t>
  </si>
  <si>
    <t>26773487</t>
  </si>
  <si>
    <t>ООО "Мечел-Энерго"</t>
  </si>
  <si>
    <t>500332001</t>
  </si>
  <si>
    <t>20-03-2015 00:00:00</t>
  </si>
  <si>
    <t>08-08-2019 00:00:00</t>
  </si>
  <si>
    <t>31290833</t>
  </si>
  <si>
    <t>746001001</t>
  </si>
  <si>
    <t>10-07-2002 00:00:00</t>
  </si>
  <si>
    <t>26361085</t>
  </si>
  <si>
    <t>ООО "Мобильная генерация"</t>
  </si>
  <si>
    <t>7733651895</t>
  </si>
  <si>
    <t>26567656</t>
  </si>
  <si>
    <t>ООО "Монолитстройсервис"</t>
  </si>
  <si>
    <t>7719284153</t>
  </si>
  <si>
    <t>770801001</t>
  </si>
  <si>
    <t>20-10-2003 00:00:00</t>
  </si>
  <si>
    <t>28463181</t>
  </si>
  <si>
    <t>ООО "Мортон-РСО"</t>
  </si>
  <si>
    <t>7714192290</t>
  </si>
  <si>
    <t>12-03-2003 00:00:00</t>
  </si>
  <si>
    <t>26357848</t>
  </si>
  <si>
    <t>ООО "Московский насосный завод"</t>
  </si>
  <si>
    <t>5032084860</t>
  </si>
  <si>
    <t>30848622</t>
  </si>
  <si>
    <t>ООО "Мультисервис"</t>
  </si>
  <si>
    <t>7729641213</t>
  </si>
  <si>
    <t>09-10-2009 00:00:00</t>
  </si>
  <si>
    <t>28957655</t>
  </si>
  <si>
    <t>ООО "НАРПРОМЭНЕРГО"</t>
  </si>
  <si>
    <t>5030081006</t>
  </si>
  <si>
    <t>11-09-2013 00:00:00</t>
  </si>
  <si>
    <t>28869428</t>
  </si>
  <si>
    <t>ООО "НИГО-М"</t>
  </si>
  <si>
    <t>5024045200</t>
  </si>
  <si>
    <t>16-01-2001 00:00:00</t>
  </si>
  <si>
    <t>26511134</t>
  </si>
  <si>
    <t>ООО "НКН"</t>
  </si>
  <si>
    <t>5036137343</t>
  </si>
  <si>
    <t>26357789</t>
  </si>
  <si>
    <t>ООО "НОЗМП"</t>
  </si>
  <si>
    <t>5031086543</t>
  </si>
  <si>
    <t>26357798</t>
  </si>
  <si>
    <t>ООО "НРСУ"</t>
  </si>
  <si>
    <t>5031011347</t>
  </si>
  <si>
    <t>29-03-2000 00:00:00</t>
  </si>
  <si>
    <t>26357786</t>
  </si>
  <si>
    <t>ООО "НТЭК"</t>
  </si>
  <si>
    <t>5030053538</t>
  </si>
  <si>
    <t>26509777</t>
  </si>
  <si>
    <t>ООО "Нахабинские инженерные сети"</t>
  </si>
  <si>
    <t>5024092779</t>
  </si>
  <si>
    <t>12-12-2007 00:00:00</t>
  </si>
  <si>
    <t>13-01-2022 00:00:00</t>
  </si>
  <si>
    <t>26357755</t>
  </si>
  <si>
    <t>ООО "Новая Керамика"</t>
  </si>
  <si>
    <t>5027069922</t>
  </si>
  <si>
    <t>26357896</t>
  </si>
  <si>
    <t>ООО "Новое Тишково"</t>
  </si>
  <si>
    <t>5038005582</t>
  </si>
  <si>
    <t>31297753</t>
  </si>
  <si>
    <t>5038998281</t>
  </si>
  <si>
    <t>25-06-2012 00:00:00</t>
  </si>
  <si>
    <t>31604584</t>
  </si>
  <si>
    <t>ООО "ОПЫТ"</t>
  </si>
  <si>
    <t>5042114552</t>
  </si>
  <si>
    <t>27-08-2010 00:00:00</t>
  </si>
  <si>
    <t>26357986</t>
  </si>
  <si>
    <t>ООО "ОУСЦ "Планерная"</t>
  </si>
  <si>
    <t>5047035706</t>
  </si>
  <si>
    <t>07-12-1999 00:00:00</t>
  </si>
  <si>
    <t>26509751</t>
  </si>
  <si>
    <t>ООО "ОЭЗМК"ЭКСК"</t>
  </si>
  <si>
    <t>5053042740</t>
  </si>
  <si>
    <t>26648803</t>
  </si>
  <si>
    <t>ООО "Областные коммунальные системы"</t>
  </si>
  <si>
    <t>5050088120</t>
  </si>
  <si>
    <t>26357911</t>
  </si>
  <si>
    <t>ООО "Общий дом"</t>
  </si>
  <si>
    <t>5038044729</t>
  </si>
  <si>
    <t>503804001</t>
  </si>
  <si>
    <t>28823497</t>
  </si>
  <si>
    <t>ООО "Одинцово-Генерация"</t>
  </si>
  <si>
    <t>5032275656</t>
  </si>
  <si>
    <t>31-01-2014 00:00:00</t>
  </si>
  <si>
    <t>28455211</t>
  </si>
  <si>
    <t>ООО "Олимпиец"</t>
  </si>
  <si>
    <t>7722635669</t>
  </si>
  <si>
    <t>26357982</t>
  </si>
  <si>
    <t>5047000774</t>
  </si>
  <si>
    <t>29-07-2021 00:00:00</t>
  </si>
  <si>
    <t>26357860</t>
  </si>
  <si>
    <t>ООО "Орехово-Зуевская "Теплосеть"</t>
  </si>
  <si>
    <t>5034022668</t>
  </si>
  <si>
    <t>17-11-2021 00:00:00</t>
  </si>
  <si>
    <t>31463810</t>
  </si>
  <si>
    <t>ООО "Осташевское ЖКХ"</t>
  </si>
  <si>
    <t>5004029994</t>
  </si>
  <si>
    <t>26510898</t>
  </si>
  <si>
    <t>ООО "ПИК-Комфорт"</t>
  </si>
  <si>
    <t>7701208190</t>
  </si>
  <si>
    <t>31520461</t>
  </si>
  <si>
    <t>ООО "ПК"</t>
  </si>
  <si>
    <t>5031095153</t>
  </si>
  <si>
    <t>24-02-2011 00:00:00</t>
  </si>
  <si>
    <t>30854309</t>
  </si>
  <si>
    <t>ООО "ПК"СКБМ"</t>
  </si>
  <si>
    <t>5043055589</t>
  </si>
  <si>
    <t>11-08-2015 00:00:00</t>
  </si>
  <si>
    <t>27746856</t>
  </si>
  <si>
    <t>ООО "ПКФ Стройбетон"</t>
  </si>
  <si>
    <t>5018059580</t>
  </si>
  <si>
    <t>31597182</t>
  </si>
  <si>
    <t>ООО "ПЛЮС ДЕВЕЛОПМЕНТ РЕГИОН"</t>
  </si>
  <si>
    <t>7727837620</t>
  </si>
  <si>
    <t>26-06-2014 00:00:00</t>
  </si>
  <si>
    <t>29648127</t>
  </si>
  <si>
    <t>ООО "ПОЛИГОН-СЕРВИС+"</t>
  </si>
  <si>
    <t>5049020938</t>
  </si>
  <si>
    <t>22-10-2012 00:00:00</t>
  </si>
  <si>
    <t>26568792</t>
  </si>
  <si>
    <t>ООО "ПОЛИМЕРКОНТЕЙНЕР 1"</t>
  </si>
  <si>
    <t>5007032018</t>
  </si>
  <si>
    <t>30359172</t>
  </si>
  <si>
    <t>ООО "ПРОМФИНАКТИВ"</t>
  </si>
  <si>
    <t>7709636825</t>
  </si>
  <si>
    <t>14-10-2005 00:00:00</t>
  </si>
  <si>
    <t>26357871</t>
  </si>
  <si>
    <t>ООО "Павлово-Посадский шелк"</t>
  </si>
  <si>
    <t>5035022477</t>
  </si>
  <si>
    <t>30917791</t>
  </si>
  <si>
    <t>ООО "Павловские тепловые сети"</t>
  </si>
  <si>
    <t>7731286277</t>
  </si>
  <si>
    <t>29-06-2015 00:00:00</t>
  </si>
  <si>
    <t>26357588</t>
  </si>
  <si>
    <t>ООО "Пансионат "Ласточка"</t>
  </si>
  <si>
    <t>5004017540</t>
  </si>
  <si>
    <t>30876749</t>
  </si>
  <si>
    <t>ООО "Пансионат "Лесной городок"</t>
  </si>
  <si>
    <t>5032093504</t>
  </si>
  <si>
    <t>22-08-2003 00:00:00</t>
  </si>
  <si>
    <t>28423260</t>
  </si>
  <si>
    <t>ООО "Пансионат"</t>
  </si>
  <si>
    <t>5001087042</t>
  </si>
  <si>
    <t>05-03-2012 00:00:00</t>
  </si>
  <si>
    <t>28872292</t>
  </si>
  <si>
    <t>ООО "Подольский мукомольный завод"</t>
  </si>
  <si>
    <t>5036134335</t>
  </si>
  <si>
    <t>26550882</t>
  </si>
  <si>
    <t>ООО "Подольский энергетический завод им. Калинина"</t>
  </si>
  <si>
    <t>5036032527</t>
  </si>
  <si>
    <t>26357886</t>
  </si>
  <si>
    <t>ООО "Подольский энергетический завод имени Калинина"</t>
  </si>
  <si>
    <t>5036050290</t>
  </si>
  <si>
    <t>28869408</t>
  </si>
  <si>
    <t>ООО "Проектстройальянс"</t>
  </si>
  <si>
    <t>7723512839</t>
  </si>
  <si>
    <t>28221849</t>
  </si>
  <si>
    <t>ООО "ПромСтройБетон"</t>
  </si>
  <si>
    <t>7715340230</t>
  </si>
  <si>
    <t>500245001</t>
  </si>
  <si>
    <t>27-01-2003 00:00:00</t>
  </si>
  <si>
    <t>26357713</t>
  </si>
  <si>
    <t>ООО "Промэнергопродукт"</t>
  </si>
  <si>
    <t>5022028922</t>
  </si>
  <si>
    <t>26357870</t>
  </si>
  <si>
    <t>ООО "Протон-5"</t>
  </si>
  <si>
    <t>5035021730</t>
  </si>
  <si>
    <t>26357858</t>
  </si>
  <si>
    <t>ООО "Пряжа и Трикотаж ОРЕТЕКС"</t>
  </si>
  <si>
    <t>5034017971</t>
  </si>
  <si>
    <t>28465925</t>
  </si>
  <si>
    <t>ООО "РИГЭК"</t>
  </si>
  <si>
    <t>5048028765</t>
  </si>
  <si>
    <t>13-04-2012 00:00:00</t>
  </si>
  <si>
    <t>26357754</t>
  </si>
  <si>
    <t>ООО "РИК"</t>
  </si>
  <si>
    <t>5051007910</t>
  </si>
  <si>
    <t>30-08-2004 00:00:00</t>
  </si>
  <si>
    <t>26504944</t>
  </si>
  <si>
    <t>ООО "РОСАЛКО-ИНТЕЛЛЕКТ"</t>
  </si>
  <si>
    <t>5009070724</t>
  </si>
  <si>
    <t>31638683</t>
  </si>
  <si>
    <t>ООО "РОСИНКА МЕНЕДЖМЕНТ"</t>
  </si>
  <si>
    <t>5024148750</t>
  </si>
  <si>
    <t>02-10-2014 00:00:00</t>
  </si>
  <si>
    <t>26550887</t>
  </si>
  <si>
    <t>ООО "РСК"</t>
  </si>
  <si>
    <t>5012055109</t>
  </si>
  <si>
    <t>31402417</t>
  </si>
  <si>
    <t>ООО "РУШ"</t>
  </si>
  <si>
    <t>5032269645</t>
  </si>
  <si>
    <t>20-08-2013 00:00:00</t>
  </si>
  <si>
    <t>26639023</t>
  </si>
  <si>
    <t>ООО "РЭО"</t>
  </si>
  <si>
    <t>5036069580</t>
  </si>
  <si>
    <t>26573296</t>
  </si>
  <si>
    <t>ООО "РЭП КХ УК "Тучково"</t>
  </si>
  <si>
    <t>5075372460</t>
  </si>
  <si>
    <t>23-11-2010 00:00:00</t>
  </si>
  <si>
    <t>29-12-2018 00:00:00</t>
  </si>
  <si>
    <t>26357734</t>
  </si>
  <si>
    <t>ООО "РЭП Красногорье"</t>
  </si>
  <si>
    <t>5024073776</t>
  </si>
  <si>
    <t>27758296</t>
  </si>
  <si>
    <t>ООО "РЭС"</t>
  </si>
  <si>
    <t>5032159515</t>
  </si>
  <si>
    <t>17-11-2006 00:00:00</t>
  </si>
  <si>
    <t>26647099</t>
  </si>
  <si>
    <t>ООО "Радуга - Хит"</t>
  </si>
  <si>
    <t>5036063074</t>
  </si>
  <si>
    <t>28874544</t>
  </si>
  <si>
    <t>ООО "Радуга-ХИТ"</t>
  </si>
  <si>
    <t>5036030047</t>
  </si>
  <si>
    <t>29-12-1995 00:00:00</t>
  </si>
  <si>
    <t>27518661</t>
  </si>
  <si>
    <t>ООО "Радумльские коммунальные системы"</t>
  </si>
  <si>
    <t>5044076060</t>
  </si>
  <si>
    <t>26511413</t>
  </si>
  <si>
    <t>ООО "Раменская эксплуатационная энергетическая компания"</t>
  </si>
  <si>
    <t>5040055140</t>
  </si>
  <si>
    <t>26627385</t>
  </si>
  <si>
    <t>ООО "Реал-Инвест"</t>
  </si>
  <si>
    <t>5042080409</t>
  </si>
  <si>
    <t>27909160</t>
  </si>
  <si>
    <t>ООО "РегионЭнергоСервис" обособленное подразделение г.Красногорск</t>
  </si>
  <si>
    <t>502445001</t>
  </si>
  <si>
    <t>01-08-2012 00:00:00</t>
  </si>
  <si>
    <t>28975189</t>
  </si>
  <si>
    <t>ООО "Ресурсоснабжение"</t>
  </si>
  <si>
    <t>7840022997</t>
  </si>
  <si>
    <t>784001001</t>
  </si>
  <si>
    <t>28-06-2023 00:00:00</t>
  </si>
  <si>
    <t>26357927</t>
  </si>
  <si>
    <t>ООО "Реутовская мануфактура"</t>
  </si>
  <si>
    <t>5041023623</t>
  </si>
  <si>
    <t>26361010</t>
  </si>
  <si>
    <t>ООО "Ридиос"</t>
  </si>
  <si>
    <t>7709221595</t>
  </si>
  <si>
    <t>31464621</t>
  </si>
  <si>
    <t>ООО "Рублевское предместье-3"</t>
  </si>
  <si>
    <t>5024093596</t>
  </si>
  <si>
    <t>31-01-2008 00:00:00</t>
  </si>
  <si>
    <t>30358781</t>
  </si>
  <si>
    <t>ООО "Рузская тепловая компания"</t>
  </si>
  <si>
    <t>5075018188</t>
  </si>
  <si>
    <t>25-05-2004 00:00:00</t>
  </si>
  <si>
    <t>26358061</t>
  </si>
  <si>
    <t>5075030516</t>
  </si>
  <si>
    <t>26358060</t>
  </si>
  <si>
    <t>ООО "Рузская эксплуатационная компания"</t>
  </si>
  <si>
    <t>5075035352</t>
  </si>
  <si>
    <t>26358062</t>
  </si>
  <si>
    <t>ООО "Рузские тепловые сети"</t>
  </si>
  <si>
    <t>5075032471</t>
  </si>
  <si>
    <t>01-08-2006 00:00:00</t>
  </si>
  <si>
    <t>30359191</t>
  </si>
  <si>
    <t>ООО "РусБизнесГрупп"</t>
  </si>
  <si>
    <t>7706589983</t>
  </si>
  <si>
    <t>23-08-2005 00:00:00</t>
  </si>
  <si>
    <t>26357915</t>
  </si>
  <si>
    <t>ООО "СГ"Инфинити"</t>
  </si>
  <si>
    <t>7743603058</t>
  </si>
  <si>
    <t>11-07-2006 00:00:00</t>
  </si>
  <si>
    <t>26548171</t>
  </si>
  <si>
    <t>ООО "СЕМПО"</t>
  </si>
  <si>
    <t>7714508459</t>
  </si>
  <si>
    <t>31616017</t>
  </si>
  <si>
    <t>ООО "СИБЖИЛСТРОЙ"</t>
  </si>
  <si>
    <t>5044078807</t>
  </si>
  <si>
    <t>08-04-2021 00:00:00</t>
  </si>
  <si>
    <t>26359232</t>
  </si>
  <si>
    <t>ООО "СКМ Энергосервис"</t>
  </si>
  <si>
    <t>5835074795</t>
  </si>
  <si>
    <t>583501001</t>
  </si>
  <si>
    <t>01-01-2017 00:00:00</t>
  </si>
  <si>
    <t>31463014</t>
  </si>
  <si>
    <t>ООО "СКС"</t>
  </si>
  <si>
    <t>5007048515</t>
  </si>
  <si>
    <t>28983529</t>
  </si>
  <si>
    <t>ООО "СМ-Теплоресурс"</t>
  </si>
  <si>
    <t>5050106964</t>
  </si>
  <si>
    <t>04-10-2013 00:00:00</t>
  </si>
  <si>
    <t>30358956</t>
  </si>
  <si>
    <t>ООО "СОЛСТЕК"</t>
  </si>
  <si>
    <t>5044093227</t>
  </si>
  <si>
    <t>03-02-2015 00:00:00</t>
  </si>
  <si>
    <t>30390865</t>
  </si>
  <si>
    <t>ООО "СП-СанТехМонтаж"</t>
  </si>
  <si>
    <t>5050047525</t>
  </si>
  <si>
    <t>16-04-2004 00:00:00</t>
  </si>
  <si>
    <t>27367557</t>
  </si>
  <si>
    <t>ООО "СПТЭК"</t>
  </si>
  <si>
    <t>5042114016</t>
  </si>
  <si>
    <t>31655803</t>
  </si>
  <si>
    <t>ООО "СТС"</t>
  </si>
  <si>
    <t>5018133868</t>
  </si>
  <si>
    <t>31341252</t>
  </si>
  <si>
    <t>ООО "СЭТ"</t>
  </si>
  <si>
    <t>5010046451</t>
  </si>
  <si>
    <t>23-05-2013 00:00:00</t>
  </si>
  <si>
    <t>26357768</t>
  </si>
  <si>
    <t>ООО "Санаторий "Подлипки"</t>
  </si>
  <si>
    <t>5029998609</t>
  </si>
  <si>
    <t>31031661</t>
  </si>
  <si>
    <t>ООО "Сапфир"</t>
  </si>
  <si>
    <t>7751001762</t>
  </si>
  <si>
    <t>26589473</t>
  </si>
  <si>
    <t>ООО "Селена"</t>
  </si>
  <si>
    <t>5001075872</t>
  </si>
  <si>
    <t>26357729</t>
  </si>
  <si>
    <t>ООО "Сельхозполимер"</t>
  </si>
  <si>
    <t>5024089293</t>
  </si>
  <si>
    <t>17-07-2007 00:00:00</t>
  </si>
  <si>
    <t>31397037</t>
  </si>
  <si>
    <t>ООО "Серпуховская бумага"</t>
  </si>
  <si>
    <t>5043064752</t>
  </si>
  <si>
    <t>15-08-2018 00:00:00</t>
  </si>
  <si>
    <t>27554086</t>
  </si>
  <si>
    <t>ООО "Синди-М"</t>
  </si>
  <si>
    <t>5027073076</t>
  </si>
  <si>
    <t>29-07-1999 00:00:00</t>
  </si>
  <si>
    <t>28816128</t>
  </si>
  <si>
    <t>ООО "СкайградТеплоСервис"</t>
  </si>
  <si>
    <t>501813386</t>
  </si>
  <si>
    <t>26357688</t>
  </si>
  <si>
    <t>ООО "Славяне"</t>
  </si>
  <si>
    <t>5018008313</t>
  </si>
  <si>
    <t>26548099</t>
  </si>
  <si>
    <t>ООО "Современные технологии"</t>
  </si>
  <si>
    <t>7708229993</t>
  </si>
  <si>
    <t>26357661</t>
  </si>
  <si>
    <t>ООО "Современные технологии" Звенигородский филиал "Пансионат Поречье"</t>
  </si>
  <si>
    <t>501532001</t>
  </si>
  <si>
    <t>31215594</t>
  </si>
  <si>
    <t>ООО "Союз-Химки"</t>
  </si>
  <si>
    <t>5047160224</t>
  </si>
  <si>
    <t>31686443</t>
  </si>
  <si>
    <t>ООО "Спецэнергомаш"</t>
  </si>
  <si>
    <t>7328070851</t>
  </si>
  <si>
    <t>732501001</t>
  </si>
  <si>
    <t>12-12-2012 00:00:00</t>
  </si>
  <si>
    <t>26568830</t>
  </si>
  <si>
    <t>ООО "Спортивно - развлекательный парк культуры и отдыха "ЯХРОМА"</t>
  </si>
  <si>
    <t>5007069868</t>
  </si>
  <si>
    <t>12-04-2022 00:00:00</t>
  </si>
  <si>
    <t>28827714</t>
  </si>
  <si>
    <t>ООО "Стиропласт"</t>
  </si>
  <si>
    <t>5048008977</t>
  </si>
  <si>
    <t>13-11-2014 00:00:00</t>
  </si>
  <si>
    <t>26357912</t>
  </si>
  <si>
    <t>ООО "Сторосс-тепло"</t>
  </si>
  <si>
    <t>5038078534</t>
  </si>
  <si>
    <t>26358050</t>
  </si>
  <si>
    <t>ООО "Строительная фирма ТЛК"</t>
  </si>
  <si>
    <t>5074016614</t>
  </si>
  <si>
    <t>26361026</t>
  </si>
  <si>
    <t>ООО "Строй-Контракт XXI"</t>
  </si>
  <si>
    <t>7715339612</t>
  </si>
  <si>
    <t>31633109</t>
  </si>
  <si>
    <t>ООО "СтройЛидер"</t>
  </si>
  <si>
    <t>5040124900</t>
  </si>
  <si>
    <t>771801001</t>
  </si>
  <si>
    <t>05-08-2013 00:00:00</t>
  </si>
  <si>
    <t>28875837</t>
  </si>
  <si>
    <t>ООО "СтройПерспектива"</t>
  </si>
  <si>
    <t>7717563151</t>
  </si>
  <si>
    <t>26510040</t>
  </si>
  <si>
    <t>ООО "СтройСети"</t>
  </si>
  <si>
    <t>5032116938</t>
  </si>
  <si>
    <t>26773356</t>
  </si>
  <si>
    <t>28267885</t>
  </si>
  <si>
    <t>ООО "Стройрегистр"</t>
  </si>
  <si>
    <t>5054010340</t>
  </si>
  <si>
    <t>31448322</t>
  </si>
  <si>
    <t>ООО "ТВС"</t>
  </si>
  <si>
    <t>7728493770</t>
  </si>
  <si>
    <t>26357950</t>
  </si>
  <si>
    <t>ООО "ТГК - СП"</t>
  </si>
  <si>
    <t>5042091513</t>
  </si>
  <si>
    <t>28966496</t>
  </si>
  <si>
    <t>ООО "ТГН"</t>
  </si>
  <si>
    <t>5031108959</t>
  </si>
  <si>
    <t>10-01-2014 00:00:00</t>
  </si>
  <si>
    <t>13-12-2021 00:00:00</t>
  </si>
  <si>
    <t>30812239</t>
  </si>
  <si>
    <t>ООО "ТЕКС"</t>
  </si>
  <si>
    <t>7703652852</t>
  </si>
  <si>
    <t>21-12-2007 00:00:00</t>
  </si>
  <si>
    <t>01-06-2023 00:00:00</t>
  </si>
  <si>
    <t>31649335</t>
  </si>
  <si>
    <t>ООО "ТЕПЛО-ИНЖИНИРИНГ"</t>
  </si>
  <si>
    <t>5029268948</t>
  </si>
  <si>
    <t>31256953</t>
  </si>
  <si>
    <t>ООО "ТЕПЛОКОМФОРТ"</t>
  </si>
  <si>
    <t>5027216447</t>
  </si>
  <si>
    <t>15-09-2014 00:00:00</t>
  </si>
  <si>
    <t>31362974</t>
  </si>
  <si>
    <t>ООО "ТЕПЛОРЕСУРС"</t>
  </si>
  <si>
    <t>7733822974</t>
  </si>
  <si>
    <t>21-11-2012 00:00:00</t>
  </si>
  <si>
    <t>30363112</t>
  </si>
  <si>
    <t>ООО "ТЕПЛОРИЯ"</t>
  </si>
  <si>
    <t>7730695950</t>
  </si>
  <si>
    <t>06-11-2013 00:00:00</t>
  </si>
  <si>
    <t>30-09-2021 00:00:00</t>
  </si>
  <si>
    <t>31257781</t>
  </si>
  <si>
    <t>ООО "ТЕПЛОСЕРВИС"</t>
  </si>
  <si>
    <t>5018182801</t>
  </si>
  <si>
    <t>11-01-2016 00:00:00</t>
  </si>
  <si>
    <t>26357928</t>
  </si>
  <si>
    <t>5041024698</t>
  </si>
  <si>
    <t>27-10-2004 00:00:00</t>
  </si>
  <si>
    <t>28455200</t>
  </si>
  <si>
    <t>ООО "ТЕПЛОЭНЕРГОРЕСУРС СП"</t>
  </si>
  <si>
    <t>5042114150</t>
  </si>
  <si>
    <t>26357763</t>
  </si>
  <si>
    <t>ООО "ТОМЭГ"</t>
  </si>
  <si>
    <t>5027116330</t>
  </si>
  <si>
    <t>07-04-2006 00:00:00</t>
  </si>
  <si>
    <t>30898119</t>
  </si>
  <si>
    <t>ООО "ТСК Мосэнерго"</t>
  </si>
  <si>
    <t>7729698690</t>
  </si>
  <si>
    <t>15-12-2011 00:00:00</t>
  </si>
  <si>
    <t>30953338</t>
  </si>
  <si>
    <t>ООО "ТСК Мосэнерго" (обособленное подразделение № 7)</t>
  </si>
  <si>
    <t>772145001</t>
  </si>
  <si>
    <t>08-12-2011 00:00:00</t>
  </si>
  <si>
    <t>31080902</t>
  </si>
  <si>
    <t>ООО "ТСК"</t>
  </si>
  <si>
    <t>5007097223</t>
  </si>
  <si>
    <t>10-03-2016 00:00:00</t>
  </si>
  <si>
    <t>31465994</t>
  </si>
  <si>
    <t>5044114646</t>
  </si>
  <si>
    <t>30848615</t>
  </si>
  <si>
    <t>ООО "ТСнаб"</t>
  </si>
  <si>
    <t>5027229534</t>
  </si>
  <si>
    <t>06-07-2015 00:00:00</t>
  </si>
  <si>
    <t>03-11-2023 00:00:00</t>
  </si>
  <si>
    <t>28046747</t>
  </si>
  <si>
    <t>ООО "ТЭК"</t>
  </si>
  <si>
    <t>5042121493</t>
  </si>
  <si>
    <t>28982580</t>
  </si>
  <si>
    <t>ООО "ТЭСИС"</t>
  </si>
  <si>
    <t>5024092137</t>
  </si>
  <si>
    <t>01-04-2014 00:00:00</t>
  </si>
  <si>
    <t>31038470</t>
  </si>
  <si>
    <t>ООО "Тепло Гарант"</t>
  </si>
  <si>
    <t>5050131985</t>
  </si>
  <si>
    <t>04-05-2017 00:00:00</t>
  </si>
  <si>
    <t>27554437</t>
  </si>
  <si>
    <t>ООО "Тепло Сервис"</t>
  </si>
  <si>
    <t>5050082061</t>
  </si>
  <si>
    <t>25-12-2009 00:00:00</t>
  </si>
  <si>
    <t>26357718</t>
  </si>
  <si>
    <t>ООО "Тепло-Озёры"</t>
  </si>
  <si>
    <t>5022088329</t>
  </si>
  <si>
    <t>08-08-2018 00:00:00</t>
  </si>
  <si>
    <t>31507076</t>
  </si>
  <si>
    <t>ООО "Тепло-Сервис"</t>
  </si>
  <si>
    <t>7721781963</t>
  </si>
  <si>
    <t>28284500</t>
  </si>
  <si>
    <t>ООО "ТеплоВиК"</t>
  </si>
  <si>
    <t>5032230567</t>
  </si>
  <si>
    <t>10-11-2010 00:00:00</t>
  </si>
  <si>
    <t>28858999</t>
  </si>
  <si>
    <t>ООО "ТеплоГрад"</t>
  </si>
  <si>
    <t>5003102553</t>
  </si>
  <si>
    <t>28442529</t>
  </si>
  <si>
    <t>ООО "ТеплоИнвест"</t>
  </si>
  <si>
    <t>5049021191</t>
  </si>
  <si>
    <t>26-04-2013 00:00:00</t>
  </si>
  <si>
    <t>31243823</t>
  </si>
  <si>
    <t>ООО "ТеплоРемСервис"</t>
  </si>
  <si>
    <t>5031123918</t>
  </si>
  <si>
    <t>26-01-2017 00:00:00</t>
  </si>
  <si>
    <t>28977025</t>
  </si>
  <si>
    <t>ООО "ТеплоЭнерго"</t>
  </si>
  <si>
    <t>7709959600</t>
  </si>
  <si>
    <t>31250343</t>
  </si>
  <si>
    <t>ООО "ТеплоЭнергоРесурс"</t>
  </si>
  <si>
    <t>5047176496</t>
  </si>
  <si>
    <t>02-11-2015 00:00:00</t>
  </si>
  <si>
    <t>28943024</t>
  </si>
  <si>
    <t>ООО "ТеплоЭнергоСервис"</t>
  </si>
  <si>
    <t>7715821801</t>
  </si>
  <si>
    <t>771501001</t>
  </si>
  <si>
    <t>30-07-2010 00:00:00</t>
  </si>
  <si>
    <t>26768981</t>
  </si>
  <si>
    <t>ООО "Тепловик"</t>
  </si>
  <si>
    <t>5521009072</t>
  </si>
  <si>
    <t>552101001</t>
  </si>
  <si>
    <t>05-07-2011 00:00:00</t>
  </si>
  <si>
    <t>28978783</t>
  </si>
  <si>
    <t>ООО "Тепловодоканал Сергиево-Посадского района"</t>
  </si>
  <si>
    <t>5042135993</t>
  </si>
  <si>
    <t>27-03-2015 00:00:00</t>
  </si>
  <si>
    <t>26357547</t>
  </si>
  <si>
    <t>ООО "Тепловые сети Балашихи"</t>
  </si>
  <si>
    <t>5001036552</t>
  </si>
  <si>
    <t>27581033</t>
  </si>
  <si>
    <t>ООО "Теплогарант"</t>
  </si>
  <si>
    <t>5050071990</t>
  </si>
  <si>
    <t>30-08-2022 00:00:00</t>
  </si>
  <si>
    <t>26583837</t>
  </si>
  <si>
    <t>ООО "Теплоинжсервис"</t>
  </si>
  <si>
    <t>5032187311</t>
  </si>
  <si>
    <t>16-04-2008 00:00:00</t>
  </si>
  <si>
    <t>26568935</t>
  </si>
  <si>
    <t>ООО "Теплосервис"</t>
  </si>
  <si>
    <t>5004018174</t>
  </si>
  <si>
    <t>31229273</t>
  </si>
  <si>
    <t>5034055127</t>
  </si>
  <si>
    <t>15-01-2018 00:00:00</t>
  </si>
  <si>
    <t>28492395</t>
  </si>
  <si>
    <t>ООО "Теплосервис-М"</t>
  </si>
  <si>
    <t>5001086627</t>
  </si>
  <si>
    <t>26357651</t>
  </si>
  <si>
    <t>ООО "Теплосети"</t>
  </si>
  <si>
    <t>5012030591</t>
  </si>
  <si>
    <t>30809176</t>
  </si>
  <si>
    <t>ООО "Теплосеть Гарант"</t>
  </si>
  <si>
    <t>5050125981</t>
  </si>
  <si>
    <t>20-06-2016 00:00:00</t>
  </si>
  <si>
    <t>30809186</t>
  </si>
  <si>
    <t>ООО "Теплосеть Сервис"</t>
  </si>
  <si>
    <t>5050125124</t>
  </si>
  <si>
    <t>28-04-2016 00:00:00</t>
  </si>
  <si>
    <t>30809196</t>
  </si>
  <si>
    <t>ООО "Теплоцентраль"</t>
  </si>
  <si>
    <t>7723437701</t>
  </si>
  <si>
    <t>23-03-2016 00:00:00</t>
  </si>
  <si>
    <t>26625937</t>
  </si>
  <si>
    <t>ООО "Теплоэнергосервис"</t>
  </si>
  <si>
    <t>5027099317</t>
  </si>
  <si>
    <t>772101001</t>
  </si>
  <si>
    <t>30802627</t>
  </si>
  <si>
    <t>ООО "ТермоТрон"</t>
  </si>
  <si>
    <t>5024159342</t>
  </si>
  <si>
    <t>31021810</t>
  </si>
  <si>
    <t>ООО "Термологистика"</t>
  </si>
  <si>
    <t>9701062918</t>
  </si>
  <si>
    <t>02-02-2017 00:00:00</t>
  </si>
  <si>
    <t>28442928</t>
  </si>
  <si>
    <t>ООО "Термоси"</t>
  </si>
  <si>
    <t>5042125258</t>
  </si>
  <si>
    <t>10-09-2012 00:00:00</t>
  </si>
  <si>
    <t>26357856</t>
  </si>
  <si>
    <t>ООО "Ткани Оретекс"</t>
  </si>
  <si>
    <t>5034017876</t>
  </si>
  <si>
    <t>30873114</t>
  </si>
  <si>
    <t>ООО "Торговый дом ММК"</t>
  </si>
  <si>
    <t>7445042181</t>
  </si>
  <si>
    <t>745501001</t>
  </si>
  <si>
    <t>06-11-2008 00:00:00</t>
  </si>
  <si>
    <t>28046395</t>
  </si>
  <si>
    <t>ООО "Туголесские коммунальные системы"</t>
  </si>
  <si>
    <t>5049020945</t>
  </si>
  <si>
    <t>28871708</t>
  </si>
  <si>
    <t>ООО "УК "Комфорт"</t>
  </si>
  <si>
    <t>5040126418</t>
  </si>
  <si>
    <t>26774967</t>
  </si>
  <si>
    <t>5072725478</t>
  </si>
  <si>
    <t>28799301</t>
  </si>
  <si>
    <t>ООО "УК "Кунцево"</t>
  </si>
  <si>
    <t>5032281716</t>
  </si>
  <si>
    <t>16-06-2014 00:00:00</t>
  </si>
  <si>
    <t>28463196</t>
  </si>
  <si>
    <t>ООО "УК "ПАРК-СИТИ"</t>
  </si>
  <si>
    <t>5013056867</t>
  </si>
  <si>
    <t>22-01-2008 00:00:00</t>
  </si>
  <si>
    <t>27367487</t>
  </si>
  <si>
    <t>ООО "УК "Экосервис"</t>
  </si>
  <si>
    <t>5012047813</t>
  </si>
  <si>
    <t>30363306</t>
  </si>
  <si>
    <t>ООО "УК Бисерово Сервис"</t>
  </si>
  <si>
    <t>5031103140</t>
  </si>
  <si>
    <t>31247070</t>
  </si>
  <si>
    <t>ООО "УК Рублевский"</t>
  </si>
  <si>
    <t>5029117258</t>
  </si>
  <si>
    <t>31614658</t>
  </si>
  <si>
    <t>ООО "УК"ЛАКОКРАСКА"</t>
  </si>
  <si>
    <t>9718124369</t>
  </si>
  <si>
    <t>06-08-2021 00:00:00</t>
  </si>
  <si>
    <t>31339276</t>
  </si>
  <si>
    <t>ООО "УК-Энергоцентр"</t>
  </si>
  <si>
    <t>5015283657</t>
  </si>
  <si>
    <t>30854919</t>
  </si>
  <si>
    <t>ООО "УКС"</t>
  </si>
  <si>
    <t>5042094384</t>
  </si>
  <si>
    <t>11-07-2007 00:00:00</t>
  </si>
  <si>
    <t>26584379</t>
  </si>
  <si>
    <t>ООО "Управляющая компания "Жилищно-строительная компания"</t>
  </si>
  <si>
    <t>5042110452</t>
  </si>
  <si>
    <t>26790831</t>
  </si>
  <si>
    <t>ООО "Управляющая компания "ЗЛКЗ"</t>
  </si>
  <si>
    <t>5042114390</t>
  </si>
  <si>
    <t>28153040</t>
  </si>
  <si>
    <t>ООО "Управляющая компания "МЕГА-ГРУП"</t>
  </si>
  <si>
    <t>5003093179</t>
  </si>
  <si>
    <t>27801661</t>
  </si>
  <si>
    <t>ООО "Управляющая компания "Остов Эксплуатация"</t>
  </si>
  <si>
    <t>5030067509</t>
  </si>
  <si>
    <t>30-03-2022 00:00:00</t>
  </si>
  <si>
    <t>26795642</t>
  </si>
  <si>
    <t>ООО "Управляющая компания Шеметово"</t>
  </si>
  <si>
    <t>5042111946</t>
  </si>
  <si>
    <t>28047171</t>
  </si>
  <si>
    <t>ООО "Управляющая компания Щуровский комбинат"</t>
  </si>
  <si>
    <t>5022558550</t>
  </si>
  <si>
    <t>26-04-2010 00:00:00</t>
  </si>
  <si>
    <t>26510958</t>
  </si>
  <si>
    <t>ООО "Управляющая организация "ЖКХ Снегири"</t>
  </si>
  <si>
    <t>5017073493</t>
  </si>
  <si>
    <t>31-07-2023 00:00:00</t>
  </si>
  <si>
    <t>31540070</t>
  </si>
  <si>
    <t>ООО "ФОКСА"</t>
  </si>
  <si>
    <t>5024056266</t>
  </si>
  <si>
    <t>772401001</t>
  </si>
  <si>
    <t>26552746</t>
  </si>
  <si>
    <t>ООО "Фаворит-Сервис"</t>
  </si>
  <si>
    <t>5031083091</t>
  </si>
  <si>
    <t>30875646</t>
  </si>
  <si>
    <t>ООО "ХАНТ-ХОЛДИНГ"</t>
  </si>
  <si>
    <t>5006004770</t>
  </si>
  <si>
    <t>11-02-1998 00:00:00</t>
  </si>
  <si>
    <t>31652215</t>
  </si>
  <si>
    <t>ООО "ХОРВИЦ РЕСУРС"</t>
  </si>
  <si>
    <t>9701193935</t>
  </si>
  <si>
    <t>19-01-2022 00:00:00</t>
  </si>
  <si>
    <t>31391284</t>
  </si>
  <si>
    <t>ООО "Хухтамаки С.Н.Г."</t>
  </si>
  <si>
    <t>7724000760</t>
  </si>
  <si>
    <t>28-06-2002 00:00:00</t>
  </si>
  <si>
    <t>26639008</t>
  </si>
  <si>
    <t>ООО "ЦЕНТРОМЕБЕЛЬ" ДОЦ "Пушкино"</t>
  </si>
  <si>
    <t>9705004530</t>
  </si>
  <si>
    <t>503845001</t>
  </si>
  <si>
    <t>28535811</t>
  </si>
  <si>
    <t>ООО "ЦЕНТРЭНЕРГОСЕРВИС"</t>
  </si>
  <si>
    <t>7714825881</t>
  </si>
  <si>
    <t>16-12-2010 00:00:00</t>
  </si>
  <si>
    <t>28791649</t>
  </si>
  <si>
    <t>ООО "ЦИТ Транс М"</t>
  </si>
  <si>
    <t>7709298076</t>
  </si>
  <si>
    <t>11-01-2000 00:00:00</t>
  </si>
  <si>
    <t>28967703</t>
  </si>
  <si>
    <t>ООО "ЦИТЭО"</t>
  </si>
  <si>
    <t>5047162704</t>
  </si>
  <si>
    <t>14-05-2015 00:00:00</t>
  </si>
  <si>
    <t>31413316</t>
  </si>
  <si>
    <t>ООО "ЦМПТ"</t>
  </si>
  <si>
    <t>7724855081</t>
  </si>
  <si>
    <t>26-11-2012 00:00:00</t>
  </si>
  <si>
    <t>28461440</t>
  </si>
  <si>
    <t>ООО "ЦСС"</t>
  </si>
  <si>
    <t>7718514100</t>
  </si>
  <si>
    <t>24-05-2004 00:00:00</t>
  </si>
  <si>
    <t>31600354</t>
  </si>
  <si>
    <t>ООО "ЦЭП"</t>
  </si>
  <si>
    <t>5042143521</t>
  </si>
  <si>
    <t>01-07-2022 00:00:00</t>
  </si>
  <si>
    <t>31587115</t>
  </si>
  <si>
    <t>ООО "Центр отдыха Зеленый городок"</t>
  </si>
  <si>
    <t>7718669440</t>
  </si>
  <si>
    <t>01-05-2022 00:00:00</t>
  </si>
  <si>
    <t>31413323</t>
  </si>
  <si>
    <t>ООО "ЧИСТАЯ ЭНЕРГИЯ"</t>
  </si>
  <si>
    <t>9705109331</t>
  </si>
  <si>
    <t>06-10-2017 00:00:00</t>
  </si>
  <si>
    <t>27518593</t>
  </si>
  <si>
    <t>ООО "Чашниковские коммунальные системы"</t>
  </si>
  <si>
    <t>5044076091</t>
  </si>
  <si>
    <t>27517720</t>
  </si>
  <si>
    <t>ООО "Черустинские коммунальные системы"</t>
  </si>
  <si>
    <t>5049020141</t>
  </si>
  <si>
    <t>30873864</t>
  </si>
  <si>
    <t>ООО "Шаляпинская усадьба"</t>
  </si>
  <si>
    <t>5047136341</t>
  </si>
  <si>
    <t>04-10-2012 00:00:00</t>
  </si>
  <si>
    <t>28980696</t>
  </si>
  <si>
    <t>ООО "ЩКС"</t>
  </si>
  <si>
    <t>5050107044</t>
  </si>
  <si>
    <t>10-10-2013 00:00:00</t>
  </si>
  <si>
    <t>27580934</t>
  </si>
  <si>
    <t>ООО "ЭК "Довиль"</t>
  </si>
  <si>
    <t>5032190353</t>
  </si>
  <si>
    <t>17-06-2008 00:00:00</t>
  </si>
  <si>
    <t>31247083</t>
  </si>
  <si>
    <t>ООО "ЭК "Мишино"</t>
  </si>
  <si>
    <t>7709922520</t>
  </si>
  <si>
    <t>18-02-2013 00:00:00</t>
  </si>
  <si>
    <t>26622582</t>
  </si>
  <si>
    <t>ООО "ЭНЕРГОИНВЕСТ"</t>
  </si>
  <si>
    <t>4706017437</t>
  </si>
  <si>
    <t>20-11-2011 00:00:00</t>
  </si>
  <si>
    <t>08-02-2021 00:00:00</t>
  </si>
  <si>
    <t>26357759</t>
  </si>
  <si>
    <t>ООО "ЭНЕРГОСЕРВИС"</t>
  </si>
  <si>
    <t>5027098352</t>
  </si>
  <si>
    <t>19-12-2003 00:00:00</t>
  </si>
  <si>
    <t>31543004</t>
  </si>
  <si>
    <t>ООО "ЭНЕРГОСТАНДАРТ"</t>
  </si>
  <si>
    <t>5047225143</t>
  </si>
  <si>
    <t>30363189</t>
  </si>
  <si>
    <t>7718303540</t>
  </si>
  <si>
    <t>16-10-2014 00:00:00</t>
  </si>
  <si>
    <t>30363057</t>
  </si>
  <si>
    <t>ООО "ЭНЕРГОСТРОЙРЕСУРС"</t>
  </si>
  <si>
    <t>5075032489</t>
  </si>
  <si>
    <t>03-08-2006 00:00:00</t>
  </si>
  <si>
    <t>28261033</t>
  </si>
  <si>
    <t>ООО "ЭНЕРГОТРЕЙД"</t>
  </si>
  <si>
    <t>5022556168</t>
  </si>
  <si>
    <t>26357705</t>
  </si>
  <si>
    <t>ООО "ЭНЕРГОЦЕНТР"</t>
  </si>
  <si>
    <t>5020052207</t>
  </si>
  <si>
    <t>26357740</t>
  </si>
  <si>
    <t>5027010164</t>
  </si>
  <si>
    <t>30358319</t>
  </si>
  <si>
    <t>ООО "ЭС-СЖ"</t>
  </si>
  <si>
    <t>5038097840</t>
  </si>
  <si>
    <t>18-04-2003 00:00:00</t>
  </si>
  <si>
    <t>30992266</t>
  </si>
  <si>
    <t>ООО "ЭТС "Воздвиженское"</t>
  </si>
  <si>
    <t>5043052764</t>
  </si>
  <si>
    <t>26-09-2014 00:00:00</t>
  </si>
  <si>
    <t>31025863</t>
  </si>
  <si>
    <t>ООО "ЭТС"</t>
  </si>
  <si>
    <t>5024138127</t>
  </si>
  <si>
    <t>13-07-2013 00:00:00</t>
  </si>
  <si>
    <t>31581375</t>
  </si>
  <si>
    <t>ООО "ЭЮТСК 1"</t>
  </si>
  <si>
    <t>5053061334</t>
  </si>
  <si>
    <t>26358049</t>
  </si>
  <si>
    <t>ООО "Эврика-2"</t>
  </si>
  <si>
    <t>5074013469</t>
  </si>
  <si>
    <t>26627389</t>
  </si>
  <si>
    <t>ООО "Эгера"</t>
  </si>
  <si>
    <t>5020030690</t>
  </si>
  <si>
    <t>26361081</t>
  </si>
  <si>
    <t>ООО "Экономтрансстрой"</t>
  </si>
  <si>
    <t>7733113390</t>
  </si>
  <si>
    <t>26509755</t>
  </si>
  <si>
    <t>ООО "Элемаш-ТЭК"</t>
  </si>
  <si>
    <t>5053055010</t>
  </si>
  <si>
    <t>18-07-2019 00:00:00</t>
  </si>
  <si>
    <t>28868883</t>
  </si>
  <si>
    <t>ООО "Элком"</t>
  </si>
  <si>
    <t>7729731749</t>
  </si>
  <si>
    <t>31341244</t>
  </si>
  <si>
    <t>ООО "Элком+"</t>
  </si>
  <si>
    <t>7727401880</t>
  </si>
  <si>
    <t>12-12-2018 00:00:00</t>
  </si>
  <si>
    <t>26357810</t>
  </si>
  <si>
    <t>ООО "Энергия Плюс"</t>
  </si>
  <si>
    <t>5031052745</t>
  </si>
  <si>
    <t>30358487</t>
  </si>
  <si>
    <t>ООО "Энерго Инвест"</t>
  </si>
  <si>
    <t>5042093101</t>
  </si>
  <si>
    <t>28979613</t>
  </si>
  <si>
    <t>ООО "ЭнергоИнвест"</t>
  </si>
  <si>
    <t>7841378040</t>
  </si>
  <si>
    <t>780201001</t>
  </si>
  <si>
    <t>26641597</t>
  </si>
  <si>
    <t>ООО "ЭнергоИнвест" (неактуальный КПП)</t>
  </si>
  <si>
    <t>784101001</t>
  </si>
  <si>
    <t>31-07-2016 00:00:00</t>
  </si>
  <si>
    <t>28054636</t>
  </si>
  <si>
    <t>ООО "ЭнергоСтандарт"</t>
  </si>
  <si>
    <t>5047128541</t>
  </si>
  <si>
    <t>11-11-2011 00:00:00</t>
  </si>
  <si>
    <t>28445908</t>
  </si>
  <si>
    <t>ООО "ЭнергоСтрой"</t>
  </si>
  <si>
    <t>7706771230</t>
  </si>
  <si>
    <t>26-03-2012 00:00:00</t>
  </si>
  <si>
    <t>31528168</t>
  </si>
  <si>
    <t>ООО "ЭнергоСтройМех"</t>
  </si>
  <si>
    <t>5032266179</t>
  </si>
  <si>
    <t>20-12-2016 00:00:00</t>
  </si>
  <si>
    <t>27573591</t>
  </si>
  <si>
    <t>ООО "Энергопартнер"</t>
  </si>
  <si>
    <t>5007061629</t>
  </si>
  <si>
    <t>28009039</t>
  </si>
  <si>
    <t>ООО "Энергоресурс"</t>
  </si>
  <si>
    <t>5042088983</t>
  </si>
  <si>
    <t>28857540</t>
  </si>
  <si>
    <t>5044090882</t>
  </si>
  <si>
    <t>09-06-2014 00:00:00</t>
  </si>
  <si>
    <t>30802616</t>
  </si>
  <si>
    <t>ООО "Энергоцентр-Н"</t>
  </si>
  <si>
    <t>5027110056</t>
  </si>
  <si>
    <t>05-08-2005 00:00:00</t>
  </si>
  <si>
    <t>27993118</t>
  </si>
  <si>
    <t>ООО "Юнихолд"</t>
  </si>
  <si>
    <t>5011033039</t>
  </si>
  <si>
    <t>11-04-2002 00:00:00</t>
  </si>
  <si>
    <t>31230090</t>
  </si>
  <si>
    <t>ООО  «ИК «ЭС»</t>
  </si>
  <si>
    <t>5042146650</t>
  </si>
  <si>
    <t>30-10-2017 00:00:00</t>
  </si>
  <si>
    <t>31518585</t>
  </si>
  <si>
    <t>ООО «АВР Строймонтаж»</t>
  </si>
  <si>
    <t>5027275964</t>
  </si>
  <si>
    <t>26-04-2019 00:00:00</t>
  </si>
  <si>
    <t>26504906</t>
  </si>
  <si>
    <t>ООО «Газпром ВНИИГАЗ»</t>
  </si>
  <si>
    <t>31229282</t>
  </si>
  <si>
    <t>ООО «Газпром теплоэнерго МО»</t>
  </si>
  <si>
    <t>5007101649</t>
  </si>
  <si>
    <t>23-06-2017 00:00:00</t>
  </si>
  <si>
    <t>28821278</t>
  </si>
  <si>
    <t>ООО «Глобус»</t>
  </si>
  <si>
    <t>5031075380</t>
  </si>
  <si>
    <t>13-10-2007 00:00:00</t>
  </si>
  <si>
    <t>28149737</t>
  </si>
  <si>
    <t>ООО «Зодчий+»</t>
  </si>
  <si>
    <t>5013043762</t>
  </si>
  <si>
    <t>31644674</t>
  </si>
  <si>
    <t>ООО «КОМПАНИЯ «ПРОМТЕХНОЛОГИЯ»</t>
  </si>
  <si>
    <t>5031047456</t>
  </si>
  <si>
    <t>30-10-2003 00:00:00</t>
  </si>
  <si>
    <t>27524318</t>
  </si>
  <si>
    <t>ООО «КомЭнерго»</t>
  </si>
  <si>
    <t>5044077264</t>
  </si>
  <si>
    <t>31171841</t>
  </si>
  <si>
    <t>ООО «Компьюлинк Инфраструктура Кашира»</t>
  </si>
  <si>
    <t>5019028390</t>
  </si>
  <si>
    <t>31616021</t>
  </si>
  <si>
    <t>ООО «КриптонИнвест»</t>
  </si>
  <si>
    <t>7728352508</t>
  </si>
  <si>
    <t>01-11-2016 00:00:00</t>
  </si>
  <si>
    <t>28982589</t>
  </si>
  <si>
    <t>ООО «Негреско»</t>
  </si>
  <si>
    <t>7702555310</t>
  </si>
  <si>
    <t>770201001</t>
  </si>
  <si>
    <t>25-02-2005 00:00:00</t>
  </si>
  <si>
    <t>31528906</t>
  </si>
  <si>
    <t>ООО «Реабилитационный центр Вязёмы»</t>
  </si>
  <si>
    <t>9710087877</t>
  </si>
  <si>
    <t>31330046</t>
  </si>
  <si>
    <t>ООО «САМОЛЕТ ЭНЕРГО»</t>
  </si>
  <si>
    <t>5003126480</t>
  </si>
  <si>
    <t>11-01-2018 00:00:00</t>
  </si>
  <si>
    <t>31667343</t>
  </si>
  <si>
    <t>ООО «СЗ «Группа компаний «СУ 22»</t>
  </si>
  <si>
    <t>5050079654</t>
  </si>
  <si>
    <t>31520341</t>
  </si>
  <si>
    <t>ООО «Саб-Урбан»</t>
  </si>
  <si>
    <t>5024176549</t>
  </si>
  <si>
    <t>26504771</t>
  </si>
  <si>
    <t>ООО «Системы жизнеобеспечения»</t>
  </si>
  <si>
    <t>5015003500</t>
  </si>
  <si>
    <t>31528512</t>
  </si>
  <si>
    <t>ООО «Смарт Энерго»</t>
  </si>
  <si>
    <t>5047252034</t>
  </si>
  <si>
    <t>27-05-2021 00:00:00</t>
  </si>
  <si>
    <t>28868900</t>
  </si>
  <si>
    <t>ООО «ТЕПЛОГЕНЕРАЦИЯ»</t>
  </si>
  <si>
    <t>5047153185</t>
  </si>
  <si>
    <t>31026212</t>
  </si>
  <si>
    <t>ООО «ТЕПЛОЭНЕРГОСБЫТ»</t>
  </si>
  <si>
    <t>5024172505</t>
  </si>
  <si>
    <t>07-02-2017 00:00:00</t>
  </si>
  <si>
    <t>31577708</t>
  </si>
  <si>
    <t>ООО «ТЭК - 9»</t>
  </si>
  <si>
    <t>5017126748</t>
  </si>
  <si>
    <t>06-10-2021 00:00:00</t>
  </si>
  <si>
    <t>28451478</t>
  </si>
  <si>
    <t>ООО «Теплосервис»</t>
  </si>
  <si>
    <t>5008051528</t>
  </si>
  <si>
    <t>26825800</t>
  </si>
  <si>
    <t>ООО «Теплоцентраль – ЖКХ»</t>
  </si>
  <si>
    <t>5013054796</t>
  </si>
  <si>
    <t>501301001</t>
  </si>
  <si>
    <t>26802294</t>
  </si>
  <si>
    <t>ООО «Теплоэлектрогенерация»</t>
  </si>
  <si>
    <t>5027153980</t>
  </si>
  <si>
    <t>31601762</t>
  </si>
  <si>
    <t>ООО «Техностром-Центр»</t>
  </si>
  <si>
    <t>5022060179</t>
  </si>
  <si>
    <t>30-04-2020 00:00:00</t>
  </si>
  <si>
    <t>28821045</t>
  </si>
  <si>
    <t>ООО «ЭК Солид»</t>
  </si>
  <si>
    <t>5027129723</t>
  </si>
  <si>
    <t>30838588</t>
  </si>
  <si>
    <t>ООО «Энерго Трансфер»</t>
  </si>
  <si>
    <t>5053031065</t>
  </si>
  <si>
    <t>26548237</t>
  </si>
  <si>
    <t>ООО Жилой комплекс  "Жемчужина"</t>
  </si>
  <si>
    <t>5032123685</t>
  </si>
  <si>
    <t>26357854</t>
  </si>
  <si>
    <t>ООО МЗ "Тонар"</t>
  </si>
  <si>
    <t>5034016022</t>
  </si>
  <si>
    <t>25-06-1998 00:00:00</t>
  </si>
  <si>
    <t>26360921</t>
  </si>
  <si>
    <t>ООО НПО "Союз-М"</t>
  </si>
  <si>
    <t>7701048405</t>
  </si>
  <si>
    <t>04-04-1995 00:00:00</t>
  </si>
  <si>
    <t>26517800</t>
  </si>
  <si>
    <t>ООО НПП "Галактика"</t>
  </si>
  <si>
    <t>5038000200</t>
  </si>
  <si>
    <t>26773009</t>
  </si>
  <si>
    <t>ООО Охранно-юридическое бюро"ПАРТНЕР"</t>
  </si>
  <si>
    <t>5027131666</t>
  </si>
  <si>
    <t>13-08-2008 00:00:00</t>
  </si>
  <si>
    <t>26357850</t>
  </si>
  <si>
    <t>ООО ПО "РемЖилСервис"</t>
  </si>
  <si>
    <t>5032133588</t>
  </si>
  <si>
    <t>31628264</t>
  </si>
  <si>
    <t>ООО СК "Сосны"</t>
  </si>
  <si>
    <t>9710084604</t>
  </si>
  <si>
    <t>30-07-2020 00:00:00</t>
  </si>
  <si>
    <t>31542876</t>
  </si>
  <si>
    <t>ООО Специализированный застройщик "Олимп-Альянс"</t>
  </si>
  <si>
    <t>5050050415</t>
  </si>
  <si>
    <t>21-12-2004 00:00:00</t>
  </si>
  <si>
    <t>31343642</t>
  </si>
  <si>
    <t>ООО УК "ВАРЕЖКИ"</t>
  </si>
  <si>
    <t>5050094797</t>
  </si>
  <si>
    <t>16-01-2012 00:00:00</t>
  </si>
  <si>
    <t>31391216</t>
  </si>
  <si>
    <t>ООО УК «ПРОФИ-КОМФОРТ»</t>
  </si>
  <si>
    <t>5038133785</t>
  </si>
  <si>
    <t>28546513</t>
  </si>
  <si>
    <t>ООО Управляющая компания "ПрестижСервис"</t>
  </si>
  <si>
    <t>5045053900</t>
  </si>
  <si>
    <t>31225170</t>
  </si>
  <si>
    <t>ООО Фирма"Здоровье"</t>
  </si>
  <si>
    <t>7730713208</t>
  </si>
  <si>
    <t>25-09-2014 00:00:00</t>
  </si>
  <si>
    <t>26548241</t>
  </si>
  <si>
    <t>ООО Фонд развития Международного университета филиал "Кунцево"</t>
  </si>
  <si>
    <t>5032018296</t>
  </si>
  <si>
    <t>26357630</t>
  </si>
  <si>
    <t>ООО племзавод "Барыбино"</t>
  </si>
  <si>
    <t>5009041258</t>
  </si>
  <si>
    <t>28797135</t>
  </si>
  <si>
    <t>ООО"АрДиАй Ресурс"</t>
  </si>
  <si>
    <t>5030055180</t>
  </si>
  <si>
    <t>05-09-2006 00:00:00</t>
  </si>
  <si>
    <t>31528959</t>
  </si>
  <si>
    <t>ООО"Константиново"</t>
  </si>
  <si>
    <t>7724023982</t>
  </si>
  <si>
    <t>15-07-1996 00:00:00</t>
  </si>
  <si>
    <t>26583867</t>
  </si>
  <si>
    <t>Одинцовское ПАТП филиал ГУП МО "Мострансавто" г. Одинцово</t>
  </si>
  <si>
    <t>26509167</t>
  </si>
  <si>
    <t>Оздоровительное объединение "Солнечный городок" Банка России</t>
  </si>
  <si>
    <t>7702235133</t>
  </si>
  <si>
    <t>770245016</t>
  </si>
  <si>
    <t>17-01-2001 00:00:00</t>
  </si>
  <si>
    <t>27019654</t>
  </si>
  <si>
    <t>Отделение областных ТВ и ЧМ передатчиков</t>
  </si>
  <si>
    <t>7717127211</t>
  </si>
  <si>
    <t>505331002</t>
  </si>
  <si>
    <t>26785891</t>
  </si>
  <si>
    <t>Отделение филиала "РТРС" "МРЦ" - Радиоцентр № 9</t>
  </si>
  <si>
    <t>503131001</t>
  </si>
  <si>
    <t>26511072</t>
  </si>
  <si>
    <t>Отделение филиала "РТРС" "МРЦ" Радиоцентр №7</t>
  </si>
  <si>
    <t>503432001</t>
  </si>
  <si>
    <t>26324422</t>
  </si>
  <si>
    <t>Открытое акционерное общество "ГТ-ТЭЦ Энерго"</t>
  </si>
  <si>
    <t>26357615</t>
  </si>
  <si>
    <t>ПАО "Долгопрудненское научно-производственное предприятие"</t>
  </si>
  <si>
    <t>5008000322</t>
  </si>
  <si>
    <t>31531000</t>
  </si>
  <si>
    <t>ПАО "Ил"</t>
  </si>
  <si>
    <t>7714027882</t>
  </si>
  <si>
    <t>11-11-1994 00:00:00</t>
  </si>
  <si>
    <t>26324387</t>
  </si>
  <si>
    <t>ПАО "МОЭК"</t>
  </si>
  <si>
    <t>7720518494</t>
  </si>
  <si>
    <t>997650001</t>
  </si>
  <si>
    <t>26357742</t>
  </si>
  <si>
    <t>ПАО "МЭЗ"</t>
  </si>
  <si>
    <t>5027028130</t>
  </si>
  <si>
    <t>22-12-1992 00:00:00</t>
  </si>
  <si>
    <t>26361016</t>
  </si>
  <si>
    <t>ПАО "Мостожелезобетонконструкция" (ПАО "МЖБК")</t>
  </si>
  <si>
    <t>7710121637</t>
  </si>
  <si>
    <t>02-08-1993 00:00:00</t>
  </si>
  <si>
    <t>26409916</t>
  </si>
  <si>
    <t>ПАО "Мосэнерго"</t>
  </si>
  <si>
    <t>31000959</t>
  </si>
  <si>
    <t>ПАО "Ногинсктрастинвест"</t>
  </si>
  <si>
    <t>5031066508</t>
  </si>
  <si>
    <t>31-03-2006 00:00:00</t>
  </si>
  <si>
    <t>28872357</t>
  </si>
  <si>
    <t>ПАО "РКК "Энергия"</t>
  </si>
  <si>
    <t>5018033937</t>
  </si>
  <si>
    <t>990103001</t>
  </si>
  <si>
    <t>20-01-2015 00:00:00</t>
  </si>
  <si>
    <t>27622582</t>
  </si>
  <si>
    <t>ПАО "Ростелеком"</t>
  </si>
  <si>
    <t>7707049388</t>
  </si>
  <si>
    <t>773443001</t>
  </si>
  <si>
    <t>23-09-1993 00:00:00</t>
  </si>
  <si>
    <t>30832336</t>
  </si>
  <si>
    <t>ПАО "ЭЮТСК"</t>
  </si>
  <si>
    <t>5053037363</t>
  </si>
  <si>
    <t>20-10-2014 00:00:00</t>
  </si>
  <si>
    <t>26445111</t>
  </si>
  <si>
    <t>ПАО "Юнипро"</t>
  </si>
  <si>
    <t>245902002</t>
  </si>
  <si>
    <t>05-09-2002 00:00:00</t>
  </si>
  <si>
    <t>26504936</t>
  </si>
  <si>
    <t>ПАО «Мосстройпластмасс»</t>
  </si>
  <si>
    <t>5029007199</t>
  </si>
  <si>
    <t>23-09-2005 00:00:00</t>
  </si>
  <si>
    <t>26548221</t>
  </si>
  <si>
    <t>ПАО КМЗ</t>
  </si>
  <si>
    <t>26358042</t>
  </si>
  <si>
    <t>ПК "Дулевский фарфор"</t>
  </si>
  <si>
    <t>5073087612</t>
  </si>
  <si>
    <t>26549249</t>
  </si>
  <si>
    <t>ПК "Корпорация Электрогорскмебель"</t>
  </si>
  <si>
    <t>5035025069</t>
  </si>
  <si>
    <t>509095001</t>
  </si>
  <si>
    <t>26357715</t>
  </si>
  <si>
    <t>ПСК ОАО "Щуровский комбинат"</t>
  </si>
  <si>
    <t>5022015063</t>
  </si>
  <si>
    <t>26357535</t>
  </si>
  <si>
    <t>Павлово-Посадское ПАТП филиал ГУП МО "Мострансавто"</t>
  </si>
  <si>
    <t>503502001</t>
  </si>
  <si>
    <t>26548189</t>
  </si>
  <si>
    <t>Пансионат "Морозовка"</t>
  </si>
  <si>
    <t>7736050003</t>
  </si>
  <si>
    <t>25-02-1993 00:00:00</t>
  </si>
  <si>
    <t>26357534</t>
  </si>
  <si>
    <t>Пансионат "Нара" филиал ГУП МО "Мострансавто"</t>
  </si>
  <si>
    <t>503002002</t>
  </si>
  <si>
    <t>25-08-1997 00:00:00</t>
  </si>
  <si>
    <t>26357691</t>
  </si>
  <si>
    <t>Пансионат с лечением "Березовая роща" Московской железной дороги - филиал ОАО "РЖД"</t>
  </si>
  <si>
    <t>997950001</t>
  </si>
  <si>
    <t>28873976</t>
  </si>
  <si>
    <t>Пограничная академия ФСБ России</t>
  </si>
  <si>
    <t>7714034840</t>
  </si>
  <si>
    <t>09-04-1994 00:00:00</t>
  </si>
  <si>
    <t>26357880</t>
  </si>
  <si>
    <t>Протвинский филиал ФГУП "НИИ НПО "Луч"</t>
  </si>
  <si>
    <t>5036005308</t>
  </si>
  <si>
    <t>503702001</t>
  </si>
  <si>
    <t>26357594</t>
  </si>
  <si>
    <t>Психоневрологический интернат №5</t>
  </si>
  <si>
    <t>5005001215</t>
  </si>
  <si>
    <t>22-01-2015 00:00:00</t>
  </si>
  <si>
    <t>26357996</t>
  </si>
  <si>
    <t>Пустошинское МУ ЖКП</t>
  </si>
  <si>
    <t>5049003971</t>
  </si>
  <si>
    <t>26361011</t>
  </si>
  <si>
    <t>РВЦ "Орбита-2" - филиал ФГБУ "Федеральный медицинский центр" Росимущества</t>
  </si>
  <si>
    <t>7709290510</t>
  </si>
  <si>
    <t>504432001</t>
  </si>
  <si>
    <t>26360984</t>
  </si>
  <si>
    <t>РЖД Локомотивное депо Нахабино</t>
  </si>
  <si>
    <t>502431001</t>
  </si>
  <si>
    <t>26357599</t>
  </si>
  <si>
    <t>РПО ЖКХ</t>
  </si>
  <si>
    <t>5005038663</t>
  </si>
  <si>
    <t>26509365</t>
  </si>
  <si>
    <t>РУТ (МИИТ)</t>
  </si>
  <si>
    <t>7715027733</t>
  </si>
  <si>
    <t>22-02-1993 00:00:00</t>
  </si>
  <si>
    <t>26360920</t>
  </si>
  <si>
    <t>СМУ-158 АО"Трансинжстрой"</t>
  </si>
  <si>
    <t>7701011412</t>
  </si>
  <si>
    <t>770802002</t>
  </si>
  <si>
    <t>26511004</t>
  </si>
  <si>
    <t>СУ "Управление служебными зданиями "Россельхозакадемии"</t>
  </si>
  <si>
    <t>7721022959</t>
  </si>
  <si>
    <t>26360919</t>
  </si>
  <si>
    <t>СЭУ ОАО "Трансинжстрой"</t>
  </si>
  <si>
    <t>26449407</t>
  </si>
  <si>
    <t>Свечинский районный телекоммуникационный узел (РТУ) Кировского филиала ОАО "Волгателеком"</t>
  </si>
  <si>
    <t>5260901817</t>
  </si>
  <si>
    <t>432832002</t>
  </si>
  <si>
    <t>24-06-2011 00:00:00</t>
  </si>
  <si>
    <t>26358071</t>
  </si>
  <si>
    <t>Серпуховского района "ДЕЗ"</t>
  </si>
  <si>
    <t>5077015457</t>
  </si>
  <si>
    <t>26775088</t>
  </si>
  <si>
    <t>Серпуховское управление магистральных газопроводов ООО "Газпром трансгаз Москва"</t>
  </si>
  <si>
    <t>507702001</t>
  </si>
  <si>
    <t>26584987</t>
  </si>
  <si>
    <t>Солнечногорское ПАТП филиал ГУП МО "Мострансавто"</t>
  </si>
  <si>
    <t>26357946</t>
  </si>
  <si>
    <t>Ставропигиальный мужской монастырь Свято-Троицкая Сергиева Лавра</t>
  </si>
  <si>
    <t>5042016770</t>
  </si>
  <si>
    <t>26357859</t>
  </si>
  <si>
    <t>ТСЖ "Звезда"</t>
  </si>
  <si>
    <t>5034018252</t>
  </si>
  <si>
    <t>31521266</t>
  </si>
  <si>
    <t>ТСЖ "Опытное 22"</t>
  </si>
  <si>
    <t>5001054632</t>
  </si>
  <si>
    <t>23-12-2005 00:00:00</t>
  </si>
  <si>
    <t>26357597</t>
  </si>
  <si>
    <t>ТФ Возрождение</t>
  </si>
  <si>
    <t>26548203</t>
  </si>
  <si>
    <t>Туголесское МУЖКП</t>
  </si>
  <si>
    <t>5049003749</t>
  </si>
  <si>
    <t>05-12-2013 00:00:00</t>
  </si>
  <si>
    <t>26357735</t>
  </si>
  <si>
    <t>УМП "Лобненская Теплосеть"</t>
  </si>
  <si>
    <t>5025000315</t>
  </si>
  <si>
    <t>502501001</t>
  </si>
  <si>
    <t>26361043</t>
  </si>
  <si>
    <t>УСС №5 при Спецстрое России</t>
  </si>
  <si>
    <t>7720242535</t>
  </si>
  <si>
    <t>504102006</t>
  </si>
  <si>
    <t>26357596</t>
  </si>
  <si>
    <t>Управление по эксплуатации делового центра</t>
  </si>
  <si>
    <t>997250001</t>
  </si>
  <si>
    <t>26357913</t>
  </si>
  <si>
    <t>Учреждение Российской академии наук Институт биохимии и физиологии микроорганизмов им. Г.К. Скрябина</t>
  </si>
  <si>
    <t>5039000146</t>
  </si>
  <si>
    <t>31481499</t>
  </si>
  <si>
    <t>ФАУ "ЦИАМ им. П.И. Баранова"</t>
  </si>
  <si>
    <t>7722497881</t>
  </si>
  <si>
    <t>502745001</t>
  </si>
  <si>
    <t>01-03-2021 00:00:00</t>
  </si>
  <si>
    <t>26358044</t>
  </si>
  <si>
    <t>ФБУ «Санаторий «Вороново» Министерства экономического развития Российской Федерации»</t>
  </si>
  <si>
    <t>5074001505</t>
  </si>
  <si>
    <t>01-01-2015 00:00:00</t>
  </si>
  <si>
    <t>28049182</t>
  </si>
  <si>
    <t>ФГАУ "ОК "Рублево-Успенский"</t>
  </si>
  <si>
    <t>0710002588</t>
  </si>
  <si>
    <t>05-10-2001 00:00:00</t>
  </si>
  <si>
    <t>26357968</t>
  </si>
  <si>
    <t>ФГАУ "ОК "Шереметьевский" УДП РФ</t>
  </si>
  <si>
    <t>5047046105</t>
  </si>
  <si>
    <t>27-12-2017 00:00:00</t>
  </si>
  <si>
    <t>26357988</t>
  </si>
  <si>
    <t>ФГАУ «ОК «Шереметьевский» УДП РФ»</t>
  </si>
  <si>
    <t>28878536</t>
  </si>
  <si>
    <t>26358003</t>
  </si>
  <si>
    <t>ФГБОУ "Средняя школа-интернат МИД России"</t>
  </si>
  <si>
    <t>5050004578</t>
  </si>
  <si>
    <t>31518435</t>
  </si>
  <si>
    <t>ФГБОУ ВО "РГСУ"</t>
  </si>
  <si>
    <t>7718084994</t>
  </si>
  <si>
    <t>16-08-2002 00:00:00</t>
  </si>
  <si>
    <t>26509579</t>
  </si>
  <si>
    <t>ФГБОУ ВО «РГУТИС»</t>
  </si>
  <si>
    <t>5038005448</t>
  </si>
  <si>
    <t>26791541</t>
  </si>
  <si>
    <t>ФГБУ  "Центральная аэрологическая обсерватория"</t>
  </si>
  <si>
    <t>5008000604</t>
  </si>
  <si>
    <t>26357846</t>
  </si>
  <si>
    <t>ФГБУ " ОК "Рублево-Звенигородский" Управление делами Президента РФ</t>
  </si>
  <si>
    <t>5032066860</t>
  </si>
  <si>
    <t>26508891</t>
  </si>
  <si>
    <t>ФГБУ "ДДО "Непецино"</t>
  </si>
  <si>
    <t>5070001279</t>
  </si>
  <si>
    <t>26357622</t>
  </si>
  <si>
    <t>ФГБУ "МФК Минфина России"</t>
  </si>
  <si>
    <t>5009067866</t>
  </si>
  <si>
    <t>26571431</t>
  </si>
  <si>
    <t>ФГБУ "НИИ ЦПК имени Ю.А.Гагарина"</t>
  </si>
  <si>
    <t>5050077618</t>
  </si>
  <si>
    <t>26549304</t>
  </si>
  <si>
    <t>ФГБУ "НМИЦ ДГОИ им. Дмитрия Рогачева" Минздрава России</t>
  </si>
  <si>
    <t>7728008953</t>
  </si>
  <si>
    <t>504843001</t>
  </si>
  <si>
    <t>31717366</t>
  </si>
  <si>
    <t>26548363</t>
  </si>
  <si>
    <t>ФГБУ "НМИЦ РК" Минздрава России</t>
  </si>
  <si>
    <t>7704040281</t>
  </si>
  <si>
    <t>06-08-2002 00:00:00</t>
  </si>
  <si>
    <t>26357671</t>
  </si>
  <si>
    <t>ФГБУ "ОК "Снегири"</t>
  </si>
  <si>
    <t>5017003810</t>
  </si>
  <si>
    <t>26357624</t>
  </si>
  <si>
    <t>ФГБУ "ОС "Подмосковье"</t>
  </si>
  <si>
    <t>5009014293</t>
  </si>
  <si>
    <t>05-07-2007 00:00:00</t>
  </si>
  <si>
    <t>26548109</t>
  </si>
  <si>
    <t>ФГБУ "РРЦ "Детство" Минздрава России</t>
  </si>
  <si>
    <t>5003018904</t>
  </si>
  <si>
    <t>16-09-1999 00:00:00</t>
  </si>
  <si>
    <t>26357945</t>
  </si>
  <si>
    <t>ФГБУ "Санаторий "Загорские дали"</t>
  </si>
  <si>
    <t>5042015760</t>
  </si>
  <si>
    <t>26358011</t>
  </si>
  <si>
    <t>ФГБУ "Санаторий им. Горького" Минздрава России</t>
  </si>
  <si>
    <t>5050015548</t>
  </si>
  <si>
    <t>09-04-2003 00:00:00</t>
  </si>
  <si>
    <t>28821410</t>
  </si>
  <si>
    <t>ФГБУ "ТЦСКР "Озеро Круглое"</t>
  </si>
  <si>
    <t>5007088910</t>
  </si>
  <si>
    <t>29-10-2014 00:00:00</t>
  </si>
  <si>
    <t>28441503</t>
  </si>
  <si>
    <t>24-01-2014 00:00:00</t>
  </si>
  <si>
    <t>26357984</t>
  </si>
  <si>
    <t>ФГБУ "Учебно-тренировочный центр "Новогорск"</t>
  </si>
  <si>
    <t>5047186913</t>
  </si>
  <si>
    <t>30903763</t>
  </si>
  <si>
    <t>ФГБУ "ЦЖКУ" МИНОБОРОНЫ РОССИИ</t>
  </si>
  <si>
    <t>7729314745</t>
  </si>
  <si>
    <t>26649474</t>
  </si>
  <si>
    <t>ФГБУ "ЦНИИСиЧЛХ" Минздрава России</t>
  </si>
  <si>
    <t>7704115177</t>
  </si>
  <si>
    <t>503343001</t>
  </si>
  <si>
    <t>09-03-1993 00:00:00</t>
  </si>
  <si>
    <t>31559150</t>
  </si>
  <si>
    <t>ФГБУ «ВГНКИ»</t>
  </si>
  <si>
    <t>7703056867</t>
  </si>
  <si>
    <t>07-07-1995 00:00:00</t>
  </si>
  <si>
    <t>26567452</t>
  </si>
  <si>
    <t>ФГБУ «ОК «Бор» УДП РФ</t>
  </si>
  <si>
    <t>5009061310</t>
  </si>
  <si>
    <t>28443145</t>
  </si>
  <si>
    <t>ФГБУ ВНИИПО МЧС России</t>
  </si>
  <si>
    <t>5001000242</t>
  </si>
  <si>
    <t>26357891</t>
  </si>
  <si>
    <t>ФГБУ ГНЦ ИФВЭ</t>
  </si>
  <si>
    <t>25-10-2012 00:00:00</t>
  </si>
  <si>
    <t>26357989</t>
  </si>
  <si>
    <t>ФГБУ Санаторий "Русское поле" для детей с родителями Минздрава России</t>
  </si>
  <si>
    <t>5048050739</t>
  </si>
  <si>
    <t>31442683</t>
  </si>
  <si>
    <t>ФГБУ ФКЦ ВМТ ФМБА России</t>
  </si>
  <si>
    <t>5047001270</t>
  </si>
  <si>
    <t>25-11-1993 00:00:00</t>
  </si>
  <si>
    <t>27579764</t>
  </si>
  <si>
    <t>ФГБУ ФНКЦ МРиК ФМБА России</t>
  </si>
  <si>
    <t>5044013246</t>
  </si>
  <si>
    <t>24-08-2021 00:00:00</t>
  </si>
  <si>
    <t>30834128</t>
  </si>
  <si>
    <t>ФГБУ санаторий "Ока" Минздрава России</t>
  </si>
  <si>
    <t>5033001760</t>
  </si>
  <si>
    <t>26776512</t>
  </si>
  <si>
    <t>ФГБУК "Государственный историко-художественный и литературный музей-заповедник "Абрамцево"</t>
  </si>
  <si>
    <t>5042017485</t>
  </si>
  <si>
    <t>26357649</t>
  </si>
  <si>
    <t>ФГКУ "В/ч 35533"</t>
  </si>
  <si>
    <t>5012009279</t>
  </si>
  <si>
    <t>31421332</t>
  </si>
  <si>
    <t>ФГКУ "Ногинский СЦ МЧС России"</t>
  </si>
  <si>
    <t>5031034390</t>
  </si>
  <si>
    <t>30363613</t>
  </si>
  <si>
    <t>ФГКУ "Санаторий "Москвич"</t>
  </si>
  <si>
    <t>5009005806</t>
  </si>
  <si>
    <t>05-09-2003 00:00:00</t>
  </si>
  <si>
    <t>26511475</t>
  </si>
  <si>
    <t>ФГКУ "Санаторий "Семеновское"</t>
  </si>
  <si>
    <t>5045003201</t>
  </si>
  <si>
    <t>26805331</t>
  </si>
  <si>
    <t>ФГКУ "в/ч 35690"</t>
  </si>
  <si>
    <t>5001082291</t>
  </si>
  <si>
    <t>26549235</t>
  </si>
  <si>
    <t>ФГКУ ГКВГ ФСБ России</t>
  </si>
  <si>
    <t>5032001221</t>
  </si>
  <si>
    <t>26509442</t>
  </si>
  <si>
    <t>ФГКУ ЦПА ФСБ России</t>
  </si>
  <si>
    <t>5038021295</t>
  </si>
  <si>
    <t>26509791</t>
  </si>
  <si>
    <t>ФГКУ в/ч 51952</t>
  </si>
  <si>
    <t>5048050640</t>
  </si>
  <si>
    <t>31470229</t>
  </si>
  <si>
    <t>ФГКУ в/ч 54729</t>
  </si>
  <si>
    <t>5001007760</t>
  </si>
  <si>
    <t>27727572</t>
  </si>
  <si>
    <t>ФГКУ комбинат "Березка" Росрезерва</t>
  </si>
  <si>
    <t>5036025537</t>
  </si>
  <si>
    <t>12-11-2021 00:00:00</t>
  </si>
  <si>
    <t>26508705</t>
  </si>
  <si>
    <t>ФГКЭУ "Коломенская КЭЧ района" Министерства обороны РФ</t>
  </si>
  <si>
    <t>5022022261</t>
  </si>
  <si>
    <t>26357557</t>
  </si>
  <si>
    <t>ФГКЭУ "Теплый стан"</t>
  </si>
  <si>
    <t>5003014441</t>
  </si>
  <si>
    <t>26357936</t>
  </si>
  <si>
    <t>ФГОУ СПО "Всероссийский аграрный колледж"</t>
  </si>
  <si>
    <t>5042004292</t>
  </si>
  <si>
    <t>26776082</t>
  </si>
  <si>
    <t>ФГУ "Бронницкая КЭЧ района Минобороны России"</t>
  </si>
  <si>
    <t>5002099347</t>
  </si>
  <si>
    <t>26357835</t>
  </si>
  <si>
    <t>ФГУ "Клинический санаторий "Барвиха"</t>
  </si>
  <si>
    <t>5032028368</t>
  </si>
  <si>
    <t>26511046</t>
  </si>
  <si>
    <t>ФГУ "Марфинский центральный военный клинический санаторий" МО РФ</t>
  </si>
  <si>
    <t>5029030328</t>
  </si>
  <si>
    <t>26357769</t>
  </si>
  <si>
    <t>ФГУ "Мытищинская КЭЧ района" Минобороны России</t>
  </si>
  <si>
    <t>5029009189</t>
  </si>
  <si>
    <t>772501001</t>
  </si>
  <si>
    <t>26357720</t>
  </si>
  <si>
    <t>ФГУ 3 ЦВКГ им. А.А.Вишневского МО РФ"</t>
  </si>
  <si>
    <t>5024000030</t>
  </si>
  <si>
    <t>26357543</t>
  </si>
  <si>
    <t>ФГУ Балашихинская КЭЧ района МО</t>
  </si>
  <si>
    <t>5001001373</t>
  </si>
  <si>
    <t>26758748</t>
  </si>
  <si>
    <t>ФГУ ДЭП № 14</t>
  </si>
  <si>
    <t>5027034045</t>
  </si>
  <si>
    <t>26510872</t>
  </si>
  <si>
    <t>ФГУ ДЭП-24</t>
  </si>
  <si>
    <t>5024000633</t>
  </si>
  <si>
    <t>26357739</t>
  </si>
  <si>
    <t>ФГУ Комбинат "Первомайский"</t>
  </si>
  <si>
    <t>5027001755</t>
  </si>
  <si>
    <t>26357837</t>
  </si>
  <si>
    <t>ФГУ Петелинская КЭЧ</t>
  </si>
  <si>
    <t>5032030430</t>
  </si>
  <si>
    <t>26357722</t>
  </si>
  <si>
    <t>ФГУ ЦВКС "Архангельское"</t>
  </si>
  <si>
    <t>5024000256</t>
  </si>
  <si>
    <t>26357953</t>
  </si>
  <si>
    <t>ФГУ комбинат "Окский"</t>
  </si>
  <si>
    <t>5043006768</t>
  </si>
  <si>
    <t>26357749</t>
  </si>
  <si>
    <t>ФГУП "41 Центральный завод"</t>
  </si>
  <si>
    <t>5027035874</t>
  </si>
  <si>
    <t>26357954</t>
  </si>
  <si>
    <t>ФГУП "75 Арсенал"</t>
  </si>
  <si>
    <t>5043009720</t>
  </si>
  <si>
    <t>26504902</t>
  </si>
  <si>
    <t>ФГУП "АТУ" ФСБ России"</t>
  </si>
  <si>
    <t>5003005239</t>
  </si>
  <si>
    <t>22-03-2013 00:00:00</t>
  </si>
  <si>
    <t>26357961</t>
  </si>
  <si>
    <t>ФГУП "ВНИИФТРИ"</t>
  </si>
  <si>
    <t>5044000102</t>
  </si>
  <si>
    <t>28047438</t>
  </si>
  <si>
    <t>ФГУП "ГУССТ №1 при Спецстрое России"</t>
  </si>
  <si>
    <t>1835052755</t>
  </si>
  <si>
    <t>28176875</t>
  </si>
  <si>
    <t>ФГУП "Комплекс"</t>
  </si>
  <si>
    <t>910301001</t>
  </si>
  <si>
    <t>26778091</t>
  </si>
  <si>
    <t>ФГУП "Конструкторское бюро машиностроения"</t>
  </si>
  <si>
    <t>5022020899</t>
  </si>
  <si>
    <t>26357826</t>
  </si>
  <si>
    <t>ФГУП "Пиломакс" ФСБ РФ</t>
  </si>
  <si>
    <t>5032021718</t>
  </si>
  <si>
    <t>26360926</t>
  </si>
  <si>
    <t>ФГУП "РАДОН"</t>
  </si>
  <si>
    <t>7704009700</t>
  </si>
  <si>
    <t>27-05-1994 00:00:00</t>
  </si>
  <si>
    <t>26357847</t>
  </si>
  <si>
    <t>ФГУП "Рублево-Успенский ЛОК"</t>
  </si>
  <si>
    <t>5032067134</t>
  </si>
  <si>
    <t>29-05-2023 00:00:00</t>
  </si>
  <si>
    <t>26773416</t>
  </si>
  <si>
    <t>ФГУП "Совхоз имени XXI съезда КПСС"</t>
  </si>
  <si>
    <t>5003008991</t>
  </si>
  <si>
    <t>26511927</t>
  </si>
  <si>
    <t>ФГУП "УССТ № 1 при Спецстрое России"</t>
  </si>
  <si>
    <t>7734176339</t>
  </si>
  <si>
    <t>26434620</t>
  </si>
  <si>
    <t>ФГУП "ФТ-Центр"</t>
  </si>
  <si>
    <t>7709007859</t>
  </si>
  <si>
    <t>29-11-2022 00:00:00</t>
  </si>
  <si>
    <t>26357743</t>
  </si>
  <si>
    <t>ФГУП "ФЦДТ "Союз"</t>
  </si>
  <si>
    <t>5027030450</t>
  </si>
  <si>
    <t>505601001</t>
  </si>
  <si>
    <t>26361046</t>
  </si>
  <si>
    <t>ФГУП "ЦИАМ им. П.И. Баранова"</t>
  </si>
  <si>
    <t>7722016820</t>
  </si>
  <si>
    <t>26358008</t>
  </si>
  <si>
    <t>ФГУП "Щелковский биокомбинат"</t>
  </si>
  <si>
    <t>5050013999</t>
  </si>
  <si>
    <t>26357942</t>
  </si>
  <si>
    <t>ФГУП "ЭМЗ "Звезда"</t>
  </si>
  <si>
    <t>5042010458</t>
  </si>
  <si>
    <t>29-12-1991 00:00:00</t>
  </si>
  <si>
    <t>26567456</t>
  </si>
  <si>
    <t>ФГУП «Коренево» Россельхозакадемии</t>
  </si>
  <si>
    <t>5027031319</t>
  </si>
  <si>
    <t>09-08-2021 00:00:00</t>
  </si>
  <si>
    <t>26357575</t>
  </si>
  <si>
    <t>ФГУП АПК "Воскресенский"</t>
  </si>
  <si>
    <t>5003034790</t>
  </si>
  <si>
    <t>10-02-2020 00:00:00</t>
  </si>
  <si>
    <t>26508663</t>
  </si>
  <si>
    <t>ФГУП ДЭП № 29</t>
  </si>
  <si>
    <t>5019022906</t>
  </si>
  <si>
    <t>31311324</t>
  </si>
  <si>
    <t>ФИЦ  ПНЦБИ  РАН</t>
  </si>
  <si>
    <t>5039002841</t>
  </si>
  <si>
    <t>24-02-1999 00:00:00</t>
  </si>
  <si>
    <t>26506574</t>
  </si>
  <si>
    <t>ФКП "ГкНИПАС имени Л.К. Сафронова"</t>
  </si>
  <si>
    <t>5005020218</t>
  </si>
  <si>
    <t>26357938</t>
  </si>
  <si>
    <t>ФКП "НИЦ РКП"</t>
  </si>
  <si>
    <t>5042006211</t>
  </si>
  <si>
    <t>26357991</t>
  </si>
  <si>
    <t>ФКУ "Войсковая часть 52583"</t>
  </si>
  <si>
    <t>5048051612</t>
  </si>
  <si>
    <t>26357962</t>
  </si>
  <si>
    <t>ФКУ "Войсковая часть 68542"</t>
  </si>
  <si>
    <t>5044010164</t>
  </si>
  <si>
    <t>18-11-1999 00:00:00</t>
  </si>
  <si>
    <t>31541696</t>
  </si>
  <si>
    <t>ФКУ "МосЦМТО Росгвардии"</t>
  </si>
  <si>
    <t>7733318809</t>
  </si>
  <si>
    <t>21-03-2017 00:00:00</t>
  </si>
  <si>
    <t>26509933</t>
  </si>
  <si>
    <t>ФКУ "ЦОБХР МВД России"</t>
  </si>
  <si>
    <t>5001010593</t>
  </si>
  <si>
    <t>28261480</t>
  </si>
  <si>
    <t>ФКУ ФМС России "УМиРЦ "Болшево"</t>
  </si>
  <si>
    <t>5018036159</t>
  </si>
  <si>
    <t>26647710</t>
  </si>
  <si>
    <t>ФКУЗ "Санаторий "Ватутинки" МВД России"</t>
  </si>
  <si>
    <t>5046005882</t>
  </si>
  <si>
    <t>28954308</t>
  </si>
  <si>
    <t>ФКУЗ "ЦВМиР "Зеленая роща" МВД России"</t>
  </si>
  <si>
    <t>5009004418</t>
  </si>
  <si>
    <t>30-06-1994 00:00:00</t>
  </si>
  <si>
    <t>26357592</t>
  </si>
  <si>
    <t>ФЛ ОК "Ватутинки" ФГУП ОПК "БОР" УД П РФ</t>
  </si>
  <si>
    <t>27780543</t>
  </si>
  <si>
    <t>ФСО России</t>
  </si>
  <si>
    <t>7704055094</t>
  </si>
  <si>
    <t>770401000</t>
  </si>
  <si>
    <t>28454864</t>
  </si>
  <si>
    <t>04-02-2003 00:00:00</t>
  </si>
  <si>
    <t>26627352</t>
  </si>
  <si>
    <t>Филиал "ДЭЗС" ФГУП "УСС № 12 при Спецстрое России"</t>
  </si>
  <si>
    <t>773443005</t>
  </si>
  <si>
    <t>27980582</t>
  </si>
  <si>
    <t>Филиал "Каширская ГРЭС" АО "Интер РАО- Электрогенерация"</t>
  </si>
  <si>
    <t>7704784450</t>
  </si>
  <si>
    <t>501943001</t>
  </si>
  <si>
    <t>15-06-2011 00:00:00</t>
  </si>
  <si>
    <t>28868915</t>
  </si>
  <si>
    <t>Филиал "УМиА № 221" ФГУП "ГУИР № 2 при Спецстрое России"</t>
  </si>
  <si>
    <t>7714027459</t>
  </si>
  <si>
    <t>504702006</t>
  </si>
  <si>
    <t>26504759</t>
  </si>
  <si>
    <t>04-03-2005 00:00:00</t>
  </si>
  <si>
    <t>31664228</t>
  </si>
  <si>
    <t>Филиал «ВМУ» АО «ОХК «УРАЛХИМ» в городе Воскресенске</t>
  </si>
  <si>
    <t>7703647595</t>
  </si>
  <si>
    <t>500543001</t>
  </si>
  <si>
    <t>15-09-2021 00:00:00</t>
  </si>
  <si>
    <t>26361216</t>
  </si>
  <si>
    <t>Филиал «Шатурская ГРЭС»</t>
  </si>
  <si>
    <t>5049014740</t>
  </si>
  <si>
    <t>26809151</t>
  </si>
  <si>
    <t>Филиал АО "СО ЕЭС" ЦТО</t>
  </si>
  <si>
    <t>7705454461</t>
  </si>
  <si>
    <t>507602001</t>
  </si>
  <si>
    <t>17-06-2002 00:00:00</t>
  </si>
  <si>
    <t>31031674</t>
  </si>
  <si>
    <t>Филиал Академии управления МВД России "Болшево"</t>
  </si>
  <si>
    <t>7712008651</t>
  </si>
  <si>
    <t>501843001</t>
  </si>
  <si>
    <t>21-09-2017 00:00:00</t>
  </si>
  <si>
    <t>28426965</t>
  </si>
  <si>
    <t>Филиал ГУП МО "КС МО" "РКС "</t>
  </si>
  <si>
    <t>505543001</t>
  </si>
  <si>
    <t>27-12-2002 00:00:00</t>
  </si>
  <si>
    <t>26508609</t>
  </si>
  <si>
    <t>Филиал ОАО "Лафарж Цемент" (Воскресенскцемент)</t>
  </si>
  <si>
    <t>5005001494</t>
  </si>
  <si>
    <t>500502001</t>
  </si>
  <si>
    <t>09-10-2007 00:00:00</t>
  </si>
  <si>
    <t>26361005</t>
  </si>
  <si>
    <t>Филиал ОАО "Центротрансжелезобетон"  Силикатненский завод ЖБК</t>
  </si>
  <si>
    <t>7709033898</t>
  </si>
  <si>
    <t>503602002</t>
  </si>
  <si>
    <t>26570773</t>
  </si>
  <si>
    <t>Фряновское МП ЖКХ</t>
  </si>
  <si>
    <t>5050037781</t>
  </si>
  <si>
    <t>28058541</t>
  </si>
  <si>
    <t>Химкинский филиал ООО «ТСК Мосэнерго»</t>
  </si>
  <si>
    <t>504743001</t>
  </si>
  <si>
    <t>26548205</t>
  </si>
  <si>
    <t>Центральный банк Российской Федерации (Пансионат "Пестово" Центрального банка Российской Федерации)</t>
  </si>
  <si>
    <t>502945001</t>
  </si>
  <si>
    <t>26513518</t>
  </si>
  <si>
    <t>Центральный филиал ООО «Газпром энерго»</t>
  </si>
  <si>
    <t>7736186950</t>
  </si>
  <si>
    <t>504343001</t>
  </si>
  <si>
    <t>07-02-2006 00:00:00</t>
  </si>
  <si>
    <t>26358006</t>
  </si>
  <si>
    <t>Чкаловская квартирно-эксплутационная часть</t>
  </si>
  <si>
    <t>5050011180</t>
  </si>
  <si>
    <t>26548160</t>
  </si>
  <si>
    <t>ШПТО ГХ</t>
  </si>
  <si>
    <t>5049003153</t>
  </si>
  <si>
    <t>25-01-1999 00:00:00</t>
  </si>
  <si>
    <t>28441571</t>
  </si>
  <si>
    <t>Электрогорский филиал ООО «ТСК Мосэнерго»</t>
  </si>
  <si>
    <t>503543002</t>
  </si>
  <si>
    <t>26357723</t>
  </si>
  <si>
    <t>в/ч 03353</t>
  </si>
  <si>
    <t>5024000270</t>
  </si>
  <si>
    <t>26361014</t>
  </si>
  <si>
    <t>в/ч 67775</t>
  </si>
  <si>
    <t>26361069</t>
  </si>
  <si>
    <t>г.Москвы Медицинский центр Управления делами Мэра и Правительства Москвы Санаторий им.Артема(Сергеева)</t>
  </si>
  <si>
    <t>7729071411</t>
  </si>
  <si>
    <t>26510974</t>
  </si>
  <si>
    <t>филиал ПАО "ГАЗПРОМ" Пансионат "Союз"</t>
  </si>
  <si>
    <t>501702001</t>
  </si>
  <si>
    <t>26568823</t>
  </si>
  <si>
    <t>"1166 Военно - строительное управление " филиал ОАО "Главное управление обустройства войск"</t>
  </si>
  <si>
    <t>27973009</t>
  </si>
  <si>
    <t>АО "ПТО ГХ"</t>
  </si>
  <si>
    <t>5010045296</t>
  </si>
  <si>
    <t>30945710</t>
  </si>
  <si>
    <t>АО "ЮИТ МР"</t>
  </si>
  <si>
    <t>5005053622</t>
  </si>
  <si>
    <t>07-04-2011 00:00:00</t>
  </si>
  <si>
    <t>26548325</t>
  </si>
  <si>
    <t>АО МК "ШАТУРА"</t>
  </si>
  <si>
    <t>5049007736</t>
  </si>
  <si>
    <t>16-10-1992 00:00:00</t>
  </si>
  <si>
    <t>26794673</t>
  </si>
  <si>
    <t>АУ «Сельское поселение Буньковское»</t>
  </si>
  <si>
    <t>5031065409</t>
  </si>
  <si>
    <t>05-04-2019 00:00:00</t>
  </si>
  <si>
    <t>26652115</t>
  </si>
  <si>
    <t>В/ч 96000</t>
  </si>
  <si>
    <t>5012058639</t>
  </si>
  <si>
    <t>30873544</t>
  </si>
  <si>
    <t>ГБУЗ "ГБ № 45 ДЗМ"</t>
  </si>
  <si>
    <t>5032239506</t>
  </si>
  <si>
    <t>29-05-2016 00:00:00</t>
  </si>
  <si>
    <t>31-01-2019 00:00:00</t>
  </si>
  <si>
    <t>28047561</t>
  </si>
  <si>
    <t>ДНП "РОУД"</t>
  </si>
  <si>
    <t>5017054282</t>
  </si>
  <si>
    <t>28047529</t>
  </si>
  <si>
    <t>ДНП "Чистые пруды"</t>
  </si>
  <si>
    <t>5017088926</t>
  </si>
  <si>
    <t>08-12-2010 00:00:00</t>
  </si>
  <si>
    <t>26357638</t>
  </si>
  <si>
    <t>ЕМУП "Алникс"</t>
  </si>
  <si>
    <t>5011017380</t>
  </si>
  <si>
    <t>26548093</t>
  </si>
  <si>
    <t>ЗАО "Можайский"</t>
  </si>
  <si>
    <t>5028000377</t>
  </si>
  <si>
    <t>26504934</t>
  </si>
  <si>
    <t>ЗАО ПО «Карасевский керамический завод»</t>
  </si>
  <si>
    <t>5027130359</t>
  </si>
  <si>
    <t>26357633</t>
  </si>
  <si>
    <t>МУП  г. Дубны "ПТО ГХ"</t>
  </si>
  <si>
    <t>5010010769</t>
  </si>
  <si>
    <t>26548215</t>
  </si>
  <si>
    <t>МУП "Водоканал-Сервис"</t>
  </si>
  <si>
    <t>5043019742</t>
  </si>
  <si>
    <t>27-09-2000 00:00:00</t>
  </si>
  <si>
    <t>26357966</t>
  </si>
  <si>
    <t>МУП "Городское хозяйство" г.о. Солнечногорск</t>
  </si>
  <si>
    <t>5044069577</t>
  </si>
  <si>
    <t>26771772</t>
  </si>
  <si>
    <t>МУП "Дирекция территориального развития и коммунального хозяйства г.п. Поварово"</t>
  </si>
  <si>
    <t>5044069471</t>
  </si>
  <si>
    <t>16-08-2019 00:00:00</t>
  </si>
  <si>
    <t>26357641</t>
  </si>
  <si>
    <t>МУП "Новь"</t>
  </si>
  <si>
    <t>5011018111</t>
  </si>
  <si>
    <t>28047610</t>
  </si>
  <si>
    <t>НП «ЦАРСКОЕ СЕЛО»</t>
  </si>
  <si>
    <t>5017088669</t>
  </si>
  <si>
    <t>28-10-2020 00:00:00</t>
  </si>
  <si>
    <t>26548061</t>
  </si>
  <si>
    <t>ОАО "Барвиха"</t>
  </si>
  <si>
    <t>5032200065</t>
  </si>
  <si>
    <t>26358039</t>
  </si>
  <si>
    <t>ОАО "Водотеплоканализационное хозяйство"</t>
  </si>
  <si>
    <t>5072724210</t>
  </si>
  <si>
    <t>27996896</t>
  </si>
  <si>
    <t>ОАО "ЖКХ г.п. Деденево"</t>
  </si>
  <si>
    <t>5007083703</t>
  </si>
  <si>
    <t>07-06-2021 00:00:00</t>
  </si>
  <si>
    <t>26548409</t>
  </si>
  <si>
    <t>ОАО "РЭП Ершово"</t>
  </si>
  <si>
    <t>5032200019</t>
  </si>
  <si>
    <t>26357801</t>
  </si>
  <si>
    <t>ООО  "502 завод по ремонту военно-технического имущества"</t>
  </si>
  <si>
    <t>5031085677</t>
  </si>
  <si>
    <t>28798805</t>
  </si>
  <si>
    <t>ООО "АВАНТЕЛЬ МЕНЕДЖМЕНТ"</t>
  </si>
  <si>
    <t>7706661380</t>
  </si>
  <si>
    <t>18-06-2007 00:00:00</t>
  </si>
  <si>
    <t>27517960</t>
  </si>
  <si>
    <t>ООО "Восток сервис"</t>
  </si>
  <si>
    <t>5031095523</t>
  </si>
  <si>
    <t>30923456</t>
  </si>
  <si>
    <t>ООО "Западный остров"</t>
  </si>
  <si>
    <t>7731569324</t>
  </si>
  <si>
    <t>14-06-2007 00:00:00</t>
  </si>
  <si>
    <t>28881896</t>
  </si>
  <si>
    <t>ООО "Мережи"</t>
  </si>
  <si>
    <t>7731441282</t>
  </si>
  <si>
    <t>12-02-2013 00:00:00</t>
  </si>
  <si>
    <t>30882743</t>
  </si>
  <si>
    <t>ООО "Нортса"</t>
  </si>
  <si>
    <t>5032216058</t>
  </si>
  <si>
    <t>16-09-2015 00:00:00</t>
  </si>
  <si>
    <t>27731444</t>
  </si>
  <si>
    <t>ООО "ОКС"</t>
  </si>
  <si>
    <t>5019023949</t>
  </si>
  <si>
    <t>26548183</t>
  </si>
  <si>
    <t>ООО "Промкомбинат"</t>
  </si>
  <si>
    <t>5009057480</t>
  </si>
  <si>
    <t>26776067</t>
  </si>
  <si>
    <t>ООО "СКМ Энергосервис" ОП</t>
  </si>
  <si>
    <t>26509255</t>
  </si>
  <si>
    <t>ООО "Строитель-плюс"</t>
  </si>
  <si>
    <t>5074012017</t>
  </si>
  <si>
    <t>27653209</t>
  </si>
  <si>
    <t>ООО "Тепло-ремсервиз"</t>
  </si>
  <si>
    <t>7704753363</t>
  </si>
  <si>
    <t>26650101</t>
  </si>
  <si>
    <t>ООО "УК "Новатор +"</t>
  </si>
  <si>
    <t>5031092184</t>
  </si>
  <si>
    <t>27284574</t>
  </si>
  <si>
    <t>ООО "УК Олимп+"</t>
  </si>
  <si>
    <t>5031094632</t>
  </si>
  <si>
    <t>26357647</t>
  </si>
  <si>
    <t>5011026560</t>
  </si>
  <si>
    <t>27583888</t>
  </si>
  <si>
    <t>ООО "Эксплуатирующая организация "Золотые Купола"</t>
  </si>
  <si>
    <t>5044066946</t>
  </si>
  <si>
    <t>26794668</t>
  </si>
  <si>
    <t>ООО «ЕДС – Ногинск»</t>
  </si>
  <si>
    <t>5031064148</t>
  </si>
  <si>
    <t>26794662</t>
  </si>
  <si>
    <t>ООО «УК «Обухово»</t>
  </si>
  <si>
    <t>5031067766</t>
  </si>
  <si>
    <t>09-10-2018 00:00:00</t>
  </si>
  <si>
    <t>26794665</t>
  </si>
  <si>
    <t>ООО «УК «Фрязево»</t>
  </si>
  <si>
    <t>5031069700</t>
  </si>
  <si>
    <t>28444314</t>
  </si>
  <si>
    <t>ООО ПСК "Подмосковье"</t>
  </si>
  <si>
    <t>5022013475</t>
  </si>
  <si>
    <t>29-11-2021 00:00:00</t>
  </si>
  <si>
    <t>26549219</t>
  </si>
  <si>
    <t>УК "Мамонтово-Ямкино"</t>
  </si>
  <si>
    <t>5031067893</t>
  </si>
  <si>
    <t>26548156</t>
  </si>
  <si>
    <t>ФГУП "УЭ НЦЧ РАН"</t>
  </si>
  <si>
    <t>503104001</t>
  </si>
  <si>
    <t>13-03-2018 00:00:00</t>
  </si>
  <si>
    <t>26361030</t>
  </si>
  <si>
    <t>Филиал «РТРС» «МРЦ»</t>
  </si>
  <si>
    <t>771702001</t>
  </si>
  <si>
    <t>27524295</t>
  </si>
  <si>
    <t>Филиал ОАО «РЭУ» «Западный»</t>
  </si>
  <si>
    <t>503243001</t>
  </si>
  <si>
    <t>26548293</t>
  </si>
  <si>
    <t>"МУП "Водоканал" г. Троицк"</t>
  </si>
  <si>
    <t>5046048090</t>
  </si>
  <si>
    <t>26548031</t>
  </si>
  <si>
    <t>"НИЦИАМТ-ФГУП-НАМИ"</t>
  </si>
  <si>
    <t>7711000924</t>
  </si>
  <si>
    <t>26548361</t>
  </si>
  <si>
    <t>2217 Отделение Морской Инженерной Службы</t>
  </si>
  <si>
    <t>5007020446</t>
  </si>
  <si>
    <t>31254818</t>
  </si>
  <si>
    <t>OOO "Совхоз Электростальский"</t>
  </si>
  <si>
    <t>5053040581</t>
  </si>
  <si>
    <t>20-05-2005 00:00:00</t>
  </si>
  <si>
    <t>26576681</t>
  </si>
  <si>
    <t>«Конструкторское бюро химического машиностроения им. А.М. Исаева – филиал ФГУП «Государственный Казенный научно-производственный центр им. М.В. Хруничева»</t>
  </si>
  <si>
    <t>7730052050</t>
  </si>
  <si>
    <t>17-11-2017 00:00:00</t>
  </si>
  <si>
    <t>27256344</t>
  </si>
  <si>
    <t>АО "Агрокомплекс Ногинский"</t>
  </si>
  <si>
    <t>5031069844</t>
  </si>
  <si>
    <t>08-11-2006 00:00:00</t>
  </si>
  <si>
    <t>31665135</t>
  </si>
  <si>
    <t>АО "ВАЗ"</t>
  </si>
  <si>
    <t>5005073080</t>
  </si>
  <si>
    <t>31-01-2023 00:00:00</t>
  </si>
  <si>
    <t>28420696</t>
  </si>
  <si>
    <t>АО "Водоканал "Павшино"</t>
  </si>
  <si>
    <t>5024139635</t>
  </si>
  <si>
    <t>15-10-2013 00:00:00</t>
  </si>
  <si>
    <t>26548305</t>
  </si>
  <si>
    <t>АО "Водоканал"</t>
  </si>
  <si>
    <t>5018134420</t>
  </si>
  <si>
    <t>11-01-0009 00:00:00</t>
  </si>
  <si>
    <t>26548209</t>
  </si>
  <si>
    <t>5024022700</t>
  </si>
  <si>
    <t>16-11-1993 00:00:00</t>
  </si>
  <si>
    <t>26548275</t>
  </si>
  <si>
    <t>АО "Водоканал-Мытищи"</t>
  </si>
  <si>
    <t>5029088173</t>
  </si>
  <si>
    <t>28268636</t>
  </si>
  <si>
    <t>АО "ГКНПЦ им.М.В.Хруничева", "КБхиммаш им. А.М. Исаева" - филиал АО "ГКНПЦ им. М.В. Хруничева"</t>
  </si>
  <si>
    <t>501832001</t>
  </si>
  <si>
    <t>15-01-2008 00:00:00</t>
  </si>
  <si>
    <t>31033154</t>
  </si>
  <si>
    <t>7730239877</t>
  </si>
  <si>
    <t>500545002</t>
  </si>
  <si>
    <t>26548389</t>
  </si>
  <si>
    <t>АО "Голицынская птицефабрика"</t>
  </si>
  <si>
    <t>5032000228</t>
  </si>
  <si>
    <t>30998619</t>
  </si>
  <si>
    <t>АО "ЖКХ Горки-2"</t>
  </si>
  <si>
    <t>5032291802</t>
  </si>
  <si>
    <t>24-11-2017 00:00:00</t>
  </si>
  <si>
    <t>31463775</t>
  </si>
  <si>
    <t>АО "КБ Химмаш им. А.М.Исаева"</t>
  </si>
  <si>
    <t>5018202198</t>
  </si>
  <si>
    <t>01-11-2019 00:00:00</t>
  </si>
  <si>
    <t>26582198</t>
  </si>
  <si>
    <t>АО "КВЗУ"</t>
  </si>
  <si>
    <t>5052018907</t>
  </si>
  <si>
    <t>31481933</t>
  </si>
  <si>
    <t>АО "КЦ" (филиал "Ожерельевский комбикормовый завод")</t>
  </si>
  <si>
    <t>4813007240</t>
  </si>
  <si>
    <t>26807285</t>
  </si>
  <si>
    <t>АО "Колхоз Уваровский"</t>
  </si>
  <si>
    <t>5028015648</t>
  </si>
  <si>
    <t>10-11-2002 00:00:00</t>
  </si>
  <si>
    <t>31449892</t>
  </si>
  <si>
    <t>АО "Корпорация развития Московской области"</t>
  </si>
  <si>
    <t>5024131315</t>
  </si>
  <si>
    <t>02-10-2012 00:00:00</t>
  </si>
  <si>
    <t>26548257</t>
  </si>
  <si>
    <t>АО "Лакокраска"</t>
  </si>
  <si>
    <t>5050012040</t>
  </si>
  <si>
    <t>760601001</t>
  </si>
  <si>
    <t>27-11-1992 00:00:00</t>
  </si>
  <si>
    <t>26548307</t>
  </si>
  <si>
    <t>АО "Люберецкий водоканал"</t>
  </si>
  <si>
    <t>5027130197</t>
  </si>
  <si>
    <t>26381508</t>
  </si>
  <si>
    <t>АО "Мосводоканал"</t>
  </si>
  <si>
    <t>7701984274</t>
  </si>
  <si>
    <t>31151793</t>
  </si>
  <si>
    <t>АО "НИИЭМ"</t>
  </si>
  <si>
    <t>5017084537</t>
  </si>
  <si>
    <t>23-11-2009 00:00:00</t>
  </si>
  <si>
    <t>26548103</t>
  </si>
  <si>
    <t>АО "Опытный завод №31 ГА"</t>
  </si>
  <si>
    <t>5050012314</t>
  </si>
  <si>
    <t>24-07-1997 00:00:00</t>
  </si>
  <si>
    <t>01-02-2022 00:00:00</t>
  </si>
  <si>
    <t>28075993</t>
  </si>
  <si>
    <t>АО "Особые экономические зоны"</t>
  </si>
  <si>
    <t>7703591134</t>
  </si>
  <si>
    <t>27-04-2006 00:00:00</t>
  </si>
  <si>
    <t>01-11-2023 00:00:00</t>
  </si>
  <si>
    <t>31032756</t>
  </si>
  <si>
    <t>АО "ПТПС"</t>
  </si>
  <si>
    <t>7735584524</t>
  </si>
  <si>
    <t>26548213</t>
  </si>
  <si>
    <t>АО "Промышленный парк Одинцово-1"</t>
  </si>
  <si>
    <t>5032099545</t>
  </si>
  <si>
    <t>27-01-2004 00:00:00</t>
  </si>
  <si>
    <t>26802233</t>
  </si>
  <si>
    <t>АО "Раменский Водоканал"</t>
  </si>
  <si>
    <t>5040109194</t>
  </si>
  <si>
    <t>28-07-2011 00:00:00</t>
  </si>
  <si>
    <t>28055912</t>
  </si>
  <si>
    <t>АО "Славянка" (Филиал "Тверской")</t>
  </si>
  <si>
    <t>7702707386</t>
  </si>
  <si>
    <t>695043001</t>
  </si>
  <si>
    <t>30-04-2009 00:00:00</t>
  </si>
  <si>
    <t>10-02-2021 00:00:00</t>
  </si>
  <si>
    <t>26548283</t>
  </si>
  <si>
    <t>АО "Совхоз Москворецкий"</t>
  </si>
  <si>
    <t>5032058267</t>
  </si>
  <si>
    <t>24-01-2000 00:00:00</t>
  </si>
  <si>
    <t>26548387</t>
  </si>
  <si>
    <t>АО "Тонкосуконная фабрика имени Свердлова"</t>
  </si>
  <si>
    <t>5050021608</t>
  </si>
  <si>
    <t>21-03-2003 00:00:00</t>
  </si>
  <si>
    <t>26548397</t>
  </si>
  <si>
    <t>АО "УМЦ Голицыно"</t>
  </si>
  <si>
    <t>5032008153</t>
  </si>
  <si>
    <t>24-02-1993 00:00:00</t>
  </si>
  <si>
    <t>31024736</t>
  </si>
  <si>
    <t>АО "ЮИТ КантриСтрой"</t>
  </si>
  <si>
    <t>5027257267</t>
  </si>
  <si>
    <t>16-10-2017 00:00:00</t>
  </si>
  <si>
    <t>30924475</t>
  </si>
  <si>
    <t>АО "ЮИТ Московия"</t>
  </si>
  <si>
    <t>5040059722</t>
  </si>
  <si>
    <t>08-01-2004 00:00:00</t>
  </si>
  <si>
    <t>31-01-2018 00:00:00</t>
  </si>
  <si>
    <t>28436067</t>
  </si>
  <si>
    <t>АО "ЮЛИЯ"</t>
  </si>
  <si>
    <t>7733770067</t>
  </si>
  <si>
    <t>31280306</t>
  </si>
  <si>
    <t>АО «ВЕЛЕДНИКОВО»</t>
  </si>
  <si>
    <t>5017115344</t>
  </si>
  <si>
    <t>26505038</t>
  </si>
  <si>
    <t>АО «ГНЦ РФ ТРИНИТИ»</t>
  </si>
  <si>
    <t>5046005360</t>
  </si>
  <si>
    <t>26505020</t>
  </si>
  <si>
    <t>АО «ЭУК Подмосковье-Сервис»</t>
  </si>
  <si>
    <t>5032047850</t>
  </si>
  <si>
    <t>26548315</t>
  </si>
  <si>
    <t>АО Племхоз "Наро-Осановский"</t>
  </si>
  <si>
    <t>5032025455</t>
  </si>
  <si>
    <t>07-07-1993 00:00:00</t>
  </si>
  <si>
    <t>26568661</t>
  </si>
  <si>
    <t>АУ "С/п Буньковское"</t>
  </si>
  <si>
    <t>5031087410</t>
  </si>
  <si>
    <t>26548255</t>
  </si>
  <si>
    <t>Архангельская КЭЧ</t>
  </si>
  <si>
    <t>5024000070</t>
  </si>
  <si>
    <t>26572745</t>
  </si>
  <si>
    <t>БГГЭ ФГУП "ИМГРЭ"</t>
  </si>
  <si>
    <t>7731007371</t>
  </si>
  <si>
    <t>504002001</t>
  </si>
  <si>
    <t>07-10-1999 00:00:00</t>
  </si>
  <si>
    <t>31347314</t>
  </si>
  <si>
    <t>Банк России</t>
  </si>
  <si>
    <t>02-12-1990 00:00:00</t>
  </si>
  <si>
    <t>26548207</t>
  </si>
  <si>
    <t>В/Ч 73535</t>
  </si>
  <si>
    <t>5032031265</t>
  </si>
  <si>
    <t>26651694</t>
  </si>
  <si>
    <t>ВДО "Космодром"</t>
  </si>
  <si>
    <t>5038019360</t>
  </si>
  <si>
    <t>26548239</t>
  </si>
  <si>
    <t>ВНИЦ ВЭИ – филиал ФГУП ВЭИ</t>
  </si>
  <si>
    <t>7722026032</t>
  </si>
  <si>
    <t>01-03-1992 00:00:00</t>
  </si>
  <si>
    <t>29-12-2017 00:00:00</t>
  </si>
  <si>
    <t>26772706</t>
  </si>
  <si>
    <t>Войсковая часть 12517</t>
  </si>
  <si>
    <t>5038073159</t>
  </si>
  <si>
    <t>502043001</t>
  </si>
  <si>
    <t>13-02-2019 00:00:00</t>
  </si>
  <si>
    <t>26803940</t>
  </si>
  <si>
    <t>Войсковая часть 35690</t>
  </si>
  <si>
    <t>7702232171</t>
  </si>
  <si>
    <t>500102001</t>
  </si>
  <si>
    <t>26548263</t>
  </si>
  <si>
    <t>ГБСУСО МО "Колычевский ПНИ"</t>
  </si>
  <si>
    <t>5011005930</t>
  </si>
  <si>
    <t>15-09-2022 00:00:00</t>
  </si>
  <si>
    <t>31248856</t>
  </si>
  <si>
    <t>ГБУ МО ОК "Левково"</t>
  </si>
  <si>
    <t>5038053723</t>
  </si>
  <si>
    <t>26548347</t>
  </si>
  <si>
    <t>ГБУ Социальный дом "Луговой"</t>
  </si>
  <si>
    <t>5007008047</t>
  </si>
  <si>
    <t>31714150</t>
  </si>
  <si>
    <t>ГБУЗ "МНПЦ НАРКОЛОГИИ ДЗМ"</t>
  </si>
  <si>
    <t>7723356386</t>
  </si>
  <si>
    <t>26548271</t>
  </si>
  <si>
    <t>ГБУЗ "ТС № 5 ДЗМ"</t>
  </si>
  <si>
    <t>5040034823</t>
  </si>
  <si>
    <t>26-11-2001 00:00:00</t>
  </si>
  <si>
    <t>31390700</t>
  </si>
  <si>
    <t>ГБУЗ МО "МОКПТД" Клиника №1</t>
  </si>
  <si>
    <t>7715186733</t>
  </si>
  <si>
    <t>30837059</t>
  </si>
  <si>
    <t>ГБУЗ МО "МПБ"</t>
  </si>
  <si>
    <t>5029029442</t>
  </si>
  <si>
    <t>15-06-2000 00:00:00</t>
  </si>
  <si>
    <t>26548401</t>
  </si>
  <si>
    <t>ГБУЗ МО "ПБ № 12"</t>
  </si>
  <si>
    <t>5071001391</t>
  </si>
  <si>
    <t>15-03-1994 00:00:00</t>
  </si>
  <si>
    <t>12-08-2022 00:00:00</t>
  </si>
  <si>
    <t>31623493</t>
  </si>
  <si>
    <t>ГБУЗ МО "ПБ № 4" ОСП Микулинское</t>
  </si>
  <si>
    <t>5075003671</t>
  </si>
  <si>
    <t>01-10-1998 00:00:00</t>
  </si>
  <si>
    <t>26548373</t>
  </si>
  <si>
    <t>ГБУЗ МО ПБ №3</t>
  </si>
  <si>
    <t>5011011388</t>
  </si>
  <si>
    <t>31-03-2003 00:00:00</t>
  </si>
  <si>
    <t>26548142</t>
  </si>
  <si>
    <t>ГПУ "Медицинский центр" санаторий Отрадное"</t>
  </si>
  <si>
    <t>772907141</t>
  </si>
  <si>
    <t>26548073</t>
  </si>
  <si>
    <t>ГУЗ "Городская клиническая больница №45 департамента здравоохранения г.Москвы"</t>
  </si>
  <si>
    <t>5032029890</t>
  </si>
  <si>
    <t>26548069</t>
  </si>
  <si>
    <t>ГУП  "Медицинский центр"</t>
  </si>
  <si>
    <t>26548227</t>
  </si>
  <si>
    <t>ГУП "Московский метрополитен"</t>
  </si>
  <si>
    <t>7702038150</t>
  </si>
  <si>
    <t>503203001</t>
  </si>
  <si>
    <t>26548085</t>
  </si>
  <si>
    <t>ГУП ППЗ "Птичное"</t>
  </si>
  <si>
    <t>5030005679</t>
  </si>
  <si>
    <t>28975181</t>
  </si>
  <si>
    <t>ДНП "Зеленые холмы"</t>
  </si>
  <si>
    <t>5024120627</t>
  </si>
  <si>
    <t>04-05-2011 00:00:00</t>
  </si>
  <si>
    <t>20-04-2022 00:00:00</t>
  </si>
  <si>
    <t>28493071</t>
  </si>
  <si>
    <t>ДНП "Новый посёлок"</t>
  </si>
  <si>
    <t>5044017402</t>
  </si>
  <si>
    <t>28511372</t>
  </si>
  <si>
    <t>ДНП "УК КП "Виктория Клаб"</t>
  </si>
  <si>
    <t>5031063835</t>
  </si>
  <si>
    <t>26-09-2005 00:00:00</t>
  </si>
  <si>
    <t>26548039</t>
  </si>
  <si>
    <t>ДОЛ "Небо Москвы"</t>
  </si>
  <si>
    <t>26548359</t>
  </si>
  <si>
    <t>Дирекция по эксплуатации городка писателей "Переделкино"</t>
  </si>
  <si>
    <t>5003028042</t>
  </si>
  <si>
    <t>26548353</t>
  </si>
  <si>
    <t>ЖСПК "Вешки-95"</t>
  </si>
  <si>
    <t>5029036979</t>
  </si>
  <si>
    <t>26548053</t>
  </si>
  <si>
    <t>ЗАО "АКВАСТОК"</t>
  </si>
  <si>
    <t>5005041232</t>
  </si>
  <si>
    <t>04-07-2005 00:00:00</t>
  </si>
  <si>
    <t>26772758</t>
  </si>
  <si>
    <t>ЗАО "Водоканал"</t>
  </si>
  <si>
    <t>5020051845</t>
  </si>
  <si>
    <t>27-09-2007 00:00:00</t>
  </si>
  <si>
    <t>26548447</t>
  </si>
  <si>
    <t>05-12-2019 00:00:00</t>
  </si>
  <si>
    <t>26357783</t>
  </si>
  <si>
    <t>ЗАО "ЗЭИМ "Элинар"</t>
  </si>
  <si>
    <t>5030035264</t>
  </si>
  <si>
    <t>26548277</t>
  </si>
  <si>
    <t>ЗАО "ИСК "Новое строительство"</t>
  </si>
  <si>
    <t>7710155065</t>
  </si>
  <si>
    <t>26548175</t>
  </si>
  <si>
    <t>ЗАО "КОМПЛЕКС-ЧИГ"</t>
  </si>
  <si>
    <t>7703065332</t>
  </si>
  <si>
    <t>26508665</t>
  </si>
  <si>
    <t>ЗАО "Каширское"</t>
  </si>
  <si>
    <t>5019015634</t>
  </si>
  <si>
    <t>12-10-2021 00:00:00</t>
  </si>
  <si>
    <t>26548243</t>
  </si>
  <si>
    <t>ЗАО "Константиновская птицефабрика"</t>
  </si>
  <si>
    <t>5040072681</t>
  </si>
  <si>
    <t>26548146</t>
  </si>
  <si>
    <t>ЗАО "Краснополянская птицефабрика"</t>
  </si>
  <si>
    <t>5029014809</t>
  </si>
  <si>
    <t>26785033</t>
  </si>
  <si>
    <t>ЗАО "Леонтьево"</t>
  </si>
  <si>
    <t>5045001966</t>
  </si>
  <si>
    <t>26650567</t>
  </si>
  <si>
    <t>ЗАО "Матвеевское"</t>
  </si>
  <si>
    <t>5032025310</t>
  </si>
  <si>
    <t>26548327</t>
  </si>
  <si>
    <t>ЗАО "Международный аэропорт Домодедово"</t>
  </si>
  <si>
    <t>997650002</t>
  </si>
  <si>
    <t>26567385</t>
  </si>
  <si>
    <t>ЗАО "Металоре"</t>
  </si>
  <si>
    <t>5003083558</t>
  </si>
  <si>
    <t>26548341</t>
  </si>
  <si>
    <t>ЗАО "Московский конный завод № 1"</t>
  </si>
  <si>
    <t>5032039592</t>
  </si>
  <si>
    <t>26548369</t>
  </si>
  <si>
    <t>5003760880</t>
  </si>
  <si>
    <t>500307001</t>
  </si>
  <si>
    <t>26548065</t>
  </si>
  <si>
    <t>ЗАО "Новый Быт"</t>
  </si>
  <si>
    <t>5048019136</t>
  </si>
  <si>
    <t>26548021</t>
  </si>
  <si>
    <t>ЗАО "Ногинское"</t>
  </si>
  <si>
    <t>5031015180</t>
  </si>
  <si>
    <t>26548289</t>
  </si>
  <si>
    <t>ЗАО "Племенной завод "Барыбино"</t>
  </si>
  <si>
    <t>26650368</t>
  </si>
  <si>
    <t>ЗАО "Продснаб АПК Раменский"</t>
  </si>
  <si>
    <t>5040034453</t>
  </si>
  <si>
    <t>26548321</t>
  </si>
  <si>
    <t>ЗАО "СИК КОНКОР"</t>
  </si>
  <si>
    <t>7734049820</t>
  </si>
  <si>
    <t>500731001</t>
  </si>
  <si>
    <t>05-05-2017 00:00:00</t>
  </si>
  <si>
    <t>26548345</t>
  </si>
  <si>
    <t>ЗАО "Сергиевское ВМК"</t>
  </si>
  <si>
    <t>5022060362</t>
  </si>
  <si>
    <t>26777934</t>
  </si>
  <si>
    <t>ЗАО "Станция очистки"</t>
  </si>
  <si>
    <t>5005033834</t>
  </si>
  <si>
    <t>25-09-2001 00:00:00</t>
  </si>
  <si>
    <t>26548120</t>
  </si>
  <si>
    <t>ЗАО "Туристский комплекс Клязьминское водохранилище"</t>
  </si>
  <si>
    <t>5029026466</t>
  </si>
  <si>
    <t>26357617</t>
  </si>
  <si>
    <t>ЗАО "Универсал-нефть"</t>
  </si>
  <si>
    <t>5008028511</t>
  </si>
  <si>
    <t>26-12-2019 00:00:00</t>
  </si>
  <si>
    <t>26548152</t>
  </si>
  <si>
    <t>ЗАО "Шарапово"</t>
  </si>
  <si>
    <t>5032002264</t>
  </si>
  <si>
    <t>26647957</t>
  </si>
  <si>
    <t>ЗАО "Элинар-Бройлер"</t>
  </si>
  <si>
    <t>5030036290</t>
  </si>
  <si>
    <t>30-09-1999 00:00:00</t>
  </si>
  <si>
    <t>02-02-2015 00:00:00</t>
  </si>
  <si>
    <t>26777937</t>
  </si>
  <si>
    <t>ЗАО «Воскресенское»</t>
  </si>
  <si>
    <t>5005001776</t>
  </si>
  <si>
    <t>26773206</t>
  </si>
  <si>
    <t>ЗАО «Петелинская птицефабрика»</t>
  </si>
  <si>
    <t>502032001</t>
  </si>
  <si>
    <t>30797965</t>
  </si>
  <si>
    <t>ЗАО «Совместное предприятие «Евразия М4»</t>
  </si>
  <si>
    <t>5009056102</t>
  </si>
  <si>
    <t>01-03-2006 00:00:00</t>
  </si>
  <si>
    <t>26650381</t>
  </si>
  <si>
    <t>ЗАО ПХ "Чулковское"</t>
  </si>
  <si>
    <t>5040004160</t>
  </si>
  <si>
    <t>26548055</t>
  </si>
  <si>
    <t>7704065166</t>
  </si>
  <si>
    <t>31397265</t>
  </si>
  <si>
    <t>ИП Галкина Г.В.</t>
  </si>
  <si>
    <t>773100377842</t>
  </si>
  <si>
    <t>31643966</t>
  </si>
  <si>
    <t>ИП Пыжиков А.С.</t>
  </si>
  <si>
    <t>504010843770</t>
  </si>
  <si>
    <t>18-10-2007 00:00:00</t>
  </si>
  <si>
    <t>26548445</t>
  </si>
  <si>
    <t>ИПЛИТ РАН</t>
  </si>
  <si>
    <t>5049005016</t>
  </si>
  <si>
    <t>28891397</t>
  </si>
  <si>
    <t>КОО "МИЛЛГРИН ЛИМИТЕД"</t>
  </si>
  <si>
    <t>9909326221</t>
  </si>
  <si>
    <t>502451001</t>
  </si>
  <si>
    <t>30870970</t>
  </si>
  <si>
    <t>МКП "Коммунальный комплекс"</t>
  </si>
  <si>
    <t>5044097550</t>
  </si>
  <si>
    <t>24-03-2016 00:00:00</t>
  </si>
  <si>
    <t>26548165</t>
  </si>
  <si>
    <t>МП "Водоканал"</t>
  </si>
  <si>
    <t>5022556672</t>
  </si>
  <si>
    <t>05-04-2016 00:00:00</t>
  </si>
  <si>
    <t>26548421</t>
  </si>
  <si>
    <t>5026000090</t>
  </si>
  <si>
    <t>31454488</t>
  </si>
  <si>
    <t>МП "ИНЖТЕХСЕРВИС"</t>
  </si>
  <si>
    <t>5013001748</t>
  </si>
  <si>
    <t>01-10-2020 00:00:00</t>
  </si>
  <si>
    <t>26357677</t>
  </si>
  <si>
    <t>МУП "Букаревское РЭП ЖКХ"</t>
  </si>
  <si>
    <t>5017030997</t>
  </si>
  <si>
    <t>20-10-1995 00:00:00</t>
  </si>
  <si>
    <t>26548126</t>
  </si>
  <si>
    <t>МУП "ВК и ЖКХ "Поведники"</t>
  </si>
  <si>
    <t>5029007008</t>
  </si>
  <si>
    <t>31296976</t>
  </si>
  <si>
    <t>МУП "ВОДОКАНАЛ ДМИТРОВ"</t>
  </si>
  <si>
    <t>5007099823</t>
  </si>
  <si>
    <t>12-12-2016 00:00:00</t>
  </si>
  <si>
    <t>26548249</t>
  </si>
  <si>
    <t>МУП "Водоканал Наро-Фоминского городского округа"</t>
  </si>
  <si>
    <t>5030015500</t>
  </si>
  <si>
    <t>26548059</t>
  </si>
  <si>
    <t>5012027045</t>
  </si>
  <si>
    <t>23-06-2004 00:00:00</t>
  </si>
  <si>
    <t>11-01-2019 00:00:00</t>
  </si>
  <si>
    <t>26548269</t>
  </si>
  <si>
    <t>5021012542</t>
  </si>
  <si>
    <t>26548357</t>
  </si>
  <si>
    <t>5042002584</t>
  </si>
  <si>
    <t>25-08-1992 00:00:00</t>
  </si>
  <si>
    <t>26548427</t>
  </si>
  <si>
    <t>5052009050</t>
  </si>
  <si>
    <t>26548335</t>
  </si>
  <si>
    <t>МУП "Водоресурс"</t>
  </si>
  <si>
    <t>5019017166</t>
  </si>
  <si>
    <t>09-01-2018 00:00:00</t>
  </si>
  <si>
    <t>26650361</t>
  </si>
  <si>
    <t>МУП "Деденевское ЖКХ"</t>
  </si>
  <si>
    <t>5007041654</t>
  </si>
  <si>
    <t>16-08-2011 00:00:00</t>
  </si>
  <si>
    <t>26548075</t>
  </si>
  <si>
    <t>МУП "Домодедовский водоканал"</t>
  </si>
  <si>
    <t>5009034660</t>
  </si>
  <si>
    <t>27-03-2002 00:00:00</t>
  </si>
  <si>
    <t>26548287</t>
  </si>
  <si>
    <t>МУП "Жилкомсервис"</t>
  </si>
  <si>
    <t>5078015900</t>
  </si>
  <si>
    <t>27-11-2017 00:00:00</t>
  </si>
  <si>
    <t>26548371</t>
  </si>
  <si>
    <t>МУП "Ивантеевский Водоканал"</t>
  </si>
  <si>
    <t>5016013318</t>
  </si>
  <si>
    <t>08-06-2021 00:00:00</t>
  </si>
  <si>
    <t>31341881</t>
  </si>
  <si>
    <t>МУП "Истринская теплосеть"</t>
  </si>
  <si>
    <t>5017046933</t>
  </si>
  <si>
    <t>26-07-2002 00:00:00</t>
  </si>
  <si>
    <t>26548379</t>
  </si>
  <si>
    <t>МУП "Истринский Водоканал"</t>
  </si>
  <si>
    <t>5017046926</t>
  </si>
  <si>
    <t>28823091</t>
  </si>
  <si>
    <t>МУП "Климовский водоканал"</t>
  </si>
  <si>
    <t>5074050830</t>
  </si>
  <si>
    <t>08-07-2014 00:00:00</t>
  </si>
  <si>
    <t>28270279</t>
  </si>
  <si>
    <t>МУП "КомСервис"</t>
  </si>
  <si>
    <t>5042128403</t>
  </si>
  <si>
    <t>04-06-2013 00:00:00</t>
  </si>
  <si>
    <t>26548435</t>
  </si>
  <si>
    <t>МУП "Комбинат вспомогательных производств"</t>
  </si>
  <si>
    <t>5034030595</t>
  </si>
  <si>
    <t>31-12-2012 00:00:00</t>
  </si>
  <si>
    <t>26548158</t>
  </si>
  <si>
    <t>МУП "Коммунальные сети"</t>
  </si>
  <si>
    <t>5042110156</t>
  </si>
  <si>
    <t>05-02-2021 00:00:00</t>
  </si>
  <si>
    <t>26508623</t>
  </si>
  <si>
    <t>МУП "Лопатинское ЖКХ"</t>
  </si>
  <si>
    <t>31029554</t>
  </si>
  <si>
    <t>МУП "Некрасовский водоканал"</t>
  </si>
  <si>
    <t>5007091951</t>
  </si>
  <si>
    <t>26508617</t>
  </si>
  <si>
    <t>МУП "Нерское ЖКХ"</t>
  </si>
  <si>
    <t>5005038688</t>
  </si>
  <si>
    <t>26548163</t>
  </si>
  <si>
    <t>МУП "ОКТЯБРЬСКИЙ ВОДОКАНАЛ"</t>
  </si>
  <si>
    <t>5027089781</t>
  </si>
  <si>
    <t>07-11-2002 00:00:00</t>
  </si>
  <si>
    <t>26818252</t>
  </si>
  <si>
    <t>МУП "ПТК"</t>
  </si>
  <si>
    <t>5019022504</t>
  </si>
  <si>
    <t>27-05-2010 00:00:00</t>
  </si>
  <si>
    <t>28981360</t>
  </si>
  <si>
    <t>МУП "ПТО ГХ г. Рошаля"</t>
  </si>
  <si>
    <t>5049002223</t>
  </si>
  <si>
    <t>26357678</t>
  </si>
  <si>
    <t>МУП "Павло-Слободское РЭП ЖКХ"</t>
  </si>
  <si>
    <t>5017031077</t>
  </si>
  <si>
    <t>26548223</t>
  </si>
  <si>
    <t>МУП "Пушкинский Водоканал"</t>
  </si>
  <si>
    <t>5038057693</t>
  </si>
  <si>
    <t>26548144</t>
  </si>
  <si>
    <t>МУП "Реутовский водоканал"</t>
  </si>
  <si>
    <t>5012028497</t>
  </si>
  <si>
    <t>18-02-2005 00:00:00</t>
  </si>
  <si>
    <t>30837586</t>
  </si>
  <si>
    <t>МУП "УКС"</t>
  </si>
  <si>
    <t>5050115535</t>
  </si>
  <si>
    <t>15-01-2015 00:00:00</t>
  </si>
  <si>
    <t>07-02-2023 00:00:00</t>
  </si>
  <si>
    <t>26579672</t>
  </si>
  <si>
    <t>МУП "Федоскинские инженерные системы"</t>
  </si>
  <si>
    <t>5029136483</t>
  </si>
  <si>
    <t>31-10-2014 00:00:00</t>
  </si>
  <si>
    <t>30802843</t>
  </si>
  <si>
    <t>МУП "Энергоснабжение"</t>
  </si>
  <si>
    <t>5005031555</t>
  </si>
  <si>
    <t>31-05-2000 00:00:00</t>
  </si>
  <si>
    <t>15-07-2021 00:00:00</t>
  </si>
  <si>
    <t>26808077</t>
  </si>
  <si>
    <t>МУП «ГЖЭУ-4»</t>
  </si>
  <si>
    <t>5029033350</t>
  </si>
  <si>
    <t>26566851</t>
  </si>
  <si>
    <t>МУП ВКХ "ВОДОКАНАЛ"</t>
  </si>
  <si>
    <t>5006004145</t>
  </si>
  <si>
    <t>03-12-1996 00:00:00</t>
  </si>
  <si>
    <t>26773054</t>
  </si>
  <si>
    <t>МУП ЖКУ МО "Барановский сельсовет"</t>
  </si>
  <si>
    <t>3008005486</t>
  </si>
  <si>
    <t>300801001</t>
  </si>
  <si>
    <t>09-04-2007 00:00:00</t>
  </si>
  <si>
    <t>26650723</t>
  </si>
  <si>
    <t>Московская экономическая школа</t>
  </si>
  <si>
    <t>7703093763</t>
  </si>
  <si>
    <t>01-02-1993 00:00:00</t>
  </si>
  <si>
    <t>26548301</t>
  </si>
  <si>
    <t>Московско-Савеловская дистанция ГС</t>
  </si>
  <si>
    <t>771031001</t>
  </si>
  <si>
    <t>26548173</t>
  </si>
  <si>
    <t>Московско-Савеловская дистанция гражданских сооружений</t>
  </si>
  <si>
    <t>990850372</t>
  </si>
  <si>
    <t>26647696</t>
  </si>
  <si>
    <t>НП «Коттеджный поселок «Городок К»</t>
  </si>
  <si>
    <t>5046063940</t>
  </si>
  <si>
    <t>26567654</t>
  </si>
  <si>
    <t>НП «Резиденции Бенилюкс»</t>
  </si>
  <si>
    <t>5017053899</t>
  </si>
  <si>
    <t>26357779</t>
  </si>
  <si>
    <t>Наро-Фоминская КЭЧ</t>
  </si>
  <si>
    <t>5030011009</t>
  </si>
  <si>
    <t>26548393</t>
  </si>
  <si>
    <t>Некоммерческое партнерство "Турейка"</t>
  </si>
  <si>
    <t>5030030724</t>
  </si>
  <si>
    <t>15-07-2020 00:00:00</t>
  </si>
  <si>
    <t>26653548</t>
  </si>
  <si>
    <t>Некоммерческое партнерство «ЛэндиКо»</t>
  </si>
  <si>
    <t>5044052816</t>
  </si>
  <si>
    <t>26653825</t>
  </si>
  <si>
    <t>Некоммерческое партнерство «Царское село»</t>
  </si>
  <si>
    <t>5017055624</t>
  </si>
  <si>
    <t>16-05-2023 00:00:00</t>
  </si>
  <si>
    <t>26654020</t>
  </si>
  <si>
    <t>ОАО  «ЭлИНП»</t>
  </si>
  <si>
    <t>5035000064</t>
  </si>
  <si>
    <t>26650535</t>
  </si>
  <si>
    <t>ОАО  НПО "Наука"</t>
  </si>
  <si>
    <t>7714005350</t>
  </si>
  <si>
    <t>26548037</t>
  </si>
  <si>
    <t>ОАО "Агрофирма "Рогачево"</t>
  </si>
  <si>
    <t>5007007004</t>
  </si>
  <si>
    <t>26548377</t>
  </si>
  <si>
    <t>ОАО "Аннинское"</t>
  </si>
  <si>
    <t>5075018043</t>
  </si>
  <si>
    <t>26548403</t>
  </si>
  <si>
    <t>997650008</t>
  </si>
  <si>
    <t>26774429</t>
  </si>
  <si>
    <t>ОАО "Водоканал"</t>
  </si>
  <si>
    <t>1108020501</t>
  </si>
  <si>
    <t>110801001</t>
  </si>
  <si>
    <t>26548349</t>
  </si>
  <si>
    <t>ОАО "ГУОВ МО"</t>
  </si>
  <si>
    <t>7703033130</t>
  </si>
  <si>
    <t>26357823</t>
  </si>
  <si>
    <t>ОАО "Голицынский ОЗСА"</t>
  </si>
  <si>
    <t>5032012696</t>
  </si>
  <si>
    <t>26357845</t>
  </si>
  <si>
    <t>ОАО "Голицынский автобусный завод"</t>
  </si>
  <si>
    <t>5032063891</t>
  </si>
  <si>
    <t>26548431</t>
  </si>
  <si>
    <t>ОАО "Гололобовский кирпичный завод"</t>
  </si>
  <si>
    <t>5070000010</t>
  </si>
  <si>
    <t>26548029</t>
  </si>
  <si>
    <t>ОАО "Дашковка"</t>
  </si>
  <si>
    <t>5077000154</t>
  </si>
  <si>
    <t>26-04-1998 00:00:00</t>
  </si>
  <si>
    <t>26804316</t>
  </si>
  <si>
    <t>ОАО "Дулевский красочный завод"</t>
  </si>
  <si>
    <t>5073050115</t>
  </si>
  <si>
    <t>15-11-2022 00:00:00</t>
  </si>
  <si>
    <t>26548154</t>
  </si>
  <si>
    <t>ОАО "Заря Подмоскоя"</t>
  </si>
  <si>
    <t>5009041096</t>
  </si>
  <si>
    <t>997650007</t>
  </si>
  <si>
    <t>09-09-2021 00:00:00</t>
  </si>
  <si>
    <t>26548441</t>
  </si>
  <si>
    <t>ОАО "Карболит"</t>
  </si>
  <si>
    <t>26807166</t>
  </si>
  <si>
    <t>ОАО "Кимпор"</t>
  </si>
  <si>
    <t>5074000276</t>
  </si>
  <si>
    <t>26548253</t>
  </si>
  <si>
    <t>ОАО "Люберецкий ГОК"</t>
  </si>
  <si>
    <t>5027035553</t>
  </si>
  <si>
    <t>27581374</t>
  </si>
  <si>
    <t>ОАО "НПП "Звезда"</t>
  </si>
  <si>
    <t>5027030107</t>
  </si>
  <si>
    <t>26548303</t>
  </si>
  <si>
    <t>ОАО "Одинцовский Водоканал"</t>
  </si>
  <si>
    <t>5032199733</t>
  </si>
  <si>
    <t>26548041</t>
  </si>
  <si>
    <t>ОАО "Ожерельевский комбикормовый завод"</t>
  </si>
  <si>
    <t>5019002410</t>
  </si>
  <si>
    <t>26511013</t>
  </si>
  <si>
    <t>ОАО "Особое конструкторское бюро кабельной промышленности"</t>
  </si>
  <si>
    <t>5029150262</t>
  </si>
  <si>
    <t>26548027</t>
  </si>
  <si>
    <t>26548433</t>
  </si>
  <si>
    <t>ОАО "Подводтрубопроводстрой фил. №1"</t>
  </si>
  <si>
    <t>7706003937</t>
  </si>
  <si>
    <t>772513181</t>
  </si>
  <si>
    <t>13-01-2021 00:00:00</t>
  </si>
  <si>
    <t>26814895</t>
  </si>
  <si>
    <t>ОАО "РЖД" (Октябрьская дирекция по тепловодоснабжению - СП Центральной дирекции по тепловодоснабжению - филиала ОАО "РЖД")</t>
  </si>
  <si>
    <t>780445015</t>
  </si>
  <si>
    <t>26357829</t>
  </si>
  <si>
    <t>ОАО "РЭП "Каринское"</t>
  </si>
  <si>
    <t>5032200026</t>
  </si>
  <si>
    <t>02-05-2017 00:00:00</t>
  </si>
  <si>
    <t>26548329</t>
  </si>
  <si>
    <t>ОАО "Раменский комбинат хлебопродуктов имени В.Я.Печенова"</t>
  </si>
  <si>
    <t>5040009908</t>
  </si>
  <si>
    <t>26548423</t>
  </si>
  <si>
    <t>ОАО "Речицкий фарфоровый завод"</t>
  </si>
  <si>
    <t>5040003695</t>
  </si>
  <si>
    <t>27583950</t>
  </si>
  <si>
    <t>ОАО "Славянка" (Филиал "Кубинский")</t>
  </si>
  <si>
    <t>26801802</t>
  </si>
  <si>
    <t>ОАО "Славянка" (Филиал "Ногинский")</t>
  </si>
  <si>
    <t>26885538</t>
  </si>
  <si>
    <t>ОАО "Славянка" филиал "Рязанский"</t>
  </si>
  <si>
    <t>623043001</t>
  </si>
  <si>
    <t>28877628</t>
  </si>
  <si>
    <t>ОАО "Славянка" филиал "Тверской"</t>
  </si>
  <si>
    <t>616543001</t>
  </si>
  <si>
    <t>26-01-2015 00:00:00</t>
  </si>
  <si>
    <t>26650697</t>
  </si>
  <si>
    <t>ОАО "Трест Мособлстрой № 6"</t>
  </si>
  <si>
    <t>5032001704</t>
  </si>
  <si>
    <t>26649181</t>
  </si>
  <si>
    <t>ОАО "УСК МОСТ"</t>
  </si>
  <si>
    <t>7702322731</t>
  </si>
  <si>
    <t>26548285</t>
  </si>
  <si>
    <t>ОАО "ФСК ЕЭС"</t>
  </si>
  <si>
    <t>4716016979</t>
  </si>
  <si>
    <t>26548343</t>
  </si>
  <si>
    <t>ОАО "Химкинский водоканал"</t>
  </si>
  <si>
    <t>5047081156</t>
  </si>
  <si>
    <t>26357933</t>
  </si>
  <si>
    <t>ОАО "Хотьковский автомост"</t>
  </si>
  <si>
    <t>5042001439</t>
  </si>
  <si>
    <t>27581218</t>
  </si>
  <si>
    <t>ОАО "Ямское поле"</t>
  </si>
  <si>
    <t>7714802161</t>
  </si>
  <si>
    <t>26504910</t>
  </si>
  <si>
    <t>ОАО «НИИАО»</t>
  </si>
  <si>
    <t>5040106669</t>
  </si>
  <si>
    <t>26781023</t>
  </si>
  <si>
    <t>ОАО «Пансионат отдыха Новогорск»</t>
  </si>
  <si>
    <t>5047018669</t>
  </si>
  <si>
    <t>27619856</t>
  </si>
  <si>
    <t>ОАО «Славянка» (Филиал «Подольский»)</t>
  </si>
  <si>
    <t>24-01-2011 00:00:00</t>
  </si>
  <si>
    <t>27524283</t>
  </si>
  <si>
    <t>ОАО «Славянка» (Филиал «Солнечногорский»)</t>
  </si>
  <si>
    <t>504443001</t>
  </si>
  <si>
    <t>26548219</t>
  </si>
  <si>
    <t>ОНО ППЗ "Кучинский"</t>
  </si>
  <si>
    <t>5001000605</t>
  </si>
  <si>
    <t>30951559</t>
  </si>
  <si>
    <t>ООО "АГАЛАРОВ ЭСТЭЙТ"</t>
  </si>
  <si>
    <t>5024101945</t>
  </si>
  <si>
    <t>26649271</t>
  </si>
  <si>
    <t>ООО "АЛЬФА-ВИТ"</t>
  </si>
  <si>
    <t>5038064250</t>
  </si>
  <si>
    <t>31612533</t>
  </si>
  <si>
    <t>ООО "АПК Шатурский"</t>
  </si>
  <si>
    <t>5049023865</t>
  </si>
  <si>
    <t>25-10-2017 00:00:00</t>
  </si>
  <si>
    <t>28813000</t>
  </si>
  <si>
    <t>ООО "Агидель"</t>
  </si>
  <si>
    <t>7704700820</t>
  </si>
  <si>
    <t>31528995</t>
  </si>
  <si>
    <t>31153741</t>
  </si>
  <si>
    <t>ООО "Агранта"</t>
  </si>
  <si>
    <t>7724671888</t>
  </si>
  <si>
    <t>20-08-2008 00:00:00</t>
  </si>
  <si>
    <t>31500085</t>
  </si>
  <si>
    <t>ООО "Агроком"</t>
  </si>
  <si>
    <t>5032202136</t>
  </si>
  <si>
    <t>03-04-2015 00:00:00</t>
  </si>
  <si>
    <t>28494047</t>
  </si>
  <si>
    <t>ООО "Адмирал"</t>
  </si>
  <si>
    <t>7723337295</t>
  </si>
  <si>
    <t>04-06-2004 00:00:00</t>
  </si>
  <si>
    <t>26-07-2018 00:00:00</t>
  </si>
  <si>
    <t>30984401</t>
  </si>
  <si>
    <t>ООО "АкваРесурс-АП"</t>
  </si>
  <si>
    <t>5050116465</t>
  </si>
  <si>
    <t>25-02-2015 00:00:00</t>
  </si>
  <si>
    <t>27584008</t>
  </si>
  <si>
    <t>5072722540</t>
  </si>
  <si>
    <t>13-05-2019 00:00:00</t>
  </si>
  <si>
    <t>27580877</t>
  </si>
  <si>
    <t>ООО "Арсана-2000"</t>
  </si>
  <si>
    <t>7726280008</t>
  </si>
  <si>
    <t>26650537</t>
  </si>
  <si>
    <t>ООО "Астрон"</t>
  </si>
  <si>
    <t>7729240204</t>
  </si>
  <si>
    <t>27583129</t>
  </si>
  <si>
    <t>ООО "Атлас Комэкс"</t>
  </si>
  <si>
    <t>7710756997</t>
  </si>
  <si>
    <t>31519386</t>
  </si>
  <si>
    <t>ООО "БАРАКАТ ГРУПП"</t>
  </si>
  <si>
    <t>7720790436</t>
  </si>
  <si>
    <t>04-09-2013 00:00:00</t>
  </si>
  <si>
    <t>28047300</t>
  </si>
  <si>
    <t>ООО "Балгорводхоз"</t>
  </si>
  <si>
    <t>5001085373</t>
  </si>
  <si>
    <t>18-02-2019 00:00:00</t>
  </si>
  <si>
    <t>27584124</t>
  </si>
  <si>
    <t>ООО "Барьер"</t>
  </si>
  <si>
    <t>5072001965</t>
  </si>
  <si>
    <t>26548355</t>
  </si>
  <si>
    <t>ООО "Белостолбовская универсальная оптовая торговая база МСПК</t>
  </si>
  <si>
    <t>5009040173</t>
  </si>
  <si>
    <t>997650009</t>
  </si>
  <si>
    <t>31463816</t>
  </si>
  <si>
    <t>ООО "Белый берег"</t>
  </si>
  <si>
    <t>5040067988</t>
  </si>
  <si>
    <t>27584054</t>
  </si>
  <si>
    <t>ООО "Бизнес"</t>
  </si>
  <si>
    <t>5072001972</t>
  </si>
  <si>
    <t>26807294</t>
  </si>
  <si>
    <t>ООО "В Берлоге"</t>
  </si>
  <si>
    <t>5022088287</t>
  </si>
  <si>
    <t>10-12-2007 00:00:00</t>
  </si>
  <si>
    <t>30955620</t>
  </si>
  <si>
    <t>ООО "ВЕЛЕДНИКОВО"</t>
  </si>
  <si>
    <t>5017044830</t>
  </si>
  <si>
    <t>28820003</t>
  </si>
  <si>
    <t>ООО "ВЭЛС"</t>
  </si>
  <si>
    <t>7704822352</t>
  </si>
  <si>
    <t>12-03-2014 00:00:00</t>
  </si>
  <si>
    <t>27-10-2023 00:00:00</t>
  </si>
  <si>
    <t>27584103</t>
  </si>
  <si>
    <t>ООО "Вектор"</t>
  </si>
  <si>
    <t>5072001940</t>
  </si>
  <si>
    <t>30833098</t>
  </si>
  <si>
    <t>ООО "Водозабор "Ромашково"</t>
  </si>
  <si>
    <t>5032247850</t>
  </si>
  <si>
    <t>04-07-2016 00:00:00</t>
  </si>
  <si>
    <t>19-09-2023 00:00:00</t>
  </si>
  <si>
    <t>28426823</t>
  </si>
  <si>
    <t>ООО "Водоканал"</t>
  </si>
  <si>
    <t>5078018370</t>
  </si>
  <si>
    <t>26567454</t>
  </si>
  <si>
    <t>ООО "Водосервис"</t>
  </si>
  <si>
    <t>7720535852</t>
  </si>
  <si>
    <t>27-09-2005 00:00:00</t>
  </si>
  <si>
    <t>27584112</t>
  </si>
  <si>
    <t>ООО "Вояж"</t>
  </si>
  <si>
    <t>5072722332</t>
  </si>
  <si>
    <t>08-06-2017 00:00:00</t>
  </si>
  <si>
    <t>31042073</t>
  </si>
  <si>
    <t>ООО "ГИПЕРГЛОБУС"</t>
  </si>
  <si>
    <t>7743543761</t>
  </si>
  <si>
    <t>997150001</t>
  </si>
  <si>
    <t>14-11-2004 00:00:00</t>
  </si>
  <si>
    <t>31551978</t>
  </si>
  <si>
    <t>ООО "ГК "Меридиан"</t>
  </si>
  <si>
    <t>5005055387</t>
  </si>
  <si>
    <t>19-04-2012 00:00:00</t>
  </si>
  <si>
    <t>31504026</t>
  </si>
  <si>
    <t>ООО "ГРК"</t>
  </si>
  <si>
    <t>7730249265</t>
  </si>
  <si>
    <t>27584082</t>
  </si>
  <si>
    <t>ООО "Гермес-Сервис"</t>
  </si>
  <si>
    <t>5072000016</t>
  </si>
  <si>
    <t>26548267</t>
  </si>
  <si>
    <t>ООО "Глобал Гасиз энд Энерджи"</t>
  </si>
  <si>
    <t>997650010</t>
  </si>
  <si>
    <t>22-02-2019 00:00:00</t>
  </si>
  <si>
    <t>31538852</t>
  </si>
  <si>
    <t>ООО "ДАНАЛИТ"</t>
  </si>
  <si>
    <t>7729409933</t>
  </si>
  <si>
    <t>26-10-2001 00:00:00</t>
  </si>
  <si>
    <t>28546531</t>
  </si>
  <si>
    <t>ООО "Дизайн-Студия "Маренго"</t>
  </si>
  <si>
    <t>5036052153</t>
  </si>
  <si>
    <t>20-01-2013 00:00:00</t>
  </si>
  <si>
    <t>31034711</t>
  </si>
  <si>
    <t>ООО "Динат"</t>
  </si>
  <si>
    <t>5032171329</t>
  </si>
  <si>
    <t>25-06-2007 00:00:00</t>
  </si>
  <si>
    <t>26548136</t>
  </si>
  <si>
    <t>ООО "Дирекция Голицыно-3"</t>
  </si>
  <si>
    <t>5030070371</t>
  </si>
  <si>
    <t>26548047</t>
  </si>
  <si>
    <t>ООО "Дмитровский колос"</t>
  </si>
  <si>
    <t>5007052173</t>
  </si>
  <si>
    <t>26357612</t>
  </si>
  <si>
    <t>ООО "Дмитровтеплосервис"</t>
  </si>
  <si>
    <t>5007048177</t>
  </si>
  <si>
    <t>26548067</t>
  </si>
  <si>
    <t>997650011</t>
  </si>
  <si>
    <t>28499338</t>
  </si>
  <si>
    <t>ООО "Дулевский фарфор"</t>
  </si>
  <si>
    <t>5034043989</t>
  </si>
  <si>
    <t>12-05-2012 00:00:00</t>
  </si>
  <si>
    <t>26548017</t>
  </si>
  <si>
    <t>ООО "ЕвроАльянс-Агро"</t>
  </si>
  <si>
    <t>5050050408</t>
  </si>
  <si>
    <t>20-12-2004 00:00:00</t>
  </si>
  <si>
    <t>26540793</t>
  </si>
  <si>
    <t>ООО "ЖКК Селково"</t>
  </si>
  <si>
    <t>5042097748</t>
  </si>
  <si>
    <t>31391531</t>
  </si>
  <si>
    <t>ООО "ЖКС"</t>
  </si>
  <si>
    <t>5078023972</t>
  </si>
  <si>
    <t>27-12-2019 00:00:00</t>
  </si>
  <si>
    <t>28983753</t>
  </si>
  <si>
    <t>ООО "ЖКХ "Водоканал +"</t>
  </si>
  <si>
    <t>7706765710</t>
  </si>
  <si>
    <t>23-11-2011 00:00:00</t>
  </si>
  <si>
    <t>28147571</t>
  </si>
  <si>
    <t>ООО "ЖКХ "Водоканал+"</t>
  </si>
  <si>
    <t>771901001</t>
  </si>
  <si>
    <t>27584014</t>
  </si>
  <si>
    <t>5072723022</t>
  </si>
  <si>
    <t>31000194</t>
  </si>
  <si>
    <t>ООО "ЗЭИМ "Элинар"</t>
  </si>
  <si>
    <t>5030084430</t>
  </si>
  <si>
    <t>12-01-2015 00:00:00</t>
  </si>
  <si>
    <t>31032979</t>
  </si>
  <si>
    <t>ООО "ИКМ"</t>
  </si>
  <si>
    <t>5050103314</t>
  </si>
  <si>
    <t>20-03-2013 00:00:00</t>
  </si>
  <si>
    <t>30363595</t>
  </si>
  <si>
    <t>ООО "Исток"</t>
  </si>
  <si>
    <t>5022047121</t>
  </si>
  <si>
    <t>24-12-2014 00:00:00</t>
  </si>
  <si>
    <t>26548071</t>
  </si>
  <si>
    <t>ООО "Источник"</t>
  </si>
  <si>
    <t>5052017950</t>
  </si>
  <si>
    <t>31709584</t>
  </si>
  <si>
    <t>ООО "КОМПЛЕКТСЕРВИС"</t>
  </si>
  <si>
    <t>5017116387</t>
  </si>
  <si>
    <t>31519309</t>
  </si>
  <si>
    <t>ООО "КП Рождествено"</t>
  </si>
  <si>
    <t>5027281830</t>
  </si>
  <si>
    <t>773501001</t>
  </si>
  <si>
    <t>19-11-2019 00:00:00</t>
  </si>
  <si>
    <t>30938624</t>
  </si>
  <si>
    <t>ООО "КЦИТО"</t>
  </si>
  <si>
    <t>3702691259</t>
  </si>
  <si>
    <t>05-02-2013 00:00:00</t>
  </si>
  <si>
    <t>26548425</t>
  </si>
  <si>
    <t>ООО "Канал-Сервис"</t>
  </si>
  <si>
    <t>5013044981</t>
  </si>
  <si>
    <t>28823384</t>
  </si>
  <si>
    <t>ООО "Капитель"</t>
  </si>
  <si>
    <t>5018151112</t>
  </si>
  <si>
    <t>16-04-2012 00:00:00</t>
  </si>
  <si>
    <t>15-12-2020 00:00:00</t>
  </si>
  <si>
    <t>26548375</t>
  </si>
  <si>
    <t>ООО "Клинволокно Гидротехника"</t>
  </si>
  <si>
    <t>5020028846</t>
  </si>
  <si>
    <t>26548297</t>
  </si>
  <si>
    <t>ООО "Колхоз им. Владимира Ильича"</t>
  </si>
  <si>
    <t>5003040515</t>
  </si>
  <si>
    <t>20-04-2018 00:00:00</t>
  </si>
  <si>
    <t>30401534</t>
  </si>
  <si>
    <t>ООО "Коммунальный Сервис"</t>
  </si>
  <si>
    <t>6914017720</t>
  </si>
  <si>
    <t>02-07-2014 00:00:00</t>
  </si>
  <si>
    <t>28882610</t>
  </si>
  <si>
    <t>691401001</t>
  </si>
  <si>
    <t>30849611</t>
  </si>
  <si>
    <t>ООО "Комплекс Чигасово"</t>
  </si>
  <si>
    <t>5032273137</t>
  </si>
  <si>
    <t>22-11-2013 00:00:00</t>
  </si>
  <si>
    <t>31618161</t>
  </si>
  <si>
    <t>ООО "Комфорт"</t>
  </si>
  <si>
    <t>7728821502</t>
  </si>
  <si>
    <t>12-10-2012 00:00:00</t>
  </si>
  <si>
    <t>26548407</t>
  </si>
  <si>
    <t>ООО "Континент"</t>
  </si>
  <si>
    <t>7706610360</t>
  </si>
  <si>
    <t>31383347</t>
  </si>
  <si>
    <t>ООО "Красинжвода"</t>
  </si>
  <si>
    <t>5040133920</t>
  </si>
  <si>
    <t>24-10-2014 00:00:00</t>
  </si>
  <si>
    <t>28816947</t>
  </si>
  <si>
    <t>ООО "КреативКом"</t>
  </si>
  <si>
    <t>7709627637</t>
  </si>
  <si>
    <t>26-08-2005 00:00:00</t>
  </si>
  <si>
    <t>26548399</t>
  </si>
  <si>
    <t>ООО "Кузнецовский комбинат"</t>
  </si>
  <si>
    <t>5030049820</t>
  </si>
  <si>
    <t>28814804</t>
  </si>
  <si>
    <t>ООО "ЛУХОВИЦКИЙ 1"</t>
  </si>
  <si>
    <t>5072724594</t>
  </si>
  <si>
    <t>24-08-2007 00:00:00</t>
  </si>
  <si>
    <t>28544686</t>
  </si>
  <si>
    <t>ООО "Ларус"</t>
  </si>
  <si>
    <t>5003101461</t>
  </si>
  <si>
    <t>30-05-2012 00:00:00</t>
  </si>
  <si>
    <t>26548391</t>
  </si>
  <si>
    <t>ООО "Ленинский луч"</t>
  </si>
  <si>
    <t>7838024355</t>
  </si>
  <si>
    <t>26548097</t>
  </si>
  <si>
    <t>ООО "Лесные Поляны"</t>
  </si>
  <si>
    <t>5032070610</t>
  </si>
  <si>
    <t>31391257</t>
  </si>
  <si>
    <t>ООО "ЛюксСервис"</t>
  </si>
  <si>
    <t>5032242266</t>
  </si>
  <si>
    <t>05-09-2011 00:00:00</t>
  </si>
  <si>
    <t>30431938</t>
  </si>
  <si>
    <t>ООО "МДК"</t>
  </si>
  <si>
    <t>5007041559</t>
  </si>
  <si>
    <t>02-04-2003 00:00:00</t>
  </si>
  <si>
    <t>30363660</t>
  </si>
  <si>
    <t>ООО "МИКРОРАЙОН ЧИСТЫЕ ПРУДЫ"</t>
  </si>
  <si>
    <t>5038105805</t>
  </si>
  <si>
    <t>19-04-2014 00:00:00</t>
  </si>
  <si>
    <t>28875144</t>
  </si>
  <si>
    <t>ООО "МИРУМ"</t>
  </si>
  <si>
    <t>5032173580</t>
  </si>
  <si>
    <t>11-09-2009 00:00:00</t>
  </si>
  <si>
    <t>26652088</t>
  </si>
  <si>
    <t>ООО "МСК"</t>
  </si>
  <si>
    <t>5050084693</t>
  </si>
  <si>
    <t>31616117</t>
  </si>
  <si>
    <t>ООО "МФЦ НОВОРИЖСКИЙ"</t>
  </si>
  <si>
    <t>5024173322</t>
  </si>
  <si>
    <t>02-03-2017 00:00:00</t>
  </si>
  <si>
    <t>27580828</t>
  </si>
  <si>
    <t>ООО "Маркет Сервис"</t>
  </si>
  <si>
    <t>5024104907</t>
  </si>
  <si>
    <t>29-10-2009 00:00:00</t>
  </si>
  <si>
    <t>27579088</t>
  </si>
  <si>
    <t>ООО "Мега-Мечта"</t>
  </si>
  <si>
    <t>5007036044</t>
  </si>
  <si>
    <t>31710715</t>
  </si>
  <si>
    <t>ООО "НЕМАН"</t>
  </si>
  <si>
    <t>5051321516</t>
  </si>
  <si>
    <t>31464107</t>
  </si>
  <si>
    <t>ООО "Нахабино Кантри"</t>
  </si>
  <si>
    <t>7714783631</t>
  </si>
  <si>
    <t>30-06-2009 00:00:00</t>
  </si>
  <si>
    <t>27580846</t>
  </si>
  <si>
    <t>ООО "Новорижское"</t>
  </si>
  <si>
    <t>5024085718</t>
  </si>
  <si>
    <t>31209325</t>
  </si>
  <si>
    <t>ООО "Обушково"</t>
  </si>
  <si>
    <t>5017095289</t>
  </si>
  <si>
    <t>13-08-2012 00:00:00</t>
  </si>
  <si>
    <t>26650539</t>
  </si>
  <si>
    <t>ООО "Одинцовская РЭС"</t>
  </si>
  <si>
    <t>5032205793</t>
  </si>
  <si>
    <t>27584075</t>
  </si>
  <si>
    <t>ООО "Ока-Сервис"</t>
  </si>
  <si>
    <t>5072725703</t>
  </si>
  <si>
    <t>31640124</t>
  </si>
  <si>
    <t>ООО "Опытный завод № 31 ГА"</t>
  </si>
  <si>
    <t>5050153869</t>
  </si>
  <si>
    <t>26548079</t>
  </si>
  <si>
    <t>ООО "Орехово-Зуевский городской Водоканал"</t>
  </si>
  <si>
    <t>5034027835</t>
  </si>
  <si>
    <t>26650727</t>
  </si>
  <si>
    <t>ООО "ПЖК Николино"</t>
  </si>
  <si>
    <t>5032118935</t>
  </si>
  <si>
    <t>31-08-2004 00:00:00</t>
  </si>
  <si>
    <t>26357613</t>
  </si>
  <si>
    <t>ООО "ПК Ресурс"</t>
  </si>
  <si>
    <t>5007056805</t>
  </si>
  <si>
    <t>21-12-2018 00:00:00</t>
  </si>
  <si>
    <t>26548259</t>
  </si>
  <si>
    <t>ООО "ПКФ Фин-Строй"</t>
  </si>
  <si>
    <t>5025021072</t>
  </si>
  <si>
    <t>05-07-2004 00:00:00</t>
  </si>
  <si>
    <t>27725327</t>
  </si>
  <si>
    <t>ООО "ПРОСТОР-СФ"</t>
  </si>
  <si>
    <t>7713275106</t>
  </si>
  <si>
    <t>23-10-2002 00:00:00</t>
  </si>
  <si>
    <t>28978321</t>
  </si>
  <si>
    <t>ООО "ПТИЦЕФАБРИКА "ЭЛИНАР-БРОЙЛЕР"</t>
  </si>
  <si>
    <t>5030084600</t>
  </si>
  <si>
    <t>30918175</t>
  </si>
  <si>
    <t>ООО "Павловский водоканал"</t>
  </si>
  <si>
    <t>7731286333</t>
  </si>
  <si>
    <t>29-05-2015 00:00:00</t>
  </si>
  <si>
    <t>30939065</t>
  </si>
  <si>
    <t>ООО "Павловский квартал"</t>
  </si>
  <si>
    <t>7707655156</t>
  </si>
  <si>
    <t>18-02-2008 00:00:00</t>
  </si>
  <si>
    <t>28493168</t>
  </si>
  <si>
    <t>ООО "Панорама-Сервис"</t>
  </si>
  <si>
    <t>7722583812</t>
  </si>
  <si>
    <t>26784883</t>
  </si>
  <si>
    <t>ООО "Пансионат "Соколова Пустынь"</t>
  </si>
  <si>
    <t>5045047030</t>
  </si>
  <si>
    <t>26845479</t>
  </si>
  <si>
    <t>ООО "Пешковские коммунальные системы"</t>
  </si>
  <si>
    <t>5044072900</t>
  </si>
  <si>
    <t>16-09-2019 00:00:00</t>
  </si>
  <si>
    <t>26802844</t>
  </si>
  <si>
    <t>ООО "Производственно-строительный концерн "21-ый век"</t>
  </si>
  <si>
    <t>5038024987</t>
  </si>
  <si>
    <t>26648006</t>
  </si>
  <si>
    <t>ООО "Промстрой М"</t>
  </si>
  <si>
    <t>7708605221</t>
  </si>
  <si>
    <t>10-07-2006 00:00:00</t>
  </si>
  <si>
    <t>28980896</t>
  </si>
  <si>
    <t>ООО "Профсервис"</t>
  </si>
  <si>
    <t>5003111170</t>
  </si>
  <si>
    <t>08-10-2014 00:00:00</t>
  </si>
  <si>
    <t>26548299</t>
  </si>
  <si>
    <t>ООО "РАО Энерго-АПИ"</t>
  </si>
  <si>
    <t>7704219641</t>
  </si>
  <si>
    <t>26812352</t>
  </si>
  <si>
    <t>ООО "РИАЛ"</t>
  </si>
  <si>
    <t>7733653934</t>
  </si>
  <si>
    <t>28534129</t>
  </si>
  <si>
    <t>ООО "Рапид+"</t>
  </si>
  <si>
    <t>5032050557</t>
  </si>
  <si>
    <t>24-12-1998 00:00:00</t>
  </si>
  <si>
    <t>30880197</t>
  </si>
  <si>
    <t>ООО "Регион Индустрия"</t>
  </si>
  <si>
    <t>7707595620</t>
  </si>
  <si>
    <t>25-07-2006 00:00:00</t>
  </si>
  <si>
    <t>26357947</t>
  </si>
  <si>
    <t>ООО "Ресурс"</t>
  </si>
  <si>
    <t>5042107019</t>
  </si>
  <si>
    <t>09-10-2017 00:00:00</t>
  </si>
  <si>
    <t>26566861</t>
  </si>
  <si>
    <t>ООО "Ресурс-С"</t>
  </si>
  <si>
    <t>5044068012</t>
  </si>
  <si>
    <t>27588369</t>
  </si>
  <si>
    <t>ООО "Реутовский водоканал"</t>
  </si>
  <si>
    <t>5012055050</t>
  </si>
  <si>
    <t>31519919</t>
  </si>
  <si>
    <t>ООО "Ричи Проперти Менеджмент Спрингз"</t>
  </si>
  <si>
    <t>5040068004</t>
  </si>
  <si>
    <t>10-11-2005 00:00:00</t>
  </si>
  <si>
    <t>28456477</t>
  </si>
  <si>
    <t>ООО "СЗС"</t>
  </si>
  <si>
    <t>5045030357</t>
  </si>
  <si>
    <t>02-07-2003 00:00:00</t>
  </si>
  <si>
    <t>30798015</t>
  </si>
  <si>
    <t>ООО "СКАЙЛАЙН ГОЛД"</t>
  </si>
  <si>
    <t>7704635120</t>
  </si>
  <si>
    <t>30877107</t>
  </si>
  <si>
    <t>ООО "СКОРТЭКС"</t>
  </si>
  <si>
    <t>5029064609</t>
  </si>
  <si>
    <t>31384081</t>
  </si>
  <si>
    <t>ООО "СКС "</t>
  </si>
  <si>
    <t>5030095070</t>
  </si>
  <si>
    <t>21-11-2018 00:00:00</t>
  </si>
  <si>
    <t>26548081</t>
  </si>
  <si>
    <t>ООО "СП "Песчанный берег"</t>
  </si>
  <si>
    <t>5017070559</t>
  </si>
  <si>
    <t>03-10-2023 00:00:00</t>
  </si>
  <si>
    <t>31460554</t>
  </si>
  <si>
    <t>ООО "Самолет-Ресурс"</t>
  </si>
  <si>
    <t>9731034918</t>
  </si>
  <si>
    <t>26548057</t>
  </si>
  <si>
    <t>ООО "Селятинские коммунальные системы Гидромонтаж"</t>
  </si>
  <si>
    <t>5030049154</t>
  </si>
  <si>
    <t>26358030</t>
  </si>
  <si>
    <t>ООО "Совхоз "Электростальский"</t>
  </si>
  <si>
    <t>28816193</t>
  </si>
  <si>
    <t>ООО "Стройсоюз-Сервис"</t>
  </si>
  <si>
    <t>5027167447</t>
  </si>
  <si>
    <t>26548225</t>
  </si>
  <si>
    <t>5031060930</t>
  </si>
  <si>
    <t>09-02-2005 00:00:00</t>
  </si>
  <si>
    <t>30797744</t>
  </si>
  <si>
    <t>ООО "ТЕПЛО-ЭКСПЕРТ"</t>
  </si>
  <si>
    <t>5042120901</t>
  </si>
  <si>
    <t>29-08-2011 00:00:00</t>
  </si>
  <si>
    <t>27579111</t>
  </si>
  <si>
    <t>ООО "ТЕТА"</t>
  </si>
  <si>
    <t>5007070670</t>
  </si>
  <si>
    <t>26837949</t>
  </si>
  <si>
    <t>ООО "ТЭКА"</t>
  </si>
  <si>
    <t>5003065710</t>
  </si>
  <si>
    <t>03-07-2017 00:00:00</t>
  </si>
  <si>
    <t>27584090</t>
  </si>
  <si>
    <t>ООО "Талисман"</t>
  </si>
  <si>
    <t>5072001958</t>
  </si>
  <si>
    <t>31480475</t>
  </si>
  <si>
    <t>ООО "Теплоэксперт"</t>
  </si>
  <si>
    <t>7730256826</t>
  </si>
  <si>
    <t>18-03-2020 00:00:00</t>
  </si>
  <si>
    <t>31538839</t>
  </si>
  <si>
    <t>ООО "Терра-Проф"</t>
  </si>
  <si>
    <t>5024207405</t>
  </si>
  <si>
    <t>14-09-2020 00:00:00</t>
  </si>
  <si>
    <t>31390889</t>
  </si>
  <si>
    <t>ООО "Технопарк ЛК"</t>
  </si>
  <si>
    <t>5042150039</t>
  </si>
  <si>
    <t>26-12-2018 00:00:00</t>
  </si>
  <si>
    <t>31109608</t>
  </si>
  <si>
    <t>ООО "УК КОМФОРТ"</t>
  </si>
  <si>
    <t>5031127736</t>
  </si>
  <si>
    <t>07-11-2017 00:00:00</t>
  </si>
  <si>
    <t>28468396</t>
  </si>
  <si>
    <t>ООО "УК Нехлюдово"</t>
  </si>
  <si>
    <t>5029180563</t>
  </si>
  <si>
    <t>06-06-2023 00:00:00</t>
  </si>
  <si>
    <t>30990695</t>
  </si>
  <si>
    <t>ООО "УК СТУПИНО КВАДРАТ"</t>
  </si>
  <si>
    <t>5045054140</t>
  </si>
  <si>
    <t>04-09-2023 00:00:00</t>
  </si>
  <si>
    <t>26649278</t>
  </si>
  <si>
    <t>ООО "Уника"</t>
  </si>
  <si>
    <t>7702582881</t>
  </si>
  <si>
    <t>31416419</t>
  </si>
  <si>
    <t>ООО "Управляющая компания "КЕМБРИДЖ Сервис"</t>
  </si>
  <si>
    <t>7751012563</t>
  </si>
  <si>
    <t>17-04-2020 00:00:00</t>
  </si>
  <si>
    <t>26820962</t>
  </si>
  <si>
    <t>ООО "Управляющая компания КВ"</t>
  </si>
  <si>
    <t>5032065264</t>
  </si>
  <si>
    <t>28444994</t>
  </si>
  <si>
    <t>ООО "Усадьба Зайцево"</t>
  </si>
  <si>
    <t>5032164603</t>
  </si>
  <si>
    <t>27-02-2007 00:00:00</t>
  </si>
  <si>
    <t>28507413</t>
  </si>
  <si>
    <t>ООО "Успенка-М"</t>
  </si>
  <si>
    <t>5032238647</t>
  </si>
  <si>
    <t>07-10-1996 00:00:00</t>
  </si>
  <si>
    <t>28940768</t>
  </si>
  <si>
    <t>ООО "ФЕДОСКИНСКИЙ ВОДОКАНАЛ"</t>
  </si>
  <si>
    <t>5024128785</t>
  </si>
  <si>
    <t>04-06-2012 00:00:00</t>
  </si>
  <si>
    <t>27584018</t>
  </si>
  <si>
    <t>ООО "ФЕНИКС-ГРУП-К"</t>
  </si>
  <si>
    <t>5072726802</t>
  </si>
  <si>
    <t>28-10-2019 00:00:00</t>
  </si>
  <si>
    <t>26548281</t>
  </si>
  <si>
    <t>ООО "Фаворит"</t>
  </si>
  <si>
    <t>7715844990</t>
  </si>
  <si>
    <t>24-12-2010 00:00:00</t>
  </si>
  <si>
    <t>26647991</t>
  </si>
  <si>
    <t>ООО "Фаскон-1"</t>
  </si>
  <si>
    <t>7705298854</t>
  </si>
  <si>
    <t>26357609</t>
  </si>
  <si>
    <t>ООО "Фонте Аква"</t>
  </si>
  <si>
    <t>5007039750</t>
  </si>
  <si>
    <t>26548381</t>
  </si>
  <si>
    <t>ООО "Чайка"</t>
  </si>
  <si>
    <t>5025017750</t>
  </si>
  <si>
    <t>12-12-2022 00:00:00</t>
  </si>
  <si>
    <t>27580956</t>
  </si>
  <si>
    <t>ООО "Чепца"</t>
  </si>
  <si>
    <t>4309006380</t>
  </si>
  <si>
    <t>430901001</t>
  </si>
  <si>
    <t>30363421</t>
  </si>
  <si>
    <t>ООО "ШАТУРСКИЙ ВОДОКАНАЛ"</t>
  </si>
  <si>
    <t>5049022156</t>
  </si>
  <si>
    <t>10-10-2014 00:00:00</t>
  </si>
  <si>
    <t>31660470</t>
  </si>
  <si>
    <t>ООО "ЩЁЛКОВСКИЙ ВОДОКАНАЛ"</t>
  </si>
  <si>
    <t>5050148700</t>
  </si>
  <si>
    <t>11-11-2020 00:00:00</t>
  </si>
  <si>
    <t>31715979</t>
  </si>
  <si>
    <t>ООО "ЭЛИТ ЭСТЕЙТ"</t>
  </si>
  <si>
    <t>5032178691</t>
  </si>
  <si>
    <t>26548181</t>
  </si>
  <si>
    <t>ООО "Эко-Жилком"</t>
  </si>
  <si>
    <t>5007041140</t>
  </si>
  <si>
    <t>30890574</t>
  </si>
  <si>
    <t>ООО "Экодолье Шолохово"</t>
  </si>
  <si>
    <t>7710918895</t>
  </si>
  <si>
    <t>17-08-2012 00:00:00</t>
  </si>
  <si>
    <t>31416274</t>
  </si>
  <si>
    <t>ООО "Экосервис Шолохово"</t>
  </si>
  <si>
    <t>5029202231</t>
  </si>
  <si>
    <t>01-04-2020 00:00:00</t>
  </si>
  <si>
    <t>28423226</t>
  </si>
  <si>
    <t>ООО "Экосервис"</t>
  </si>
  <si>
    <t>5015011237</t>
  </si>
  <si>
    <t>27580926</t>
  </si>
  <si>
    <t>ООО "Электра"</t>
  </si>
  <si>
    <t>7727510448</t>
  </si>
  <si>
    <t>30-04-2004 00:00:00</t>
  </si>
  <si>
    <t>30847596</t>
  </si>
  <si>
    <t>ООО "Энергия Плюс-Эл"</t>
  </si>
  <si>
    <t>5031119069</t>
  </si>
  <si>
    <t>29-12-2015 00:00:00</t>
  </si>
  <si>
    <t>06-05-2020 00:00:00</t>
  </si>
  <si>
    <t>31312785</t>
  </si>
  <si>
    <t>ООО "Южный Водоканал"</t>
  </si>
  <si>
    <t>5009057184</t>
  </si>
  <si>
    <t>16-03-2007 00:00:00</t>
  </si>
  <si>
    <t>26803937</t>
  </si>
  <si>
    <t>ООО "Ямал-Ф"</t>
  </si>
  <si>
    <t>5012021741</t>
  </si>
  <si>
    <t>01-02-2014 00:00:00</t>
  </si>
  <si>
    <t>26653053</t>
  </si>
  <si>
    <t>ООО «Авдеевское»</t>
  </si>
  <si>
    <t>5014010086</t>
  </si>
  <si>
    <t>05-07-2023 00:00:00</t>
  </si>
  <si>
    <t>27250109</t>
  </si>
  <si>
    <t>ООО «Жилкомфондсервис»)</t>
  </si>
  <si>
    <t>5037061792</t>
  </si>
  <si>
    <t>26778015</t>
  </si>
  <si>
    <t>ООО «Звенигородский городской водоканал»</t>
  </si>
  <si>
    <t>5015011318</t>
  </si>
  <si>
    <t>25-02-2010 00:00:00</t>
  </si>
  <si>
    <t>30797970</t>
  </si>
  <si>
    <t>ООО «ИСТРА-Девелопмент»</t>
  </si>
  <si>
    <t>7725589361</t>
  </si>
  <si>
    <t>26-11-2006 00:00:00</t>
  </si>
  <si>
    <t>26567652</t>
  </si>
  <si>
    <t>ООО «Инжводком»</t>
  </si>
  <si>
    <t>5017051524</t>
  </si>
  <si>
    <t>31538829</t>
  </si>
  <si>
    <t>ООО «КУТУЗОВСКИЙ ВОДОКАНАЛ»</t>
  </si>
  <si>
    <t>7733371802</t>
  </si>
  <si>
    <t>04-08-2021 00:00:00</t>
  </si>
  <si>
    <t>26548333</t>
  </si>
  <si>
    <t>ООО «Крыша»</t>
  </si>
  <si>
    <t>5038046356</t>
  </si>
  <si>
    <t>14-03-2005 00:00:00</t>
  </si>
  <si>
    <t>31716338</t>
  </si>
  <si>
    <t>ООО «МП-НЕДВИЖИМОСТЬ»</t>
  </si>
  <si>
    <t>5003136880</t>
  </si>
  <si>
    <t>26654029</t>
  </si>
  <si>
    <t>ООО «Мираж -4К»</t>
  </si>
  <si>
    <t>5035033655</t>
  </si>
  <si>
    <t>26654014</t>
  </si>
  <si>
    <t>ООО «Мираж-3К»</t>
  </si>
  <si>
    <t>5035021402</t>
  </si>
  <si>
    <t>31701313</t>
  </si>
  <si>
    <t>ООО «ПО СК»</t>
  </si>
  <si>
    <t>7736573934</t>
  </si>
  <si>
    <t>12-03-2008 00:00:00</t>
  </si>
  <si>
    <t>26807304</t>
  </si>
  <si>
    <t>ООО «РОДЭКС-Девелопмент»</t>
  </si>
  <si>
    <t>5032086440</t>
  </si>
  <si>
    <t>05-10-2023 00:00:00</t>
  </si>
  <si>
    <t>30848988</t>
  </si>
  <si>
    <t>ООО «Софрино»</t>
  </si>
  <si>
    <t>5038122053</t>
  </si>
  <si>
    <t>27-07-2016 00:00:00</t>
  </si>
  <si>
    <t>31029946</t>
  </si>
  <si>
    <t>ООО «СпектрСервис»</t>
  </si>
  <si>
    <t>5040094572</t>
  </si>
  <si>
    <t>26-10-2009 00:00:00</t>
  </si>
  <si>
    <t>26654022</t>
  </si>
  <si>
    <t>ООО «Стройэксперт»</t>
  </si>
  <si>
    <t>5035039449</t>
  </si>
  <si>
    <t>26649179</t>
  </si>
  <si>
    <t>ООО «Таркетт Соммер»</t>
  </si>
  <si>
    <t>7727223490</t>
  </si>
  <si>
    <t>30881490</t>
  </si>
  <si>
    <t>ООО «УК «Авеню-Сервис»</t>
  </si>
  <si>
    <t>5017109559</t>
  </si>
  <si>
    <t>31461757</t>
  </si>
  <si>
    <t>ООО «УК «Комфорт»</t>
  </si>
  <si>
    <t>5050100673</t>
  </si>
  <si>
    <t>31-10-2012 00:00:00</t>
  </si>
  <si>
    <t>31628222</t>
  </si>
  <si>
    <t>ООО «УК «ПАРК ФОНТЕ»</t>
  </si>
  <si>
    <t>5017124540</t>
  </si>
  <si>
    <t>10-11-2020 00:00:00</t>
  </si>
  <si>
    <t>31628212</t>
  </si>
  <si>
    <t>ООО «УК «ФУТУРО-СЕРВИС»</t>
  </si>
  <si>
    <t>5017116242</t>
  </si>
  <si>
    <t>16-03-2018 00:00:00</t>
  </si>
  <si>
    <t>31462836</t>
  </si>
  <si>
    <t>ООО «УК Северные Земли»</t>
  </si>
  <si>
    <t>7708711759</t>
  </si>
  <si>
    <t>26652100</t>
  </si>
  <si>
    <t>ООО «Управляющая компания «Жилищный сервис»</t>
  </si>
  <si>
    <t>5044069217</t>
  </si>
  <si>
    <t>31210727</t>
  </si>
  <si>
    <t>ООО «Управляющая компания БАРЭКС-2»</t>
  </si>
  <si>
    <t>7702682100</t>
  </si>
  <si>
    <t>19-08-2008 00:00:00</t>
  </si>
  <si>
    <t>26654025</t>
  </si>
  <si>
    <t>ООО «Чистый город»</t>
  </si>
  <si>
    <t>7831000122</t>
  </si>
  <si>
    <t>26654031</t>
  </si>
  <si>
    <t>ООО «Элинком»</t>
  </si>
  <si>
    <t>5035025990</t>
  </si>
  <si>
    <t>26548043</t>
  </si>
  <si>
    <t>ООО АПК "Шатурский"</t>
  </si>
  <si>
    <t>5049018880</t>
  </si>
  <si>
    <t>31381098</t>
  </si>
  <si>
    <t>ООО Кутузовское-1</t>
  </si>
  <si>
    <t>5044074560</t>
  </si>
  <si>
    <t>05-08-2014 00:00:00</t>
  </si>
  <si>
    <t>26548089</t>
  </si>
  <si>
    <t>31710705</t>
  </si>
  <si>
    <t>ООО ПЛЕМЗАВОД "БАРЫБИНО"</t>
  </si>
  <si>
    <t>5009097370</t>
  </si>
  <si>
    <t>28979581</t>
  </si>
  <si>
    <t>ООО УК "Полянка"</t>
  </si>
  <si>
    <t>5038111848</t>
  </si>
  <si>
    <t>27-02-2015 00:00:00</t>
  </si>
  <si>
    <t>26548150</t>
  </si>
  <si>
    <t>Психиатрическая больница №2 им. О.В.Кербикова</t>
  </si>
  <si>
    <t>997650012</t>
  </si>
  <si>
    <t>08-02-2016 00:00:00</t>
  </si>
  <si>
    <t>26653045</t>
  </si>
  <si>
    <t>СПК "Сельхозпродукты-2"</t>
  </si>
  <si>
    <t>5014008792</t>
  </si>
  <si>
    <t>04-01-2003 00:00:00</t>
  </si>
  <si>
    <t>26548167</t>
  </si>
  <si>
    <t>СПК "Чеховское"</t>
  </si>
  <si>
    <t>5048040297</t>
  </si>
  <si>
    <t>26548309</t>
  </si>
  <si>
    <t>СУ "Управление служебными зданиями"</t>
  </si>
  <si>
    <t>7708226907</t>
  </si>
  <si>
    <t>25-08-2020 00:00:00</t>
  </si>
  <si>
    <t>26653519</t>
  </si>
  <si>
    <t>УТРОХ Дом творчества и отдыха художников «Сенеж»</t>
  </si>
  <si>
    <t>5044026809</t>
  </si>
  <si>
    <t>11-12-2019 00:00:00</t>
  </si>
  <si>
    <t>26806038</t>
  </si>
  <si>
    <t>УФСБ России по г. Москве и Московской области</t>
  </si>
  <si>
    <t>7702148402</t>
  </si>
  <si>
    <t>30-08-2001 00:00:00</t>
  </si>
  <si>
    <t>31578213</t>
  </si>
  <si>
    <t>ФАУ "ЦАГИ"</t>
  </si>
  <si>
    <t>5040177331</t>
  </si>
  <si>
    <t>01-03-2022 00:00:00</t>
  </si>
  <si>
    <t>26573412</t>
  </si>
  <si>
    <t>ФГАУ "Оздоровительный комплекс "Архангельское" УДП РФ</t>
  </si>
  <si>
    <t>5003004002</t>
  </si>
  <si>
    <t>31247335</t>
  </si>
  <si>
    <t>ФГБУ "ИМГРЭ" (Филиал ФГБУ "ИМГРЭ" БГГЭ)</t>
  </si>
  <si>
    <t>7731394160</t>
  </si>
  <si>
    <t>04-12-2017 00:00:00</t>
  </si>
  <si>
    <t>26436646</t>
  </si>
  <si>
    <t>ФГБУ "Канал им.Москвы"</t>
  </si>
  <si>
    <t>7733231361</t>
  </si>
  <si>
    <t>31601784</t>
  </si>
  <si>
    <t>ФГБУ НИИР</t>
  </si>
  <si>
    <t>9709082715</t>
  </si>
  <si>
    <t>26548417</t>
  </si>
  <si>
    <t>ФГКУ  комбинат "Сосновка" Росрезерва</t>
  </si>
  <si>
    <t>5049005753</t>
  </si>
  <si>
    <t>01-10-2021 00:00:00</t>
  </si>
  <si>
    <t>31628235</t>
  </si>
  <si>
    <t>ФГКУ «ЦЭО ВОЙСК НАЦИОНАЛЬНОЙ ГВАРДИИ»</t>
  </si>
  <si>
    <t>9722001360</t>
  </si>
  <si>
    <t>30-04-2021 00:00:00</t>
  </si>
  <si>
    <t>26647745</t>
  </si>
  <si>
    <t>ФГКУ Дом отдыха «ПОДМОСКОВНЫЕ ВЕЧЕРА»</t>
  </si>
  <si>
    <t>5046005561</t>
  </si>
  <si>
    <t>26548295</t>
  </si>
  <si>
    <t>ФГУ "Дом отдыха "Одинцово"</t>
  </si>
  <si>
    <t>5032001006</t>
  </si>
  <si>
    <t>26548179</t>
  </si>
  <si>
    <t>ФГУ "ОС "Подмосковье" УДП РФ</t>
  </si>
  <si>
    <t>997650013</t>
  </si>
  <si>
    <t>26357841</t>
  </si>
  <si>
    <t>ФГУ "Центр реабилитации Управления делами президента"</t>
  </si>
  <si>
    <t>5032039680</t>
  </si>
  <si>
    <t>26504898</t>
  </si>
  <si>
    <t>ФГУ «48 ЦНИИ Минобороны России» - «Вирусологический центр»</t>
  </si>
  <si>
    <t>4345145445</t>
  </si>
  <si>
    <t>504231001</t>
  </si>
  <si>
    <t>26548193</t>
  </si>
  <si>
    <t>ФГУ НЦ БМТ РАМН "Белый мох"</t>
  </si>
  <si>
    <t>7709379649</t>
  </si>
  <si>
    <t>26548187</t>
  </si>
  <si>
    <t>ФГУП "22 БТРЗ МО РФ"</t>
  </si>
  <si>
    <t>7734022459</t>
  </si>
  <si>
    <t>26548051</t>
  </si>
  <si>
    <t>ФГУП "ВНИИА" им. Н.Л.Духова ДОЛ "Искорка"</t>
  </si>
  <si>
    <t>7707074137</t>
  </si>
  <si>
    <t>997650015</t>
  </si>
  <si>
    <t>26548437</t>
  </si>
  <si>
    <t>ФГУП "Гостиница "Золотое кольцо"</t>
  </si>
  <si>
    <t>7704218503</t>
  </si>
  <si>
    <t>27581531</t>
  </si>
  <si>
    <t>ФГУП "Каменка" Россельхозакадемии</t>
  </si>
  <si>
    <t>5074000653</t>
  </si>
  <si>
    <t>26548091</t>
  </si>
  <si>
    <t>ФГУП "ЦАГИ"</t>
  </si>
  <si>
    <t>5013009056</t>
  </si>
  <si>
    <t>26548365</t>
  </si>
  <si>
    <t>ФГУП "государственный фонд кинофильмов РФ"</t>
  </si>
  <si>
    <t>997650014</t>
  </si>
  <si>
    <t>26505084</t>
  </si>
  <si>
    <t>ФГУП «ГК НПЦ им. М.В.Хруничева»</t>
  </si>
  <si>
    <t>500532001</t>
  </si>
  <si>
    <t>28510969</t>
  </si>
  <si>
    <t>ФГУП НИИР</t>
  </si>
  <si>
    <t>7709025230</t>
  </si>
  <si>
    <t>26-05-1992 00:00:00</t>
  </si>
  <si>
    <t>26548132</t>
  </si>
  <si>
    <t>ФГУП Центр радиотехнического оборудования и связи гражданской авиации</t>
  </si>
  <si>
    <t>7714045842</t>
  </si>
  <si>
    <t>30998809</t>
  </si>
  <si>
    <t>ФИЛИАЛ ГУП МО «КС МО» «ЭЛЕКТРОСТАЛЬСКИЙ»</t>
  </si>
  <si>
    <t>505343001</t>
  </si>
  <si>
    <t>30896278</t>
  </si>
  <si>
    <t>ФКОО «ЛИДКОМ ИНВЕСТМЕНТС ЛИМИТЕД»</t>
  </si>
  <si>
    <t>9909369754</t>
  </si>
  <si>
    <t>774751001</t>
  </si>
  <si>
    <t>01-06-2012 00:00:00</t>
  </si>
  <si>
    <t>26357560</t>
  </si>
  <si>
    <t>ФКП "ВГКАЗ"</t>
  </si>
  <si>
    <t>5005021250</t>
  </si>
  <si>
    <t>19-06-1997 00:00:00</t>
  </si>
  <si>
    <t>30836831</t>
  </si>
  <si>
    <t>ФКУЗ "ЦВМИР "ОЗЕРО ДОЛГОЕ" МВД РОССИИ"</t>
  </si>
  <si>
    <t>5007011642</t>
  </si>
  <si>
    <t>30-05-1995 00:00:00</t>
  </si>
  <si>
    <t>27552293</t>
  </si>
  <si>
    <t>Филиал "Калужский" ОАО "Славянка"</t>
  </si>
  <si>
    <t>402443001</t>
  </si>
  <si>
    <t>30-01-2015 00:00:00</t>
  </si>
  <si>
    <t>30851006</t>
  </si>
  <si>
    <t>Филиал ГУП "КС МО" "НРСВ"</t>
  </si>
  <si>
    <t>28268327</t>
  </si>
  <si>
    <t>Филиал ГУП МО "КС МО" "ВСВ"</t>
  </si>
  <si>
    <t>503443001</t>
  </si>
  <si>
    <t>30983351</t>
  </si>
  <si>
    <t>Филиал ГУП МО "КС МО" "ЛП ВК"</t>
  </si>
  <si>
    <t>505043001</t>
  </si>
  <si>
    <t>26802877</t>
  </si>
  <si>
    <t>Филиал ОАО "Малино"</t>
  </si>
  <si>
    <t>7722014069</t>
  </si>
  <si>
    <t>28543956</t>
  </si>
  <si>
    <t>Филиал ООО "Газпром трансгаз Москва" Московское ЛПУМГ</t>
  </si>
  <si>
    <t>775143002</t>
  </si>
  <si>
    <t>26814783</t>
  </si>
  <si>
    <t>Филиал ООО "Газпром трансгаз Москва" УЭЗC</t>
  </si>
  <si>
    <t>26548107</t>
  </si>
  <si>
    <t>Филиал ПАО «Газпром» «Дом приемов «Богородское»</t>
  </si>
  <si>
    <t>775102001</t>
  </si>
  <si>
    <t>28134387</t>
  </si>
  <si>
    <t>Филиал ПАО «Россети» - Московское ПМЭС</t>
  </si>
  <si>
    <t>500743002</t>
  </si>
  <si>
    <t>26548273</t>
  </si>
  <si>
    <t>26548138</t>
  </si>
  <si>
    <t>в/ч 52531</t>
  </si>
  <si>
    <t>5050006328</t>
  </si>
  <si>
    <t>12-05-2017 00:00:00</t>
  </si>
  <si>
    <t>31560994</t>
  </si>
  <si>
    <t>отделение филиала "РТРС" "МРЦ" - Радиоцентр № 6</t>
  </si>
  <si>
    <t>507402001</t>
  </si>
  <si>
    <t>23-11-2001 00:00:00</t>
  </si>
  <si>
    <t>30951241</t>
  </si>
  <si>
    <t>филиал МУП ЩМР "Межрайонный Щелковский Водоканал" - "Водоканал Пушкинского района"</t>
  </si>
  <si>
    <t>503843002</t>
  </si>
  <si>
    <t>26-06-1998 00:00:00</t>
  </si>
  <si>
    <t>30795519</t>
  </si>
  <si>
    <t>филиал МУП ЩМР "Межрайонный Щелковский Водоканал"-"Водоканал городского округа Фрязино"</t>
  </si>
  <si>
    <t>26549245</t>
  </si>
  <si>
    <t>АМО ЗИЛ</t>
  </si>
  <si>
    <t>7725043886</t>
  </si>
  <si>
    <t>504905001</t>
  </si>
  <si>
    <t>23-09-1992 00:00:00</t>
  </si>
  <si>
    <t>31390985</t>
  </si>
  <si>
    <t>АНО "Гастроэнтерологический санаторий "Монино"</t>
  </si>
  <si>
    <t>5050133157</t>
  </si>
  <si>
    <t>30924744</t>
  </si>
  <si>
    <t>АО "АИС"</t>
  </si>
  <si>
    <t>7810858086</t>
  </si>
  <si>
    <t>781001001</t>
  </si>
  <si>
    <t>14-02-2012 00:00:00</t>
  </si>
  <si>
    <t>26549247</t>
  </si>
  <si>
    <t>АО "Завод ХИМРЕАКТИВКОМПЛЕКТ"</t>
  </si>
  <si>
    <t>5031024890</t>
  </si>
  <si>
    <t>17-01-1994 00:00:00</t>
  </si>
  <si>
    <t>26567398</t>
  </si>
  <si>
    <t>АО "Куровские очистные сооружения</t>
  </si>
  <si>
    <t>5073009371</t>
  </si>
  <si>
    <t>27-06-2002 00:00:00</t>
  </si>
  <si>
    <t>28-10-2021 00:00:00</t>
  </si>
  <si>
    <t>31719743</t>
  </si>
  <si>
    <t>АО "СКОРОПУСКОВСКИЙ СИНТЕЗ"</t>
  </si>
  <si>
    <t>9721216242</t>
  </si>
  <si>
    <t>30838869</t>
  </si>
  <si>
    <t>АО "Трансагроэкспорт"</t>
  </si>
  <si>
    <t>7723343348</t>
  </si>
  <si>
    <t>18-08-2003 00:00:00</t>
  </si>
  <si>
    <t>26808940</t>
  </si>
  <si>
    <t>АО "Щербинский завод электроплавленных огнеупоров"</t>
  </si>
  <si>
    <t>5051000030</t>
  </si>
  <si>
    <t>31618200</t>
  </si>
  <si>
    <t>Ассоциация «Благоустройство коттеджного поселка Пестово»</t>
  </si>
  <si>
    <t>7707560610</t>
  </si>
  <si>
    <t>27-08-2015 00:00:00</t>
  </si>
  <si>
    <t>26549223</t>
  </si>
  <si>
    <t>ГП "ВНИИПП"</t>
  </si>
  <si>
    <t>5044003400</t>
  </si>
  <si>
    <t>26802886</t>
  </si>
  <si>
    <t>ЗАО "Агрофирма "Красная заря"</t>
  </si>
  <si>
    <t>5045003120</t>
  </si>
  <si>
    <t>26549237</t>
  </si>
  <si>
    <t>ЗАО "Круговская птицефабрика"</t>
  </si>
  <si>
    <t>5020000640</t>
  </si>
  <si>
    <t>30-12-2021 00:00:00</t>
  </si>
  <si>
    <t>26567391</t>
  </si>
  <si>
    <t>ЗАО "МАСШТАБ-Сервис"</t>
  </si>
  <si>
    <t>5003003136</t>
  </si>
  <si>
    <t>26549215</t>
  </si>
  <si>
    <t>ЗАО "Пановский"</t>
  </si>
  <si>
    <t>5070001053</t>
  </si>
  <si>
    <t>26357791</t>
  </si>
  <si>
    <t>ЗАО "ТФ "Купавна"</t>
  </si>
  <si>
    <t>5031005093</t>
  </si>
  <si>
    <t>23-05-2022 00:00:00</t>
  </si>
  <si>
    <t>26549265</t>
  </si>
  <si>
    <t>ЗАО "Центрдорстрой-ЦРМ""</t>
  </si>
  <si>
    <t>5031044254</t>
  </si>
  <si>
    <t>26808485</t>
  </si>
  <si>
    <t>ЗАО "ЧЕХОВСКИЙ МЕБЕЛЬНЫЙ КОМБИНАТ"</t>
  </si>
  <si>
    <t>5048080525</t>
  </si>
  <si>
    <t>27-08-2002 00:00:00</t>
  </si>
  <si>
    <t>31189313</t>
  </si>
  <si>
    <t>ЗАО "ЭКА Транс"</t>
  </si>
  <si>
    <t>7719632202</t>
  </si>
  <si>
    <t>03-05-2007 00:00:00</t>
  </si>
  <si>
    <t>26358014</t>
  </si>
  <si>
    <t>ЗАО "ЭКОАЭРОСТАЛКЕР"</t>
  </si>
  <si>
    <t>5050026067</t>
  </si>
  <si>
    <t>28-09-1998 00:00:00</t>
  </si>
  <si>
    <t>16-05-2022 00:00:00</t>
  </si>
  <si>
    <t>26777931</t>
  </si>
  <si>
    <t>ЗАО «ВЗЖБИ»</t>
  </si>
  <si>
    <t>5005000250</t>
  </si>
  <si>
    <t>12-01-2023 00:00:00</t>
  </si>
  <si>
    <t>31643935</t>
  </si>
  <si>
    <t>МБУ "ЛЕСПАРКХОЗ"</t>
  </si>
  <si>
    <t>5029145939</t>
  </si>
  <si>
    <t>06-12-2010 00:00:00</t>
  </si>
  <si>
    <t>31497273</t>
  </si>
  <si>
    <t>МБУ "Одинцовское городское хозяйство"</t>
  </si>
  <si>
    <t>5032229579</t>
  </si>
  <si>
    <t>14-10-2010 00:00:00</t>
  </si>
  <si>
    <t>31574129</t>
  </si>
  <si>
    <t>МКУ "РамГидроСервис"</t>
  </si>
  <si>
    <t>5040170720</t>
  </si>
  <si>
    <t>26549227</t>
  </si>
  <si>
    <t>МУП "БУЖКХ"</t>
  </si>
  <si>
    <t>5031024748</t>
  </si>
  <si>
    <t>26807282</t>
  </si>
  <si>
    <t>МУП "ЖКХ сельского поселения Борисовское"</t>
  </si>
  <si>
    <t>5028025332</t>
  </si>
  <si>
    <t>19-08-2019 00:00:00</t>
  </si>
  <si>
    <t>26549273</t>
  </si>
  <si>
    <t>МУП "Клинводоканал"</t>
  </si>
  <si>
    <t>5020031133</t>
  </si>
  <si>
    <t>31696146</t>
  </si>
  <si>
    <t>МУП «Химводосток»</t>
  </si>
  <si>
    <t>5047132210</t>
  </si>
  <si>
    <t>09-04-2012 00:00:00</t>
  </si>
  <si>
    <t>28427760</t>
  </si>
  <si>
    <t>ОАО "Волоколамскхлеб"</t>
  </si>
  <si>
    <t>5004002329</t>
  </si>
  <si>
    <t>26549257</t>
  </si>
  <si>
    <t>ОАО "Ивантеевский элеватормельмаш"</t>
  </si>
  <si>
    <t>5016005250</t>
  </si>
  <si>
    <t>26357994</t>
  </si>
  <si>
    <t>ОАО "КВЗ"</t>
  </si>
  <si>
    <t>5048080483</t>
  </si>
  <si>
    <t>04-09-1993 00:00:00</t>
  </si>
  <si>
    <t>26549217</t>
  </si>
  <si>
    <t>ОАО "Каширский завод "Центролит"</t>
  </si>
  <si>
    <t>5019000814</t>
  </si>
  <si>
    <t>21-05-2018 00:00:00</t>
  </si>
  <si>
    <t>26549211</t>
  </si>
  <si>
    <t>ОАО "Крупинский арматурный завод"</t>
  </si>
  <si>
    <t>5035012655</t>
  </si>
  <si>
    <t>26357804</t>
  </si>
  <si>
    <t>ОАО "Кудиновский комбинат"</t>
  </si>
  <si>
    <t>5031041616</t>
  </si>
  <si>
    <t>28422181</t>
  </si>
  <si>
    <t>ОАО "МГПЗ"</t>
  </si>
  <si>
    <t>5003055920</t>
  </si>
  <si>
    <t>12-09-2005 00:00:00</t>
  </si>
  <si>
    <t>26436691</t>
  </si>
  <si>
    <t>ОАО "Экотехнопарк"</t>
  </si>
  <si>
    <t>5040052759</t>
  </si>
  <si>
    <t>27583756</t>
  </si>
  <si>
    <t>ОАО «Управляющая компания»</t>
  </si>
  <si>
    <t>5012041674</t>
  </si>
  <si>
    <t>26549253</t>
  </si>
  <si>
    <t>ООО "Автомехстрой"</t>
  </si>
  <si>
    <t>5016003091</t>
  </si>
  <si>
    <t>26549231</t>
  </si>
  <si>
    <t>ООО "Аквасервис"</t>
  </si>
  <si>
    <t>5078017993</t>
  </si>
  <si>
    <t>26837649</t>
  </si>
  <si>
    <t>ООО "Арсенал"</t>
  </si>
  <si>
    <t>5042101017</t>
  </si>
  <si>
    <t>30984951</t>
  </si>
  <si>
    <t>ООО "Биотех-СК"</t>
  </si>
  <si>
    <t>7702762820</t>
  </si>
  <si>
    <t>25-05-2011 00:00:00</t>
  </si>
  <si>
    <t>28425480</t>
  </si>
  <si>
    <t>ООО "ГКХ"</t>
  </si>
  <si>
    <t>5007083654</t>
  </si>
  <si>
    <t>16-08-2012 00:00:00</t>
  </si>
  <si>
    <t>30829933</t>
  </si>
  <si>
    <t>ООО "ДСФ "Зодиак"</t>
  </si>
  <si>
    <t>5005059423</t>
  </si>
  <si>
    <t>09-07-2014 00:00:00</t>
  </si>
  <si>
    <t>26549263</t>
  </si>
  <si>
    <t>ООО "Делфин Логистик"</t>
  </si>
  <si>
    <t>7713173457</t>
  </si>
  <si>
    <t>26549259</t>
  </si>
  <si>
    <t>ООО "Дмитровское село"</t>
  </si>
  <si>
    <t>5007034463</t>
  </si>
  <si>
    <t>26549269</t>
  </si>
  <si>
    <t>ООО "Дом отдыха Кратово"</t>
  </si>
  <si>
    <t>5040048576</t>
  </si>
  <si>
    <t>18-02-2021 00:00:00</t>
  </si>
  <si>
    <t>31187954</t>
  </si>
  <si>
    <t>ООО "Домогнеупор"</t>
  </si>
  <si>
    <t>5009096056</t>
  </si>
  <si>
    <t>26652090</t>
  </si>
  <si>
    <t>ООО "ЕДС-Протвино"</t>
  </si>
  <si>
    <t>28426023</t>
  </si>
  <si>
    <t>ООО "ЖКХ "Водоканал"</t>
  </si>
  <si>
    <t>7706737102</t>
  </si>
  <si>
    <t>12-05-2010 00:00:00</t>
  </si>
  <si>
    <t>26837658</t>
  </si>
  <si>
    <t>ООО "Жилищно-Коммунальный Центр"</t>
  </si>
  <si>
    <t>5042086714</t>
  </si>
  <si>
    <t>31390458</t>
  </si>
  <si>
    <t>7701364834</t>
  </si>
  <si>
    <t>15-07-2013 00:00:00</t>
  </si>
  <si>
    <t>26549243</t>
  </si>
  <si>
    <t>ООО "ЛЕКО"</t>
  </si>
  <si>
    <t>7725042385</t>
  </si>
  <si>
    <t>31209332</t>
  </si>
  <si>
    <t>ООО "Микрорайон "Кантри"</t>
  </si>
  <si>
    <t>5017095271</t>
  </si>
  <si>
    <t>26549239</t>
  </si>
  <si>
    <t>ООО "Монолит"</t>
  </si>
  <si>
    <t>5032119858</t>
  </si>
  <si>
    <t>28049135</t>
  </si>
  <si>
    <t>ООО "ОКК"</t>
  </si>
  <si>
    <t>5022556432</t>
  </si>
  <si>
    <t>623001001</t>
  </si>
  <si>
    <t>27285703</t>
  </si>
  <si>
    <t>ООО "Паллада+"</t>
  </si>
  <si>
    <t>5031096485</t>
  </si>
  <si>
    <t>26549261</t>
  </si>
  <si>
    <t>ООО "Пансионат с лечением "Елочка"</t>
  </si>
  <si>
    <t>5032043599</t>
  </si>
  <si>
    <t>26837668</t>
  </si>
  <si>
    <t>ООО "Пересвет ТоргСервис"</t>
  </si>
  <si>
    <t>5042075335</t>
  </si>
  <si>
    <t>504201011</t>
  </si>
  <si>
    <t>26649284</t>
  </si>
  <si>
    <t>ООО "Полимер-МГ"</t>
  </si>
  <si>
    <t>5038034946</t>
  </si>
  <si>
    <t>28812739</t>
  </si>
  <si>
    <t>ООО "СКОРОПУСКОВСКИЙ СИНТЕЗ"</t>
  </si>
  <si>
    <t>5042065880</t>
  </si>
  <si>
    <t>525901001</t>
  </si>
  <si>
    <t>19-07-2001 00:00:00</t>
  </si>
  <si>
    <t>11-10-2023 00:00:00</t>
  </si>
  <si>
    <t>26837664</t>
  </si>
  <si>
    <t>ООО "СПО "Росстрой"</t>
  </si>
  <si>
    <t>5042043358</t>
  </si>
  <si>
    <t>04-09-2017 00:00:00</t>
  </si>
  <si>
    <t>26650801</t>
  </si>
  <si>
    <t>ООО "Сервис - Центр"</t>
  </si>
  <si>
    <t>5029067977</t>
  </si>
  <si>
    <t>08-02-2019 00:00:00</t>
  </si>
  <si>
    <t>27583665</t>
  </si>
  <si>
    <t>ООО "Сервис ВиК"</t>
  </si>
  <si>
    <t>5046074220</t>
  </si>
  <si>
    <t>26549241</t>
  </si>
  <si>
    <t>31415051</t>
  </si>
  <si>
    <t>ООО "Смоленские водные системы"</t>
  </si>
  <si>
    <t>7743310358</t>
  </si>
  <si>
    <t>29-07-2019 00:00:00</t>
  </si>
  <si>
    <t>26570929</t>
  </si>
  <si>
    <t>ООО "Соколовское"</t>
  </si>
  <si>
    <t>5050027208</t>
  </si>
  <si>
    <t>09-08-2018 00:00:00</t>
  </si>
  <si>
    <t>30363601</t>
  </si>
  <si>
    <t>ООО "Стандарт"</t>
  </si>
  <si>
    <t>5033001400</t>
  </si>
  <si>
    <t>13-01-2015 00:00:00</t>
  </si>
  <si>
    <t>31110509</t>
  </si>
  <si>
    <t>ООО "УНР 1187"</t>
  </si>
  <si>
    <t>5024097216</t>
  </si>
  <si>
    <t>27-06-2008 00:00:00</t>
  </si>
  <si>
    <t>26649269</t>
  </si>
  <si>
    <t>ООО "Управляющая компания "ЭлитМенеджмент"</t>
  </si>
  <si>
    <t>5038048498</t>
  </si>
  <si>
    <t>12-03-2019 00:00:00</t>
  </si>
  <si>
    <t>26567642</t>
  </si>
  <si>
    <t>ООО "Флагман"</t>
  </si>
  <si>
    <t>7720628747</t>
  </si>
  <si>
    <t>30363627</t>
  </si>
  <si>
    <t>ООО "ЭКОСТАНДАРТ"</t>
  </si>
  <si>
    <t>7720802716</t>
  </si>
  <si>
    <t>28975140</t>
  </si>
  <si>
    <t>ООО "ЭкоАгроальянс"</t>
  </si>
  <si>
    <t>5007079062</t>
  </si>
  <si>
    <t>26-05-2011 00:00:00</t>
  </si>
  <si>
    <t>26549225</t>
  </si>
  <si>
    <t>ООО "ЭкоПромТехнология"</t>
  </si>
  <si>
    <t>7737512420</t>
  </si>
  <si>
    <t>773701001</t>
  </si>
  <si>
    <t>30989484</t>
  </si>
  <si>
    <t>ООО "Экостандарт"</t>
  </si>
  <si>
    <t>7720356081</t>
  </si>
  <si>
    <t>11-10-2016 00:00:00</t>
  </si>
  <si>
    <t>28271306</t>
  </si>
  <si>
    <t>ООО "Элегия-Сервис+"</t>
  </si>
  <si>
    <t>5078020058</t>
  </si>
  <si>
    <t>28221660</t>
  </si>
  <si>
    <t>ООО "Энергетик"</t>
  </si>
  <si>
    <t>5050086309</t>
  </si>
  <si>
    <t>28454733</t>
  </si>
  <si>
    <t>ООО "ЭнергоКомплекс"</t>
  </si>
  <si>
    <t>5019024928</t>
  </si>
  <si>
    <t>13-01-2023 00:00:00</t>
  </si>
  <si>
    <t>31538956</t>
  </si>
  <si>
    <t>ООО «Дабл М Депо»</t>
  </si>
  <si>
    <t>7810744138</t>
  </si>
  <si>
    <t>27-11-2018 00:00:00</t>
  </si>
  <si>
    <t>28934908</t>
  </si>
  <si>
    <t>ООО «Декор»</t>
  </si>
  <si>
    <t>7722580709</t>
  </si>
  <si>
    <t>26-06-2006 00:00:00</t>
  </si>
  <si>
    <t>27583708</t>
  </si>
  <si>
    <t>ООО «Жилищно-эксплуатационная служба Саввино»</t>
  </si>
  <si>
    <t>5012058580</t>
  </si>
  <si>
    <t>27583703</t>
  </si>
  <si>
    <t>ООО «Жилкомсоюз»</t>
  </si>
  <si>
    <t>5012061279</t>
  </si>
  <si>
    <t>26820881</t>
  </si>
  <si>
    <t>ООО «НефтеПрогрессЦентр»</t>
  </si>
  <si>
    <t>5035022847</t>
  </si>
  <si>
    <t>07-03-2017 00:00:00</t>
  </si>
  <si>
    <t>30363486</t>
  </si>
  <si>
    <t>ООО «Складской комплекс «Толбино»</t>
  </si>
  <si>
    <t>5074038720</t>
  </si>
  <si>
    <t>25-07-2007 00:00:00</t>
  </si>
  <si>
    <t>08-09-2022 00:00:00</t>
  </si>
  <si>
    <t>27583690</t>
  </si>
  <si>
    <t>ООО «Созидание»</t>
  </si>
  <si>
    <t>5012046337</t>
  </si>
  <si>
    <t>27583720</t>
  </si>
  <si>
    <t>ООО «Управляющая компания «ЦентрЖилСервис»</t>
  </si>
  <si>
    <t>5012061705</t>
  </si>
  <si>
    <t>28145314</t>
  </si>
  <si>
    <t>ООО"УК"Ямкино-Мамонтово"</t>
  </si>
  <si>
    <t>5031102837</t>
  </si>
  <si>
    <t>23-08-2022 00:00:00</t>
  </si>
  <si>
    <t>26549255</t>
  </si>
  <si>
    <t>РВЦ "Орбита-2"</t>
  </si>
  <si>
    <t>28271968</t>
  </si>
  <si>
    <t>ТСЖ "Вешки-Сити"</t>
  </si>
  <si>
    <t>5029058362</t>
  </si>
  <si>
    <t>06-06-2001 00:00:00</t>
  </si>
  <si>
    <t>26807220</t>
  </si>
  <si>
    <t>ФГУП "Биотехнологический завод"</t>
  </si>
  <si>
    <t>5076000296</t>
  </si>
  <si>
    <t>26549271</t>
  </si>
  <si>
    <t>ФГУП "НИИССВ "Прогресс"</t>
  </si>
  <si>
    <t>5031014362</t>
  </si>
  <si>
    <t>28266367</t>
  </si>
  <si>
    <t>ФГУП Пансионат санаторного типа "Сосновый бор"</t>
  </si>
  <si>
    <t>5075006016</t>
  </si>
  <si>
    <t>02-04-1999 00:00:00</t>
  </si>
  <si>
    <t>28268335</t>
  </si>
  <si>
    <t>Филиал ГУП МО "КС МО" "Колев"</t>
  </si>
  <si>
    <t>501143001</t>
  </si>
  <si>
    <t>18-09-2009 00:00:00</t>
  </si>
  <si>
    <t>26549348</t>
  </si>
  <si>
    <t>АО "ПОЛИГОН ТИМОХОВО"</t>
  </si>
  <si>
    <t>5031009637</t>
  </si>
  <si>
    <t>31330101</t>
  </si>
  <si>
    <t>АО "РИП"</t>
  </si>
  <si>
    <t>5049023512</t>
  </si>
  <si>
    <t>19-07-2019 00:00:00</t>
  </si>
  <si>
    <t>31707905</t>
  </si>
  <si>
    <t>ДЗАГОЕВ АСЛАН АНАТОЛЬЕВИЧ</t>
  </si>
  <si>
    <t>070707083824</t>
  </si>
  <si>
    <t>31316041</t>
  </si>
  <si>
    <t>ИП Савичев А.А.</t>
  </si>
  <si>
    <t>504400206342</t>
  </si>
  <si>
    <t>31707918</t>
  </si>
  <si>
    <t>МАУ "ЧИСТЫЙ ГОРОД"</t>
  </si>
  <si>
    <t>5020090890</t>
  </si>
  <si>
    <t>31311206</t>
  </si>
  <si>
    <t>МБУ "Благоустройство, ЖКХ и ДХ"</t>
  </si>
  <si>
    <t>5014012157</t>
  </si>
  <si>
    <t>29-11-2017 00:00:00</t>
  </si>
  <si>
    <t>26549344</t>
  </si>
  <si>
    <t>МУП "Орехово-Зуевское ГПКХиБ"</t>
  </si>
  <si>
    <t>5034060173</t>
  </si>
  <si>
    <t>26-04-2022 00:00:00</t>
  </si>
  <si>
    <t>26549320</t>
  </si>
  <si>
    <t>МУП "ПОЛИГОН"</t>
  </si>
  <si>
    <t>5028025269</t>
  </si>
  <si>
    <t>26549298</t>
  </si>
  <si>
    <t>МУП "Полигон"</t>
  </si>
  <si>
    <t>5029055629</t>
  </si>
  <si>
    <t>24-11-2022 00:00:00</t>
  </si>
  <si>
    <t>26549334</t>
  </si>
  <si>
    <t>МУП "Спецавтохозяйство"</t>
  </si>
  <si>
    <t>5022013860</t>
  </si>
  <si>
    <t>27952361</t>
  </si>
  <si>
    <t>ОАО "Полигон"</t>
  </si>
  <si>
    <t>5072002510</t>
  </si>
  <si>
    <t>18-11-2011 00:00:00</t>
  </si>
  <si>
    <t>16-03-2021 00:00:00</t>
  </si>
  <si>
    <t>26646336</t>
  </si>
  <si>
    <t>ОАО "Полигон-сервис"</t>
  </si>
  <si>
    <t>5049018664</t>
  </si>
  <si>
    <t>31707848</t>
  </si>
  <si>
    <t>ООО "АВТОПАРК"</t>
  </si>
  <si>
    <t>7727444548</t>
  </si>
  <si>
    <t>31166066</t>
  </si>
  <si>
    <t>ООО "АЛОН-РА"</t>
  </si>
  <si>
    <t>7720219712</t>
  </si>
  <si>
    <t>08-04-1998 00:00:00</t>
  </si>
  <si>
    <t>31291634</t>
  </si>
  <si>
    <t>ООО "АТТ"</t>
  </si>
  <si>
    <t>9718086498</t>
  </si>
  <si>
    <t>29-01-2018 00:00:00</t>
  </si>
  <si>
    <t>31388864</t>
  </si>
  <si>
    <t>ООО "Альва"</t>
  </si>
  <si>
    <t>7720318801</t>
  </si>
  <si>
    <t>15-10-2015 00:00:00</t>
  </si>
  <si>
    <t>31325045</t>
  </si>
  <si>
    <t>ООО "ВМК"</t>
  </si>
  <si>
    <t>5005065963</t>
  </si>
  <si>
    <t>05-10-2018 00:00:00</t>
  </si>
  <si>
    <t>31297686</t>
  </si>
  <si>
    <t>ООО "Велес"</t>
  </si>
  <si>
    <t>5024093980</t>
  </si>
  <si>
    <t>11-02-2008 00:00:00</t>
  </si>
  <si>
    <t>31707858</t>
  </si>
  <si>
    <t>ООО "ГРИН ЛЭНД"</t>
  </si>
  <si>
    <t>5703016853</t>
  </si>
  <si>
    <t>570301001</t>
  </si>
  <si>
    <t>31707928</t>
  </si>
  <si>
    <t>ООО "ГРИНДЭЙ"</t>
  </si>
  <si>
    <t>2124043000</t>
  </si>
  <si>
    <t>31707756</t>
  </si>
  <si>
    <t>ООО "Городской транзит"</t>
  </si>
  <si>
    <t>7743119961</t>
  </si>
  <si>
    <t>31390517</t>
  </si>
  <si>
    <t>ООО "Дмитровский МПК"</t>
  </si>
  <si>
    <t>5007102988</t>
  </si>
  <si>
    <t>01-12-2017 00:00:00</t>
  </si>
  <si>
    <t>31290362</t>
  </si>
  <si>
    <t>ООО "ЕВРОЛАЙН"</t>
  </si>
  <si>
    <t>5009062177</t>
  </si>
  <si>
    <t>21-02-2008 00:00:00</t>
  </si>
  <si>
    <t>31290318</t>
  </si>
  <si>
    <t>ООО "ЗСПВС"</t>
  </si>
  <si>
    <t>5027093604</t>
  </si>
  <si>
    <t>28-04-2003 00:00:00</t>
  </si>
  <si>
    <t>31292033</t>
  </si>
  <si>
    <t>ООО "Истра-Ресурс"</t>
  </si>
  <si>
    <t>5017107745</t>
  </si>
  <si>
    <t>01-09-2015 00:00:00</t>
  </si>
  <si>
    <t>31707868</t>
  </si>
  <si>
    <t>ООО "КЛЕБЕР"</t>
  </si>
  <si>
    <t>7717097408</t>
  </si>
  <si>
    <t>31290357</t>
  </si>
  <si>
    <t>ООО "КОМТЕХМАШ"</t>
  </si>
  <si>
    <t>5074051418</t>
  </si>
  <si>
    <t>30-10-2014 00:00:00</t>
  </si>
  <si>
    <t>31707878</t>
  </si>
  <si>
    <t>ООО "КОНФУЦИУС ТЭЧЬ"</t>
  </si>
  <si>
    <t>9718173359</t>
  </si>
  <si>
    <t>31390512</t>
  </si>
  <si>
    <t>ООО "КПО Егорьевск"</t>
  </si>
  <si>
    <t>5011037650</t>
  </si>
  <si>
    <t>01-08-2018 00:00:00</t>
  </si>
  <si>
    <t>31641709</t>
  </si>
  <si>
    <t>ООО "КПО НЕВА"</t>
  </si>
  <si>
    <t>5044118471</t>
  </si>
  <si>
    <t>31390303</t>
  </si>
  <si>
    <t>ООО "Каширский МПК"</t>
  </si>
  <si>
    <t>5019028908</t>
  </si>
  <si>
    <t>31166056</t>
  </si>
  <si>
    <t>ООО "Каширский региональный оператор"</t>
  </si>
  <si>
    <t>5019029228</t>
  </si>
  <si>
    <t>14-02-2018 00:00:00</t>
  </si>
  <si>
    <t>28856255</t>
  </si>
  <si>
    <t>ООО "Комбинат"</t>
  </si>
  <si>
    <t>5020043234</t>
  </si>
  <si>
    <t>25-08-2005 00:00:00</t>
  </si>
  <si>
    <t>31290828</t>
  </si>
  <si>
    <t>ООО "ЛАНДШАФТ"</t>
  </si>
  <si>
    <t>5003075606</t>
  </si>
  <si>
    <t>08-12-2009 00:00:00</t>
  </si>
  <si>
    <t>31309622</t>
  </si>
  <si>
    <t>ООО "МК ГРУПП"</t>
  </si>
  <si>
    <t>9715203647</t>
  </si>
  <si>
    <t>01-07-2015 00:00:00</t>
  </si>
  <si>
    <t>31298431</t>
  </si>
  <si>
    <t>ООО "МПК Коломенский"</t>
  </si>
  <si>
    <t>5022055500</t>
  </si>
  <si>
    <t>12-03-2018 00:00:00</t>
  </si>
  <si>
    <t>31151349</t>
  </si>
  <si>
    <t>ООО "МСК-НТ"</t>
  </si>
  <si>
    <t>7734699480</t>
  </si>
  <si>
    <t>16-04-2013 00:00:00</t>
  </si>
  <si>
    <t>31252875</t>
  </si>
  <si>
    <t>ООО "Можайский МПК"</t>
  </si>
  <si>
    <t>9729076290</t>
  </si>
  <si>
    <t>21-04-2017 00:00:00</t>
  </si>
  <si>
    <t>31305505</t>
  </si>
  <si>
    <t>ООО "НПП "ЭКОВТОРИНДУСТРИЯ"</t>
  </si>
  <si>
    <t>5053017624</t>
  </si>
  <si>
    <t>19-05-1993 00:00:00</t>
  </si>
  <si>
    <t>31289634</t>
  </si>
  <si>
    <t>ООО "ПАЛАДА"</t>
  </si>
  <si>
    <t>5032289585</t>
  </si>
  <si>
    <t>22-08-2017 00:00:00</t>
  </si>
  <si>
    <t>26549354</t>
  </si>
  <si>
    <t>ООО "ПромЭкоСпецТехнологии"</t>
  </si>
  <si>
    <t>5011027525</t>
  </si>
  <si>
    <t>26549300</t>
  </si>
  <si>
    <t>ООО "Российско-финская компания "ЭКОСИСТЕМА"</t>
  </si>
  <si>
    <t>5010030980</t>
  </si>
  <si>
    <t>04-11-2004 00:00:00</t>
  </si>
  <si>
    <t>31166050</t>
  </si>
  <si>
    <t>ООО "Рузский региональный оператор"</t>
  </si>
  <si>
    <t>5017115922</t>
  </si>
  <si>
    <t>13-02-2018 00:00:00</t>
  </si>
  <si>
    <t>28268540</t>
  </si>
  <si>
    <t>ООО "СКАЙВЭЙ"</t>
  </si>
  <si>
    <t>5077017430</t>
  </si>
  <si>
    <t>31194027</t>
  </si>
  <si>
    <t>ООО "СПМК Сплендер"</t>
  </si>
  <si>
    <t>5076008954</t>
  </si>
  <si>
    <t>05-03-2011 00:00:00</t>
  </si>
  <si>
    <t>31290322</t>
  </si>
  <si>
    <t>ООО "СФЕРА"</t>
  </si>
  <si>
    <t>7604309771</t>
  </si>
  <si>
    <t>760201001</t>
  </si>
  <si>
    <t>02-08-2016 00:00:00</t>
  </si>
  <si>
    <t>31390894</t>
  </si>
  <si>
    <t>ООО "Сергиево-Посадский МПК"</t>
  </si>
  <si>
    <t>5042146561</t>
  </si>
  <si>
    <t>31166031</t>
  </si>
  <si>
    <t>ООО "Сергиево-Посадский региональный оператор"</t>
  </si>
  <si>
    <t>9705058743</t>
  </si>
  <si>
    <t>25-01-2016 00:00:00</t>
  </si>
  <si>
    <t>31225818</t>
  </si>
  <si>
    <t>ООО "ТД "Рецикл"</t>
  </si>
  <si>
    <t>5074046383</t>
  </si>
  <si>
    <t>31392463</t>
  </si>
  <si>
    <t>ООО "ТКО"</t>
  </si>
  <si>
    <t>5036170414</t>
  </si>
  <si>
    <t>31707838</t>
  </si>
  <si>
    <t>ООО "ТРАНС-КЛИНИНГ"</t>
  </si>
  <si>
    <t>7716619147</t>
  </si>
  <si>
    <t>31707923</t>
  </si>
  <si>
    <t>ООО "ТРАНСРЕГИОНСЕРВИС"</t>
  </si>
  <si>
    <t>7715964334</t>
  </si>
  <si>
    <t>31707439</t>
  </si>
  <si>
    <t>ООО "ТРАНСТЕХРЕСУР"</t>
  </si>
  <si>
    <t>7720646425</t>
  </si>
  <si>
    <t>11-09-2020 00:00:00</t>
  </si>
  <si>
    <t>31235025</t>
  </si>
  <si>
    <t>ООО "УК "КУСОР"</t>
  </si>
  <si>
    <t>5012034645</t>
  </si>
  <si>
    <t>03-05-2006 00:00:00</t>
  </si>
  <si>
    <t>31152291</t>
  </si>
  <si>
    <t>ООО "Хартия"</t>
  </si>
  <si>
    <t>7703770101</t>
  </si>
  <si>
    <t>13-06-2012 00:00:00</t>
  </si>
  <si>
    <t>31292427</t>
  </si>
  <si>
    <t>ООО "ЭКО ГАРАНТ"</t>
  </si>
  <si>
    <t>5032290069</t>
  </si>
  <si>
    <t>20-09-2017 00:00:00</t>
  </si>
  <si>
    <t>31164404</t>
  </si>
  <si>
    <t>ООО "ЭКО-ВТОР"</t>
  </si>
  <si>
    <t>5031054862</t>
  </si>
  <si>
    <t>17-09-2003 00:00:00</t>
  </si>
  <si>
    <t>31163768</t>
  </si>
  <si>
    <t>ООО "ЭКО-СИТИ"</t>
  </si>
  <si>
    <t>7722820478</t>
  </si>
  <si>
    <t>27-09-2013 00:00:00</t>
  </si>
  <si>
    <t>31707811</t>
  </si>
  <si>
    <t>ООО "ЭКОВЫВОЗ"</t>
  </si>
  <si>
    <t>9729277222</t>
  </si>
  <si>
    <t>31290326</t>
  </si>
  <si>
    <t>ООО "ЭКОН"</t>
  </si>
  <si>
    <t>5038041781</t>
  </si>
  <si>
    <t>19-09-2003 00:00:00</t>
  </si>
  <si>
    <t>31163384</t>
  </si>
  <si>
    <t>ООО "ЭКОТРАНС"</t>
  </si>
  <si>
    <t>5001098830</t>
  </si>
  <si>
    <t>25-04-2014 00:00:00</t>
  </si>
  <si>
    <t>31707821</t>
  </si>
  <si>
    <t>5040116956</t>
  </si>
  <si>
    <t>26549292</t>
  </si>
  <si>
    <t>ООО "ЭНИТ"</t>
  </si>
  <si>
    <t>5027034630</t>
  </si>
  <si>
    <t>06-07-1993 00:00:00</t>
  </si>
  <si>
    <t>31163347</t>
  </si>
  <si>
    <t>ООО "ЭкоЛайн-Воскресенск"</t>
  </si>
  <si>
    <t>5047166554</t>
  </si>
  <si>
    <t>26549342</t>
  </si>
  <si>
    <t>ООО "ЭкоПолигон-Щелково"</t>
  </si>
  <si>
    <t>5050040738</t>
  </si>
  <si>
    <t>31705149</t>
  </si>
  <si>
    <t>ООО "Эколайф"</t>
  </si>
  <si>
    <t>7720432945</t>
  </si>
  <si>
    <t>31161592</t>
  </si>
  <si>
    <t>ООО "Экопромсервис"</t>
  </si>
  <si>
    <t>5047050503</t>
  </si>
  <si>
    <t>12-09-2002 00:00:00</t>
  </si>
  <si>
    <t>26549316</t>
  </si>
  <si>
    <t>ООО "Ядрово"</t>
  </si>
  <si>
    <t>5004021191</t>
  </si>
  <si>
    <t>31289626</t>
  </si>
  <si>
    <t>ООО «ГСВМ»</t>
  </si>
  <si>
    <t>7710685009</t>
  </si>
  <si>
    <t>08-08-2007 00:00:00</t>
  </si>
  <si>
    <t>27568856</t>
  </si>
  <si>
    <t>ООО «ЭКОТЕХ»</t>
  </si>
  <si>
    <t>5022095750</t>
  </si>
  <si>
    <t>26811002</t>
  </si>
  <si>
    <t>ООО «ЭкоПолигон-Щелково»</t>
  </si>
  <si>
    <t>5050075480</t>
  </si>
  <si>
    <t>10-06-2021 00:00:00</t>
  </si>
  <si>
    <t>31290366</t>
  </si>
  <si>
    <t>ООО НПВП "ЦЕССОР"</t>
  </si>
  <si>
    <t>5053014694</t>
  </si>
  <si>
    <t>09-12-2002 00:00:00</t>
  </si>
  <si>
    <t>31300481</t>
  </si>
  <si>
    <t>ООО"ЭКО-СОЮЗ"</t>
  </si>
  <si>
    <t>6230080379</t>
  </si>
  <si>
    <t>03-04-2013 00:00:00</t>
  </si>
  <si>
    <t>31707485</t>
  </si>
  <si>
    <t>Общество с ограниченной ответственностью "ПРОМСИСТЕМА"</t>
  </si>
  <si>
    <t>5032220706</t>
  </si>
  <si>
    <t>31707772</t>
  </si>
  <si>
    <t>Общество с ограниченной ответственностью «ЭКОГРАДЪ»</t>
  </si>
  <si>
    <t>7724487222</t>
  </si>
  <si>
    <t>NSRF</t>
  </si>
  <si>
    <t>MR_NAME</t>
  </si>
  <si>
    <t>OKTMO_MR_NAME</t>
  </si>
  <si>
    <t>MO_NAME</t>
  </si>
  <si>
    <t>OKTMO_NAME</t>
  </si>
  <si>
    <t>TYPE</t>
  </si>
  <si>
    <t>MR_ID</t>
  </si>
  <si>
    <t>Богородский</t>
  </si>
  <si>
    <t>46751000</t>
  </si>
  <si>
    <t>городской округ</t>
  </si>
  <si>
    <t>Волоколамский</t>
  </si>
  <si>
    <t>46708000</t>
  </si>
  <si>
    <t>Волоколамский муниципальный район</t>
  </si>
  <si>
    <t>46605000</t>
  </si>
  <si>
    <t>муниципальный район</t>
  </si>
  <si>
    <t>городское поселение Волоколамск</t>
  </si>
  <si>
    <t>46605101</t>
  </si>
  <si>
    <t>городское поселение, в состав которого входит город</t>
  </si>
  <si>
    <t>городское поселение Сычево</t>
  </si>
  <si>
    <t>46605158</t>
  </si>
  <si>
    <t>городское поселение, в состав которого входит поселок</t>
  </si>
  <si>
    <t>сельское поселение Кашинское</t>
  </si>
  <si>
    <t>46605422</t>
  </si>
  <si>
    <t>сельское поселение</t>
  </si>
  <si>
    <t>сельское поселение Осташевское</t>
  </si>
  <si>
    <t>46605431</t>
  </si>
  <si>
    <t>сельское поселение Спасское</t>
  </si>
  <si>
    <t>46605434</t>
  </si>
  <si>
    <t>сельское поселение Теряевское</t>
  </si>
  <si>
    <t>46605449</t>
  </si>
  <si>
    <t>сельское поселение Чисменское</t>
  </si>
  <si>
    <t>46605461</t>
  </si>
  <si>
    <t>сельское поселение Ярополецкое</t>
  </si>
  <si>
    <t>46605467</t>
  </si>
  <si>
    <t>Воскресенск</t>
  </si>
  <si>
    <t>46710000</t>
  </si>
  <si>
    <t>Воскресенский муниципальный район</t>
  </si>
  <si>
    <t>46606000</t>
  </si>
  <si>
    <t>городское поселение Белоозерский</t>
  </si>
  <si>
    <t>46606154</t>
  </si>
  <si>
    <t>городское поселение Воскресенск</t>
  </si>
  <si>
    <t>46606101</t>
  </si>
  <si>
    <t>городское поселение Хорлово</t>
  </si>
  <si>
    <t>46606167</t>
  </si>
  <si>
    <t>городское поселение им. Цюрупы</t>
  </si>
  <si>
    <t>46606180</t>
  </si>
  <si>
    <t>сельское поселение Ашитковское</t>
  </si>
  <si>
    <t>46606402</t>
  </si>
  <si>
    <t>сельское поселение Фединское</t>
  </si>
  <si>
    <t>46606413</t>
  </si>
  <si>
    <t>Дмитровский</t>
  </si>
  <si>
    <t>46715000</t>
  </si>
  <si>
    <t>Дмитровский муниципальный район</t>
  </si>
  <si>
    <t>46608000</t>
  </si>
  <si>
    <t>городское поселение Деденево</t>
  </si>
  <si>
    <t>46608154</t>
  </si>
  <si>
    <t>городское поселение Дмитров</t>
  </si>
  <si>
    <t>46608101</t>
  </si>
  <si>
    <t>городское поселение Икша</t>
  </si>
  <si>
    <t>46608157</t>
  </si>
  <si>
    <t>городское поселение Некрасовский</t>
  </si>
  <si>
    <t>46608163</t>
  </si>
  <si>
    <t>городское поселение Яхрома</t>
  </si>
  <si>
    <t>46608105</t>
  </si>
  <si>
    <t>сельское поселение Большерогачевское</t>
  </si>
  <si>
    <t>46608407</t>
  </si>
  <si>
    <t>сельское поселение Габовское</t>
  </si>
  <si>
    <t>46608413</t>
  </si>
  <si>
    <t>сельское поселение Костинское</t>
  </si>
  <si>
    <t>46608431</t>
  </si>
  <si>
    <t>сельское поселение Куликовское</t>
  </si>
  <si>
    <t>46608437</t>
  </si>
  <si>
    <t>сельское поселение Синьковское</t>
  </si>
  <si>
    <t>46608461</t>
  </si>
  <si>
    <t>сельское поселение Якотское</t>
  </si>
  <si>
    <t>46608470</t>
  </si>
  <si>
    <t>Егорьевский муниципальный район</t>
  </si>
  <si>
    <t>46612000</t>
  </si>
  <si>
    <t>городское поселение Егорьевск</t>
  </si>
  <si>
    <t>46612101</t>
  </si>
  <si>
    <t>городское поселение Рязановский</t>
  </si>
  <si>
    <t>46612160</t>
  </si>
  <si>
    <t>сельское поселение Раменское</t>
  </si>
  <si>
    <t>46612440</t>
  </si>
  <si>
    <t>сельское поселение Саввинское</t>
  </si>
  <si>
    <t>46612443</t>
  </si>
  <si>
    <t>сельское поселение Юрцовское</t>
  </si>
  <si>
    <t>46612434</t>
  </si>
  <si>
    <t>Зарайск</t>
  </si>
  <si>
    <t>46729000</t>
  </si>
  <si>
    <t>Зарайский муниципальный район</t>
  </si>
  <si>
    <t>46616000</t>
  </si>
  <si>
    <t>городское поселение Зарайск</t>
  </si>
  <si>
    <t>46616101</t>
  </si>
  <si>
    <t>сельское поселение Гололобовское</t>
  </si>
  <si>
    <t>46616408</t>
  </si>
  <si>
    <t>сельское поселение Каринское</t>
  </si>
  <si>
    <t>46616416</t>
  </si>
  <si>
    <t>сельское поселение Машоновское</t>
  </si>
  <si>
    <t>46616428</t>
  </si>
  <si>
    <t>сельское поселение Струпненское</t>
  </si>
  <si>
    <t>46616437</t>
  </si>
  <si>
    <t>Истра</t>
  </si>
  <si>
    <t>46733000</t>
  </si>
  <si>
    <t>Истринский муниципальный район</t>
  </si>
  <si>
    <t>46618000</t>
  </si>
  <si>
    <t>городское поселение Дедовск</t>
  </si>
  <si>
    <t>46618103</t>
  </si>
  <si>
    <t>городское поселение Истра</t>
  </si>
  <si>
    <t>46618101</t>
  </si>
  <si>
    <t>городское поселение Снегири</t>
  </si>
  <si>
    <t>46618156</t>
  </si>
  <si>
    <t>сельское поселение Бужаровское</t>
  </si>
  <si>
    <t>46618402</t>
  </si>
  <si>
    <t>сельское поселение Букаревское</t>
  </si>
  <si>
    <t>46618404</t>
  </si>
  <si>
    <t>сельское поселение Ермолинское</t>
  </si>
  <si>
    <t>46618413</t>
  </si>
  <si>
    <t>сельское поселение Ивановское</t>
  </si>
  <si>
    <t>46618416</t>
  </si>
  <si>
    <t>сельское поселение Костровское</t>
  </si>
  <si>
    <t>46618419</t>
  </si>
  <si>
    <t>сельское поселение Лучинское</t>
  </si>
  <si>
    <t>46618425</t>
  </si>
  <si>
    <t>сельское поселение Новопетровское</t>
  </si>
  <si>
    <t>46618428</t>
  </si>
  <si>
    <t>сельское поселение Обушковское</t>
  </si>
  <si>
    <t>46618431</t>
  </si>
  <si>
    <t>сельское поселение Онуфриевское</t>
  </si>
  <si>
    <t>46618434</t>
  </si>
  <si>
    <t>сельское поселение Павло-Слободское</t>
  </si>
  <si>
    <t>46618437</t>
  </si>
  <si>
    <t>60</t>
  </si>
  <si>
    <t>сельское поселение Ядроминское</t>
  </si>
  <si>
    <t>46618443</t>
  </si>
  <si>
    <t>61</t>
  </si>
  <si>
    <t>Каширский муниципальный район</t>
  </si>
  <si>
    <t>46620000</t>
  </si>
  <si>
    <t>62</t>
  </si>
  <si>
    <t>городское поселение Кашира</t>
  </si>
  <si>
    <t>46620101</t>
  </si>
  <si>
    <t>63</t>
  </si>
  <si>
    <t>городское поселение Ожерелье</t>
  </si>
  <si>
    <t>46620104</t>
  </si>
  <si>
    <t>64</t>
  </si>
  <si>
    <t>сельское поселение Базаровское</t>
  </si>
  <si>
    <t>46620402</t>
  </si>
  <si>
    <t>65</t>
  </si>
  <si>
    <t>сельское поселение Домнинское</t>
  </si>
  <si>
    <t>46620407</t>
  </si>
  <si>
    <t>сельское поселение Знаменское</t>
  </si>
  <si>
    <t>46620410</t>
  </si>
  <si>
    <t>67</t>
  </si>
  <si>
    <t>сельское поселение Колтовское</t>
  </si>
  <si>
    <t>46620413</t>
  </si>
  <si>
    <t>сельское поселение Топкановское</t>
  </si>
  <si>
    <t>46620419</t>
  </si>
  <si>
    <t>69</t>
  </si>
  <si>
    <t>Клин</t>
  </si>
  <si>
    <t>46737000</t>
  </si>
  <si>
    <t>70</t>
  </si>
  <si>
    <t>Клинский муниципальный район</t>
  </si>
  <si>
    <t>46621000</t>
  </si>
  <si>
    <t>71</t>
  </si>
  <si>
    <t>городское поселение Высоковск</t>
  </si>
  <si>
    <t>46621103</t>
  </si>
  <si>
    <t>72</t>
  </si>
  <si>
    <t>городское поселение Клин</t>
  </si>
  <si>
    <t>46621101</t>
  </si>
  <si>
    <t>73</t>
  </si>
  <si>
    <t>городское поселение Решетниково</t>
  </si>
  <si>
    <t>46621154</t>
  </si>
  <si>
    <t>74</t>
  </si>
  <si>
    <t>сельское поселение Воздвиженское</t>
  </si>
  <si>
    <t>46621407</t>
  </si>
  <si>
    <t>75</t>
  </si>
  <si>
    <t>сельское поселение Воронинское</t>
  </si>
  <si>
    <t>46621410</t>
  </si>
  <si>
    <t>76</t>
  </si>
  <si>
    <t>сельское поселение Зубовское</t>
  </si>
  <si>
    <t>46621416</t>
  </si>
  <si>
    <t>77</t>
  </si>
  <si>
    <t>сельское поселение Нудольское</t>
  </si>
  <si>
    <t>46621434</t>
  </si>
  <si>
    <t>78</t>
  </si>
  <si>
    <t>сельское поселение Петровское</t>
  </si>
  <si>
    <t>46621437</t>
  </si>
  <si>
    <t>79</t>
  </si>
  <si>
    <t>Коломенский муниципальный район</t>
  </si>
  <si>
    <t>46622000</t>
  </si>
  <si>
    <t>80</t>
  </si>
  <si>
    <t>городское поселение Пески</t>
  </si>
  <si>
    <t>46622154</t>
  </si>
  <si>
    <t>81</t>
  </si>
  <si>
    <t>сельское поселение Акатьевское</t>
  </si>
  <si>
    <t>46622402</t>
  </si>
  <si>
    <t>82</t>
  </si>
  <si>
    <t>сельское поселение Биорковское</t>
  </si>
  <si>
    <t>46622404</t>
  </si>
  <si>
    <t>83</t>
  </si>
  <si>
    <t>сельское поселение Заруденское</t>
  </si>
  <si>
    <t>46622416</t>
  </si>
  <si>
    <t>84</t>
  </si>
  <si>
    <t>сельское поселение Непецинское</t>
  </si>
  <si>
    <t>46622419</t>
  </si>
  <si>
    <t>85</t>
  </si>
  <si>
    <t>сельское поселение Пестриковское</t>
  </si>
  <si>
    <t>46622425</t>
  </si>
  <si>
    <t>86</t>
  </si>
  <si>
    <t>сельское поселение Проводниковское</t>
  </si>
  <si>
    <t>46622431</t>
  </si>
  <si>
    <t>87</t>
  </si>
  <si>
    <t>сельское поселение Радужное</t>
  </si>
  <si>
    <t>46622422</t>
  </si>
  <si>
    <t>88</t>
  </si>
  <si>
    <t>сельское поселение Хорошовское</t>
  </si>
  <si>
    <t>46622434</t>
  </si>
  <si>
    <t>89</t>
  </si>
  <si>
    <t>Коломна</t>
  </si>
  <si>
    <t>46738000</t>
  </si>
  <si>
    <t>90</t>
  </si>
  <si>
    <t>Красногорск</t>
  </si>
  <si>
    <t>46744000</t>
  </si>
  <si>
    <t>91</t>
  </si>
  <si>
    <t>Красногорский муниципальный район</t>
  </si>
  <si>
    <t>46623000</t>
  </si>
  <si>
    <t>92</t>
  </si>
  <si>
    <t>городское поселение Красногорск</t>
  </si>
  <si>
    <t>46623101</t>
  </si>
  <si>
    <t>93</t>
  </si>
  <si>
    <t>городское поселение Нахабино</t>
  </si>
  <si>
    <t>46623154</t>
  </si>
  <si>
    <t>94</t>
  </si>
  <si>
    <t>сельское поселение Ильинское</t>
  </si>
  <si>
    <t>46623404</t>
  </si>
  <si>
    <t>95</t>
  </si>
  <si>
    <t>сельское поселение Отрадненское</t>
  </si>
  <si>
    <t>46623407</t>
  </si>
  <si>
    <t>96</t>
  </si>
  <si>
    <t>Ленинский</t>
  </si>
  <si>
    <t>46707000</t>
  </si>
  <si>
    <t>97</t>
  </si>
  <si>
    <t>Ленинский муниципальный район</t>
  </si>
  <si>
    <t>46628000</t>
  </si>
  <si>
    <t>98</t>
  </si>
  <si>
    <t>городское поселение Видное</t>
  </si>
  <si>
    <t>46628101</t>
  </si>
  <si>
    <t>99</t>
  </si>
  <si>
    <t>городское поселение Горки Ленинские</t>
  </si>
  <si>
    <t>46628155</t>
  </si>
  <si>
    <t>100</t>
  </si>
  <si>
    <t>сельское поселение Булатниковское</t>
  </si>
  <si>
    <t>46628402</t>
  </si>
  <si>
    <t>101</t>
  </si>
  <si>
    <t>сельское поселение Володарское</t>
  </si>
  <si>
    <t>46628407</t>
  </si>
  <si>
    <t>102</t>
  </si>
  <si>
    <t>сельское поселение Молоковское</t>
  </si>
  <si>
    <t>46628422</t>
  </si>
  <si>
    <t>103</t>
  </si>
  <si>
    <t>сельское поселение Развилковское</t>
  </si>
  <si>
    <t>46628416</t>
  </si>
  <si>
    <t>104</t>
  </si>
  <si>
    <t>сельское поселение Совхоз имени Ленина</t>
  </si>
  <si>
    <t>46628411</t>
  </si>
  <si>
    <t>105</t>
  </si>
  <si>
    <t>Ликино-Дулёво</t>
  </si>
  <si>
    <t>46749000</t>
  </si>
  <si>
    <t>106</t>
  </si>
  <si>
    <t>Лотошино</t>
  </si>
  <si>
    <t>46752000</t>
  </si>
  <si>
    <t>107</t>
  </si>
  <si>
    <t>Лотошинский муниципальный район</t>
  </si>
  <si>
    <t>46629000</t>
  </si>
  <si>
    <t>108</t>
  </si>
  <si>
    <t>городское поселение Лотошино</t>
  </si>
  <si>
    <t>46629151</t>
  </si>
  <si>
    <t>109</t>
  </si>
  <si>
    <t>сельское поселение Микулинское</t>
  </si>
  <si>
    <t>46629416</t>
  </si>
  <si>
    <t>110</t>
  </si>
  <si>
    <t>сельское поселение Ошейкинское</t>
  </si>
  <si>
    <t>46629428</t>
  </si>
  <si>
    <t>111</t>
  </si>
  <si>
    <t>Луховицкий муниципальный район</t>
  </si>
  <si>
    <t>46630000</t>
  </si>
  <si>
    <t>112</t>
  </si>
  <si>
    <t>городское поселение Белоомут</t>
  </si>
  <si>
    <t>46630153</t>
  </si>
  <si>
    <t>113</t>
  </si>
  <si>
    <t>городское поселение Луховицы</t>
  </si>
  <si>
    <t>46630101</t>
  </si>
  <si>
    <t>114</t>
  </si>
  <si>
    <t>сельское поселение Астаповское</t>
  </si>
  <si>
    <t>46630407</t>
  </si>
  <si>
    <t>115</t>
  </si>
  <si>
    <t>сельское поселение Газопроводское</t>
  </si>
  <si>
    <t>46630413</t>
  </si>
  <si>
    <t>116</t>
  </si>
  <si>
    <t>сельское поселение Головачевское</t>
  </si>
  <si>
    <t>46630416</t>
  </si>
  <si>
    <t>117</t>
  </si>
  <si>
    <t>сельское поселение Дединовское</t>
  </si>
  <si>
    <t>46630425</t>
  </si>
  <si>
    <t>118</t>
  </si>
  <si>
    <t>сельское поселение Краснопоймовское</t>
  </si>
  <si>
    <t>46630431</t>
  </si>
  <si>
    <t>119</t>
  </si>
  <si>
    <t>сельское поселение Фруктовское</t>
  </si>
  <si>
    <t>46630452</t>
  </si>
  <si>
    <t>120</t>
  </si>
  <si>
    <t>Луховицы</t>
  </si>
  <si>
    <t>46747000</t>
  </si>
  <si>
    <t>121</t>
  </si>
  <si>
    <t>Люберецкий муниципальный район</t>
  </si>
  <si>
    <t>46631000</t>
  </si>
  <si>
    <t>122</t>
  </si>
  <si>
    <t>городское поселение Красково</t>
  </si>
  <si>
    <t>46631165</t>
  </si>
  <si>
    <t>123</t>
  </si>
  <si>
    <t>городское поселение Люберцы</t>
  </si>
  <si>
    <t>46631101</t>
  </si>
  <si>
    <t>124</t>
  </si>
  <si>
    <t>городское поселение Малаховка</t>
  </si>
  <si>
    <t>46631167</t>
  </si>
  <si>
    <t>125</t>
  </si>
  <si>
    <t>городское поселение Октябрьский</t>
  </si>
  <si>
    <t>46631170</t>
  </si>
  <si>
    <t>126</t>
  </si>
  <si>
    <t>городское поселение Томилино</t>
  </si>
  <si>
    <t>46631173</t>
  </si>
  <si>
    <t>127</t>
  </si>
  <si>
    <t>Люберцы</t>
  </si>
  <si>
    <t>46748000</t>
  </si>
  <si>
    <t>128</t>
  </si>
  <si>
    <t>Можайский</t>
  </si>
  <si>
    <t>46745000</t>
  </si>
  <si>
    <t>129</t>
  </si>
  <si>
    <t>Можайский муниципальный район</t>
  </si>
  <si>
    <t>46633000</t>
  </si>
  <si>
    <t>130</t>
  </si>
  <si>
    <t>городское поселение Можайск</t>
  </si>
  <si>
    <t>46633101</t>
  </si>
  <si>
    <t>131</t>
  </si>
  <si>
    <t>городское поселение Уваровка</t>
  </si>
  <si>
    <t>46633154</t>
  </si>
  <si>
    <t>132</t>
  </si>
  <si>
    <t>сельское поселение Борисовское</t>
  </si>
  <si>
    <t>46633402</t>
  </si>
  <si>
    <t>133</t>
  </si>
  <si>
    <t>сельское поселение Бородинское</t>
  </si>
  <si>
    <t>46633404</t>
  </si>
  <si>
    <t>134</t>
  </si>
  <si>
    <t>сельское поселение Горетовское</t>
  </si>
  <si>
    <t>46633410</t>
  </si>
  <si>
    <t>135</t>
  </si>
  <si>
    <t>сельское поселение Дровнинский</t>
  </si>
  <si>
    <t>46633416</t>
  </si>
  <si>
    <t>136</t>
  </si>
  <si>
    <t>сельское поселение Замошинское</t>
  </si>
  <si>
    <t>46633419</t>
  </si>
  <si>
    <t>137</t>
  </si>
  <si>
    <t>сельское поселение Клементьевский</t>
  </si>
  <si>
    <t>46633422</t>
  </si>
  <si>
    <t>138</t>
  </si>
  <si>
    <t>сельское поселение Порецкое</t>
  </si>
  <si>
    <t>46633437</t>
  </si>
  <si>
    <t>139</t>
  </si>
  <si>
    <t>сельское поселение Спутник</t>
  </si>
  <si>
    <t>46633425</t>
  </si>
  <si>
    <t>140</t>
  </si>
  <si>
    <t>сельское поселение Юрловское</t>
  </si>
  <si>
    <t>46633449</t>
  </si>
  <si>
    <t>141</t>
  </si>
  <si>
    <t>Мытищинский муниципальный район</t>
  </si>
  <si>
    <t>46634000</t>
  </si>
  <si>
    <t>142</t>
  </si>
  <si>
    <t>городское поселение Мытищи</t>
  </si>
  <si>
    <t>46634101</t>
  </si>
  <si>
    <t>143</t>
  </si>
  <si>
    <t>городское поселение Пироговский</t>
  </si>
  <si>
    <t>46634162</t>
  </si>
  <si>
    <t>144</t>
  </si>
  <si>
    <t>сельское поселение Федоскинское</t>
  </si>
  <si>
    <t>46634422</t>
  </si>
  <si>
    <t>145</t>
  </si>
  <si>
    <t>Наро-Фоминский</t>
  </si>
  <si>
    <t>46750000</t>
  </si>
  <si>
    <t>146</t>
  </si>
  <si>
    <t>Наро-Фоминский муниципальный район</t>
  </si>
  <si>
    <t>46638000</t>
  </si>
  <si>
    <t>Городское поселение Наро-Фоминск</t>
  </si>
  <si>
    <t>46638101</t>
  </si>
  <si>
    <t>147</t>
  </si>
  <si>
    <t>148</t>
  </si>
  <si>
    <t>городское поселение Апрелевка</t>
  </si>
  <si>
    <t>46638102</t>
  </si>
  <si>
    <t>149</t>
  </si>
  <si>
    <t>городское поселение Верея</t>
  </si>
  <si>
    <t>46638105</t>
  </si>
  <si>
    <t>150</t>
  </si>
  <si>
    <t>городское поселение Калининец</t>
  </si>
  <si>
    <t>46638155</t>
  </si>
  <si>
    <t>151</t>
  </si>
  <si>
    <t>городское поселение Селятино</t>
  </si>
  <si>
    <t>46638168</t>
  </si>
  <si>
    <t>152</t>
  </si>
  <si>
    <t>сельское поселение Атепцевское</t>
  </si>
  <si>
    <t>46638404</t>
  </si>
  <si>
    <t>153</t>
  </si>
  <si>
    <t>сельское поселение Веселевское</t>
  </si>
  <si>
    <t>46638410</t>
  </si>
  <si>
    <t>154</t>
  </si>
  <si>
    <t>сельское поселение Волченковское</t>
  </si>
  <si>
    <t>46638407</t>
  </si>
  <si>
    <t>155</t>
  </si>
  <si>
    <t>сельское поселение Ташировское</t>
  </si>
  <si>
    <t>46638440</t>
  </si>
  <si>
    <t>156</t>
  </si>
  <si>
    <t>Ногинский муниципальный район</t>
  </si>
  <si>
    <t>46639000</t>
  </si>
  <si>
    <t>157</t>
  </si>
  <si>
    <t>городское поселение Ногинск</t>
  </si>
  <si>
    <t>46639101</t>
  </si>
  <si>
    <t>158</t>
  </si>
  <si>
    <t>городское поселение Обухово</t>
  </si>
  <si>
    <t>46639158</t>
  </si>
  <si>
    <t>159</t>
  </si>
  <si>
    <t>городское поселение Старая Купавна</t>
  </si>
  <si>
    <t>46639103</t>
  </si>
  <si>
    <t>160</t>
  </si>
  <si>
    <t>городское поселение Электроугли</t>
  </si>
  <si>
    <t>46639105</t>
  </si>
  <si>
    <t>161</t>
  </si>
  <si>
    <t>городское поселение им. Воровского</t>
  </si>
  <si>
    <t>46639154</t>
  </si>
  <si>
    <t>162</t>
  </si>
  <si>
    <t>сельское поселение Аксено-Бутырское</t>
  </si>
  <si>
    <t>46639402</t>
  </si>
  <si>
    <t>163</t>
  </si>
  <si>
    <t>сельское поселение Буньковское</t>
  </si>
  <si>
    <t>46639407</t>
  </si>
  <si>
    <t>164</t>
  </si>
  <si>
    <t>сельское поселение Мамонтовское</t>
  </si>
  <si>
    <t>46639416</t>
  </si>
  <si>
    <t>165</t>
  </si>
  <si>
    <t>сельское поселение Степановское</t>
  </si>
  <si>
    <t>46639422</t>
  </si>
  <si>
    <t>166</t>
  </si>
  <si>
    <t>сельское поселение Ямкинское</t>
  </si>
  <si>
    <t>46639428</t>
  </si>
  <si>
    <t>167</t>
  </si>
  <si>
    <t>Одинцовский</t>
  </si>
  <si>
    <t>46755000</t>
  </si>
  <si>
    <t>168</t>
  </si>
  <si>
    <t>Одинцовский муниципальный район</t>
  </si>
  <si>
    <t>46641000</t>
  </si>
  <si>
    <t>169</t>
  </si>
  <si>
    <t>городское поселение Большие Вяземы</t>
  </si>
  <si>
    <t>46641152</t>
  </si>
  <si>
    <t>170</t>
  </si>
  <si>
    <t>городское поселение Голицыно</t>
  </si>
  <si>
    <t>46641104</t>
  </si>
  <si>
    <t>171</t>
  </si>
  <si>
    <t>городское поселение Заречье</t>
  </si>
  <si>
    <t>46641157</t>
  </si>
  <si>
    <t>172</t>
  </si>
  <si>
    <t>городское поселение Кубинка</t>
  </si>
  <si>
    <t>46641110</t>
  </si>
  <si>
    <t>173</t>
  </si>
  <si>
    <t>городское поселение Лесной Городок</t>
  </si>
  <si>
    <t>46641160</t>
  </si>
  <si>
    <t>174</t>
  </si>
  <si>
    <t>городское поселение Новоивановское</t>
  </si>
  <si>
    <t>46641162</t>
  </si>
  <si>
    <t>175</t>
  </si>
  <si>
    <t>городское поселение Одинцово</t>
  </si>
  <si>
    <t>46641101</t>
  </si>
  <si>
    <t>176</t>
  </si>
  <si>
    <t>сельское поселение Барвихинское</t>
  </si>
  <si>
    <t>46641404</t>
  </si>
  <si>
    <t>177</t>
  </si>
  <si>
    <t>сельское поселение Горское</t>
  </si>
  <si>
    <t>46641413</t>
  </si>
  <si>
    <t>178</t>
  </si>
  <si>
    <t>сельское поселение Ершовское</t>
  </si>
  <si>
    <t>46641419</t>
  </si>
  <si>
    <t>179</t>
  </si>
  <si>
    <t>сельское поселение Жаворонковское</t>
  </si>
  <si>
    <t>46641470</t>
  </si>
  <si>
    <t>180</t>
  </si>
  <si>
    <t>сельское поселение Захаровское</t>
  </si>
  <si>
    <t>46641425</t>
  </si>
  <si>
    <t>181</t>
  </si>
  <si>
    <t>сельское поселение Назарьевское</t>
  </si>
  <si>
    <t>46641440</t>
  </si>
  <si>
    <t>182</t>
  </si>
  <si>
    <t>сельское поселение Никольское</t>
  </si>
  <si>
    <t>46641449</t>
  </si>
  <si>
    <t>183</t>
  </si>
  <si>
    <t>сельское поселение Успенское</t>
  </si>
  <si>
    <t>46641461</t>
  </si>
  <si>
    <t>184</t>
  </si>
  <si>
    <t>сельское поселение Часцовское</t>
  </si>
  <si>
    <t>46641464</t>
  </si>
  <si>
    <t>185</t>
  </si>
  <si>
    <t>Озерский муниципальный район</t>
  </si>
  <si>
    <t>46642000</t>
  </si>
  <si>
    <t>186</t>
  </si>
  <si>
    <t>городское поселение Озеры</t>
  </si>
  <si>
    <t>46642101</t>
  </si>
  <si>
    <t>187</t>
  </si>
  <si>
    <t>сельское поселение Бояркинское</t>
  </si>
  <si>
    <t>46642402</t>
  </si>
  <si>
    <t>188</t>
  </si>
  <si>
    <t>сельское поселение Клишинское</t>
  </si>
  <si>
    <t>46642410</t>
  </si>
  <si>
    <t>189</t>
  </si>
  <si>
    <t>Орехово-Зуевский</t>
  </si>
  <si>
    <t>46757000</t>
  </si>
  <si>
    <t>190</t>
  </si>
  <si>
    <t>Орехово-Зуевский муниципальный район</t>
  </si>
  <si>
    <t>46643000</t>
  </si>
  <si>
    <t>191</t>
  </si>
  <si>
    <t>городское поселение Дрезна</t>
  </si>
  <si>
    <t>46643104</t>
  </si>
  <si>
    <t>192</t>
  </si>
  <si>
    <t>городское поселение Куровское</t>
  </si>
  <si>
    <t>46643108</t>
  </si>
  <si>
    <t>193</t>
  </si>
  <si>
    <t>городское поселение Ликино-Дулево</t>
  </si>
  <si>
    <t>46643113</t>
  </si>
  <si>
    <t>194</t>
  </si>
  <si>
    <t>сельское поселение Белавинское</t>
  </si>
  <si>
    <t>46643407</t>
  </si>
  <si>
    <t>195</t>
  </si>
  <si>
    <t>сельское поселение Верейское</t>
  </si>
  <si>
    <t>46643408</t>
  </si>
  <si>
    <t>196</t>
  </si>
  <si>
    <t>46643413</t>
  </si>
  <si>
    <t>197</t>
  </si>
  <si>
    <t>сельское поселение Давыдовское</t>
  </si>
  <si>
    <t>46643419</t>
  </si>
  <si>
    <t>198</t>
  </si>
  <si>
    <t>сельское поселение Демиховское</t>
  </si>
  <si>
    <t>46643422</t>
  </si>
  <si>
    <t>199</t>
  </si>
  <si>
    <t>сельское поселение Дороховское</t>
  </si>
  <si>
    <t>46643425</t>
  </si>
  <si>
    <t>200</t>
  </si>
  <si>
    <t>46643431</t>
  </si>
  <si>
    <t>201</t>
  </si>
  <si>
    <t>сельское поселение Малодубенское</t>
  </si>
  <si>
    <t>46643437</t>
  </si>
  <si>
    <t>202</t>
  </si>
  <si>
    <t>сельское поселение Новинское</t>
  </si>
  <si>
    <t>46643443</t>
  </si>
  <si>
    <t>203</t>
  </si>
  <si>
    <t>сельское поселение Соболевское</t>
  </si>
  <si>
    <t>46643446</t>
  </si>
  <si>
    <t>204</t>
  </si>
  <si>
    <t>Павлово-Посадский</t>
  </si>
  <si>
    <t>46759000</t>
  </si>
  <si>
    <t>205</t>
  </si>
  <si>
    <t>Павлово-Посадский муниципальный район</t>
  </si>
  <si>
    <t>46645000</t>
  </si>
  <si>
    <t>206</t>
  </si>
  <si>
    <t>городское поселение Большие Дворы</t>
  </si>
  <si>
    <t>46645152</t>
  </si>
  <si>
    <t>207</t>
  </si>
  <si>
    <t>городское поселение Павловский Посад</t>
  </si>
  <si>
    <t>46645101</t>
  </si>
  <si>
    <t>208</t>
  </si>
  <si>
    <t>сельское поселение Аверкиевское</t>
  </si>
  <si>
    <t>46645402</t>
  </si>
  <si>
    <t>209</t>
  </si>
  <si>
    <t>сельское поселение Кузнецовское</t>
  </si>
  <si>
    <t>46645404</t>
  </si>
  <si>
    <t>210</t>
  </si>
  <si>
    <t>сельское поселение Рахмановское</t>
  </si>
  <si>
    <t>46645410</t>
  </si>
  <si>
    <t>211</t>
  </si>
  <si>
    <t>сельское поселение Улитинское</t>
  </si>
  <si>
    <t>46645416</t>
  </si>
  <si>
    <t>212</t>
  </si>
  <si>
    <t>Подольский муниципальный район</t>
  </si>
  <si>
    <t>46646000</t>
  </si>
  <si>
    <t>Город Подольск</t>
  </si>
  <si>
    <t>213</t>
  </si>
  <si>
    <t>214</t>
  </si>
  <si>
    <t>городское поселение Львовский</t>
  </si>
  <si>
    <t>46646154</t>
  </si>
  <si>
    <t>215</t>
  </si>
  <si>
    <t>сельское поселение Дубровицкое</t>
  </si>
  <si>
    <t>46646413</t>
  </si>
  <si>
    <t>216</t>
  </si>
  <si>
    <t>сельское поселение Лаговское</t>
  </si>
  <si>
    <t>46646416</t>
  </si>
  <si>
    <t>217</t>
  </si>
  <si>
    <t>сельское поселение Стрелковское</t>
  </si>
  <si>
    <t>46646428</t>
  </si>
  <si>
    <t>218</t>
  </si>
  <si>
    <t>Пушкинский</t>
  </si>
  <si>
    <t>46758000</t>
  </si>
  <si>
    <t>219</t>
  </si>
  <si>
    <t>Пушкинский муниципальный район</t>
  </si>
  <si>
    <t>46647000</t>
  </si>
  <si>
    <t>220</t>
  </si>
  <si>
    <t>городское поселение Ашукино</t>
  </si>
  <si>
    <t>46647152</t>
  </si>
  <si>
    <t>221</t>
  </si>
  <si>
    <t>городское поселение Зеленоградский</t>
  </si>
  <si>
    <t>46647154</t>
  </si>
  <si>
    <t>222</t>
  </si>
  <si>
    <t>городское поселение Лесной</t>
  </si>
  <si>
    <t>46647156</t>
  </si>
  <si>
    <t>223</t>
  </si>
  <si>
    <t>городское поселение Правдинский</t>
  </si>
  <si>
    <t>46647158</t>
  </si>
  <si>
    <t>224</t>
  </si>
  <si>
    <t>городское поселение Пушкино</t>
  </si>
  <si>
    <t>46647101</t>
  </si>
  <si>
    <t>225</t>
  </si>
  <si>
    <t>городское поселение Софрино</t>
  </si>
  <si>
    <t>46647163</t>
  </si>
  <si>
    <t>226</t>
  </si>
  <si>
    <t>городское поселение Черкизово</t>
  </si>
  <si>
    <t>46647168</t>
  </si>
  <si>
    <t>227</t>
  </si>
  <si>
    <t>сельское поселение Ельдигинское</t>
  </si>
  <si>
    <t>46647407</t>
  </si>
  <si>
    <t>228</t>
  </si>
  <si>
    <t>сельское поселение Тарасовское</t>
  </si>
  <si>
    <t>46647437</t>
  </si>
  <si>
    <t>229</t>
  </si>
  <si>
    <t>сельское поселение Царевское</t>
  </si>
  <si>
    <t>46647443</t>
  </si>
  <si>
    <t>230</t>
  </si>
  <si>
    <t>Раменский</t>
  </si>
  <si>
    <t>46768000</t>
  </si>
  <si>
    <t>231</t>
  </si>
  <si>
    <t>Раменский муниципальный район</t>
  </si>
  <si>
    <t>46648000</t>
  </si>
  <si>
    <t>232</t>
  </si>
  <si>
    <t>городское поселение Быково</t>
  </si>
  <si>
    <t>46648152</t>
  </si>
  <si>
    <t>233</t>
  </si>
  <si>
    <t>городское поселение Ильинский</t>
  </si>
  <si>
    <t>46648155</t>
  </si>
  <si>
    <t>234</t>
  </si>
  <si>
    <t>городское поселение Кратово</t>
  </si>
  <si>
    <t>46648157</t>
  </si>
  <si>
    <t>235</t>
  </si>
  <si>
    <t>городское поселение Раменское</t>
  </si>
  <si>
    <t>46648101</t>
  </si>
  <si>
    <t>236</t>
  </si>
  <si>
    <t>городское поселение Родники</t>
  </si>
  <si>
    <t>46648162</t>
  </si>
  <si>
    <t>237</t>
  </si>
  <si>
    <t>городское поселение Удельная</t>
  </si>
  <si>
    <t>46648168</t>
  </si>
  <si>
    <t>238</t>
  </si>
  <si>
    <t>46648402</t>
  </si>
  <si>
    <t>239</t>
  </si>
  <si>
    <t>сельское поселение Вялковское</t>
  </si>
  <si>
    <t>46648407</t>
  </si>
  <si>
    <t>240</t>
  </si>
  <si>
    <t>сельское поселение Ганусовское</t>
  </si>
  <si>
    <t>46648410</t>
  </si>
  <si>
    <t>241</t>
  </si>
  <si>
    <t>сельское поселение Гжельское</t>
  </si>
  <si>
    <t>46648413</t>
  </si>
  <si>
    <t>242</t>
  </si>
  <si>
    <t>сельское поселение Заболотьевское</t>
  </si>
  <si>
    <t>46648422</t>
  </si>
  <si>
    <t>243</t>
  </si>
  <si>
    <t>сельское поселение Константиновское</t>
  </si>
  <si>
    <t>46648434</t>
  </si>
  <si>
    <t>244</t>
  </si>
  <si>
    <t>46648443</t>
  </si>
  <si>
    <t>245</t>
  </si>
  <si>
    <t>сельское поселение Никоновское</t>
  </si>
  <si>
    <t>46648455</t>
  </si>
  <si>
    <t>246</t>
  </si>
  <si>
    <t>сельское поселение Новохаритоновское</t>
  </si>
  <si>
    <t>46648458</t>
  </si>
  <si>
    <t>247</t>
  </si>
  <si>
    <t>сельское поселение Островецкое</t>
  </si>
  <si>
    <t>46648461</t>
  </si>
  <si>
    <t>248</t>
  </si>
  <si>
    <t>сельское поселение Рыболовское</t>
  </si>
  <si>
    <t>46648470</t>
  </si>
  <si>
    <t>249</t>
  </si>
  <si>
    <t>сельское поселение Сафоновское</t>
  </si>
  <si>
    <t>46648473</t>
  </si>
  <si>
    <t>250</t>
  </si>
  <si>
    <t>сельское поселение Софьинское</t>
  </si>
  <si>
    <t>46648476</t>
  </si>
  <si>
    <t>251</t>
  </si>
  <si>
    <t>сельское поселение Ульянинское</t>
  </si>
  <si>
    <t>46648488</t>
  </si>
  <si>
    <t>252</t>
  </si>
  <si>
    <t>сельское поселение Чулковское</t>
  </si>
  <si>
    <t>46648491</t>
  </si>
  <si>
    <t>253</t>
  </si>
  <si>
    <t>Рузский</t>
  </si>
  <si>
    <t>46766000</t>
  </si>
  <si>
    <t>254</t>
  </si>
  <si>
    <t>Рузский муниципальный район</t>
  </si>
  <si>
    <t>46649000</t>
  </si>
  <si>
    <t>255</t>
  </si>
  <si>
    <t>городское поселение Руза</t>
  </si>
  <si>
    <t>46649101</t>
  </si>
  <si>
    <t>256</t>
  </si>
  <si>
    <t>городское поселение Тучково</t>
  </si>
  <si>
    <t>46649163</t>
  </si>
  <si>
    <t>257</t>
  </si>
  <si>
    <t>сельское поселение Волковское</t>
  </si>
  <si>
    <t>46649404</t>
  </si>
  <si>
    <t>258</t>
  </si>
  <si>
    <t>46649428</t>
  </si>
  <si>
    <t>259</t>
  </si>
  <si>
    <t>46649407</t>
  </si>
  <si>
    <t>260</t>
  </si>
  <si>
    <t>сельское поселение Колюбакинское</t>
  </si>
  <si>
    <t>46649402</t>
  </si>
  <si>
    <t>261</t>
  </si>
  <si>
    <t>сельское поселение Старорузское</t>
  </si>
  <si>
    <t>46649431</t>
  </si>
  <si>
    <t>262</t>
  </si>
  <si>
    <t>Сергиево-Посадский</t>
  </si>
  <si>
    <t>46728000</t>
  </si>
  <si>
    <t>263</t>
  </si>
  <si>
    <t>Сергиево-Посадский муниципальный район</t>
  </si>
  <si>
    <t>46615000</t>
  </si>
  <si>
    <t>Город Сергиев Посад</t>
  </si>
  <si>
    <t>46615101</t>
  </si>
  <si>
    <t>264</t>
  </si>
  <si>
    <t>265</t>
  </si>
  <si>
    <t>городское поселение Богородское</t>
  </si>
  <si>
    <t>46615153</t>
  </si>
  <si>
    <t>266</t>
  </si>
  <si>
    <t>городское поселение Краснозаводск</t>
  </si>
  <si>
    <t>46615103</t>
  </si>
  <si>
    <t>267</t>
  </si>
  <si>
    <t>городское поселение Пересвет</t>
  </si>
  <si>
    <t>46615105</t>
  </si>
  <si>
    <t>268</t>
  </si>
  <si>
    <t>городское поселение Скоропусковский</t>
  </si>
  <si>
    <t>46615161</t>
  </si>
  <si>
    <t>269</t>
  </si>
  <si>
    <t>городское поселение Хотьково</t>
  </si>
  <si>
    <t>46615106</t>
  </si>
  <si>
    <t>270</t>
  </si>
  <si>
    <t>сельское поселение Березняковское</t>
  </si>
  <si>
    <t>46615406</t>
  </si>
  <si>
    <t>271</t>
  </si>
  <si>
    <t>сельское поселение Васильевское</t>
  </si>
  <si>
    <t>46615413</t>
  </si>
  <si>
    <t>272</t>
  </si>
  <si>
    <t>сельское поселение Лозовское</t>
  </si>
  <si>
    <t>46615458</t>
  </si>
  <si>
    <t>273</t>
  </si>
  <si>
    <t>сельское поселение Реммаш</t>
  </si>
  <si>
    <t>46615446</t>
  </si>
  <si>
    <t>274</t>
  </si>
  <si>
    <t>сельское поселение Селковское</t>
  </si>
  <si>
    <t>46615452</t>
  </si>
  <si>
    <t>275</t>
  </si>
  <si>
    <t>сельское поселение Шеметовское</t>
  </si>
  <si>
    <t>46615461</t>
  </si>
  <si>
    <t>276</t>
  </si>
  <si>
    <t>Серебряно-Прудский муниципальный район</t>
  </si>
  <si>
    <t>46650000</t>
  </si>
  <si>
    <t>277</t>
  </si>
  <si>
    <t>городское поселение Серебряные Пруды</t>
  </si>
  <si>
    <t>46650151</t>
  </si>
  <si>
    <t>278</t>
  </si>
  <si>
    <t>сельское поселение Мочильское</t>
  </si>
  <si>
    <t>46650409</t>
  </si>
  <si>
    <t>279</t>
  </si>
  <si>
    <t>сельское поселение Узуновское</t>
  </si>
  <si>
    <t>46650419</t>
  </si>
  <si>
    <t>280</t>
  </si>
  <si>
    <t>46650416</t>
  </si>
  <si>
    <t>281</t>
  </si>
  <si>
    <t>Серпуховский муниципальный район</t>
  </si>
  <si>
    <t>46651000</t>
  </si>
  <si>
    <t>282</t>
  </si>
  <si>
    <t>городское поселение Оболенск</t>
  </si>
  <si>
    <t>46651152</t>
  </si>
  <si>
    <t>283</t>
  </si>
  <si>
    <t>городское поселение Пролетарский</t>
  </si>
  <si>
    <t>46651154</t>
  </si>
  <si>
    <t>284</t>
  </si>
  <si>
    <t>46651410</t>
  </si>
  <si>
    <t>285</t>
  </si>
  <si>
    <t>сельское поселение Данковское</t>
  </si>
  <si>
    <t>46651407</t>
  </si>
  <si>
    <t>286</t>
  </si>
  <si>
    <t>сельское поселение Дашковское</t>
  </si>
  <si>
    <t>46651413</t>
  </si>
  <si>
    <t>287</t>
  </si>
  <si>
    <t>сельское поселение Калиновское</t>
  </si>
  <si>
    <t>46651416</t>
  </si>
  <si>
    <t>288</t>
  </si>
  <si>
    <t>сельское поселение Липицкое</t>
  </si>
  <si>
    <t>46651422</t>
  </si>
  <si>
    <t>289</t>
  </si>
  <si>
    <t>Солнечногорск</t>
  </si>
  <si>
    <t>46771000</t>
  </si>
  <si>
    <t>290</t>
  </si>
  <si>
    <t>Солнечногорский муниципальный район</t>
  </si>
  <si>
    <t>46652000</t>
  </si>
  <si>
    <t>291</t>
  </si>
  <si>
    <t>городское поселение Андреевка</t>
  </si>
  <si>
    <t>46652153</t>
  </si>
  <si>
    <t>292</t>
  </si>
  <si>
    <t>городское поселение Менделеево</t>
  </si>
  <si>
    <t>46652158</t>
  </si>
  <si>
    <t>293</t>
  </si>
  <si>
    <t>городское поселение Поварово</t>
  </si>
  <si>
    <t>46652162</t>
  </si>
  <si>
    <t>294</t>
  </si>
  <si>
    <t>городское поселение Ржавки</t>
  </si>
  <si>
    <t>46652164</t>
  </si>
  <si>
    <t>295</t>
  </si>
  <si>
    <t>городское поселение Солнечногорск</t>
  </si>
  <si>
    <t>46652101</t>
  </si>
  <si>
    <t>296</t>
  </si>
  <si>
    <t>сельское поселение Кривцовское</t>
  </si>
  <si>
    <t>46652428</t>
  </si>
  <si>
    <t>297</t>
  </si>
  <si>
    <t>сельское поселение Кутузовское</t>
  </si>
  <si>
    <t>46652422</t>
  </si>
  <si>
    <t>298</t>
  </si>
  <si>
    <t>сельское поселение Луневское</t>
  </si>
  <si>
    <t>46652416</t>
  </si>
  <si>
    <t>299</t>
  </si>
  <si>
    <t>сельское поселение Пешковское</t>
  </si>
  <si>
    <t>46652431</t>
  </si>
  <si>
    <t>300</t>
  </si>
  <si>
    <t>сельское поселение Смирновское</t>
  </si>
  <si>
    <t>46652425</t>
  </si>
  <si>
    <t>301</t>
  </si>
  <si>
    <t>сельское поселение Соколовское</t>
  </si>
  <si>
    <t>46652446</t>
  </si>
  <si>
    <t>302</t>
  </si>
  <si>
    <t>Ступино</t>
  </si>
  <si>
    <t>46776000</t>
  </si>
  <si>
    <t>303</t>
  </si>
  <si>
    <t>Ступинский муниципальный район</t>
  </si>
  <si>
    <t>46653000</t>
  </si>
  <si>
    <t>304</t>
  </si>
  <si>
    <t>городское поселение Жилёво</t>
  </si>
  <si>
    <t>46653154</t>
  </si>
  <si>
    <t>305</t>
  </si>
  <si>
    <t>городское поселение Малино</t>
  </si>
  <si>
    <t>46653156</t>
  </si>
  <si>
    <t>306</t>
  </si>
  <si>
    <t>городское поселение Михнево</t>
  </si>
  <si>
    <t>46653158</t>
  </si>
  <si>
    <t>307</t>
  </si>
  <si>
    <t>городское поселение Ступино</t>
  </si>
  <si>
    <t>46653101</t>
  </si>
  <si>
    <t>308</t>
  </si>
  <si>
    <t>сельское поселение Аксиньинское</t>
  </si>
  <si>
    <t>46653402</t>
  </si>
  <si>
    <t>309</t>
  </si>
  <si>
    <t>сельское поселение Леонтьевское</t>
  </si>
  <si>
    <t>46653422</t>
  </si>
  <si>
    <t>310</t>
  </si>
  <si>
    <t>сельское поселение Семеновское</t>
  </si>
  <si>
    <t>46653436</t>
  </si>
  <si>
    <t>311</t>
  </si>
  <si>
    <t>Талдомский</t>
  </si>
  <si>
    <t>46778000</t>
  </si>
  <si>
    <t>312</t>
  </si>
  <si>
    <t>Талдомский муниципальный район</t>
  </si>
  <si>
    <t>46654000</t>
  </si>
  <si>
    <t>Квашёнковское</t>
  </si>
  <si>
    <t>46654415</t>
  </si>
  <si>
    <t>313</t>
  </si>
  <si>
    <t>314</t>
  </si>
  <si>
    <t>городское поселение Вербилки</t>
  </si>
  <si>
    <t>46654154</t>
  </si>
  <si>
    <t>315</t>
  </si>
  <si>
    <t>городское поселение Запрудня</t>
  </si>
  <si>
    <t>46654158</t>
  </si>
  <si>
    <t>316</t>
  </si>
  <si>
    <t>городское поселение Северный</t>
  </si>
  <si>
    <t>46654163</t>
  </si>
  <si>
    <t>317</t>
  </si>
  <si>
    <t>городское поселение Талдом</t>
  </si>
  <si>
    <t>46654101</t>
  </si>
  <si>
    <t>318</t>
  </si>
  <si>
    <t>сельское поселение Гуслевское</t>
  </si>
  <si>
    <t>46654407</t>
  </si>
  <si>
    <t>319</t>
  </si>
  <si>
    <t>46654410</t>
  </si>
  <si>
    <t>320</t>
  </si>
  <si>
    <t>сельское поселение Темповое</t>
  </si>
  <si>
    <t>46654426</t>
  </si>
  <si>
    <t>321</t>
  </si>
  <si>
    <t>Чехов</t>
  </si>
  <si>
    <t>46784000</t>
  </si>
  <si>
    <t>322</t>
  </si>
  <si>
    <t>Чеховский муниципальный район</t>
  </si>
  <si>
    <t>46656000</t>
  </si>
  <si>
    <t>323</t>
  </si>
  <si>
    <t>городское поселение Столбовая</t>
  </si>
  <si>
    <t>46656155</t>
  </si>
  <si>
    <t>324</t>
  </si>
  <si>
    <t>городское поселение Чехов</t>
  </si>
  <si>
    <t>46656101</t>
  </si>
  <si>
    <t>325</t>
  </si>
  <si>
    <t>сельское поселение Баранцевское</t>
  </si>
  <si>
    <t>46656404</t>
  </si>
  <si>
    <t>326</t>
  </si>
  <si>
    <t>сельское поселение Любучанское</t>
  </si>
  <si>
    <t>46656416</t>
  </si>
  <si>
    <t>327</t>
  </si>
  <si>
    <t>сельское поселение Стремиловское</t>
  </si>
  <si>
    <t>46656428</t>
  </si>
  <si>
    <t>328</t>
  </si>
  <si>
    <t>Шатурский муниципальный район</t>
  </si>
  <si>
    <t>46657000</t>
  </si>
  <si>
    <t>330</t>
  </si>
  <si>
    <t>городское поселение Мишеронский</t>
  </si>
  <si>
    <t>46657163</t>
  </si>
  <si>
    <t>331</t>
  </si>
  <si>
    <t>городское поселение Черусти</t>
  </si>
  <si>
    <t>46657187</t>
  </si>
  <si>
    <t>332</t>
  </si>
  <si>
    <t>городское поселение Шатура</t>
  </si>
  <si>
    <t>46657101</t>
  </si>
  <si>
    <t>333</t>
  </si>
  <si>
    <t>сельское поселение Дмитровское</t>
  </si>
  <si>
    <t>46657413</t>
  </si>
  <si>
    <t>334</t>
  </si>
  <si>
    <t>сельское поселение Кривандинское</t>
  </si>
  <si>
    <t>46657416</t>
  </si>
  <si>
    <t>335</t>
  </si>
  <si>
    <t>сельское поселение Пышлицкое</t>
  </si>
  <si>
    <t>46657440</t>
  </si>
  <si>
    <t>336</t>
  </si>
  <si>
    <t>сельское поселение Радовицкое</t>
  </si>
  <si>
    <t>46657460</t>
  </si>
  <si>
    <t>337</t>
  </si>
  <si>
    <t>Шаховской муниципальный район</t>
  </si>
  <si>
    <t>46658000</t>
  </si>
  <si>
    <t>338</t>
  </si>
  <si>
    <t>городское поселение Шаховская</t>
  </si>
  <si>
    <t>46658151</t>
  </si>
  <si>
    <t>339</t>
  </si>
  <si>
    <t>46658437</t>
  </si>
  <si>
    <t>340</t>
  </si>
  <si>
    <t>сельское поселение Серединское</t>
  </si>
  <si>
    <t>46658440</t>
  </si>
  <si>
    <t>341</t>
  </si>
  <si>
    <t>сельское поселение Степаньковское</t>
  </si>
  <si>
    <t>46658404</t>
  </si>
  <si>
    <t>342</t>
  </si>
  <si>
    <t>Щёлково</t>
  </si>
  <si>
    <t>46788000</t>
  </si>
  <si>
    <t>343</t>
  </si>
  <si>
    <t>Щёлковский муниципальный район</t>
  </si>
  <si>
    <t>46659000</t>
  </si>
  <si>
    <t>344</t>
  </si>
  <si>
    <t>городское поселение Загорянский</t>
  </si>
  <si>
    <t>46659152</t>
  </si>
  <si>
    <t>345</t>
  </si>
  <si>
    <t>городское поселение Монино</t>
  </si>
  <si>
    <t>46659154</t>
  </si>
  <si>
    <t>346</t>
  </si>
  <si>
    <t>городское поселение Свердловский</t>
  </si>
  <si>
    <t>46659158</t>
  </si>
  <si>
    <t>347</t>
  </si>
  <si>
    <t>городское поселение Фряново</t>
  </si>
  <si>
    <t>46659163</t>
  </si>
  <si>
    <t>348</t>
  </si>
  <si>
    <t>городское поселение Щелково</t>
  </si>
  <si>
    <t>46659101</t>
  </si>
  <si>
    <t>349</t>
  </si>
  <si>
    <t>сельское поселение Анискинское</t>
  </si>
  <si>
    <t>46659402</t>
  </si>
  <si>
    <t>350</t>
  </si>
  <si>
    <t>сельское поселение Гребневское</t>
  </si>
  <si>
    <t>46659407</t>
  </si>
  <si>
    <t>351</t>
  </si>
  <si>
    <t>сельское поселение Медвежье-Озерское</t>
  </si>
  <si>
    <t>46659419</t>
  </si>
  <si>
    <t>352</t>
  </si>
  <si>
    <t>сельское поселение Огудневское</t>
  </si>
  <si>
    <t>46659422</t>
  </si>
  <si>
    <t>353</t>
  </si>
  <si>
    <t>сельское поселение Трубинское</t>
  </si>
  <si>
    <t>46659434</t>
  </si>
  <si>
    <t>354</t>
  </si>
  <si>
    <t>городской округ Балашиха</t>
  </si>
  <si>
    <t>46704000</t>
  </si>
  <si>
    <t>355</t>
  </si>
  <si>
    <t>городской округ Бронницы</t>
  </si>
  <si>
    <t>46705000</t>
  </si>
  <si>
    <t>356</t>
  </si>
  <si>
    <t>городской округ Власиха</t>
  </si>
  <si>
    <t>46773000</t>
  </si>
  <si>
    <t>357</t>
  </si>
  <si>
    <t>городской округ Восход</t>
  </si>
  <si>
    <t>46763000</t>
  </si>
  <si>
    <t>358</t>
  </si>
  <si>
    <t>городской округ Дзержинский</t>
  </si>
  <si>
    <t>46711000</t>
  </si>
  <si>
    <t>359</t>
  </si>
  <si>
    <t>городской округ Долгопрудный</t>
  </si>
  <si>
    <t>46716000</t>
  </si>
  <si>
    <t>360</t>
  </si>
  <si>
    <t>городской округ Домодедово</t>
  </si>
  <si>
    <t>46709000</t>
  </si>
  <si>
    <t>361</t>
  </si>
  <si>
    <t>городской округ Дубна</t>
  </si>
  <si>
    <t>46718000</t>
  </si>
  <si>
    <t>362</t>
  </si>
  <si>
    <t>городской округ Егорьевск</t>
  </si>
  <si>
    <t>46722000</t>
  </si>
  <si>
    <t>363</t>
  </si>
  <si>
    <t>городской округ Железнодорожный</t>
  </si>
  <si>
    <t>46724000</t>
  </si>
  <si>
    <t>364</t>
  </si>
  <si>
    <t>городской округ Жуковский</t>
  </si>
  <si>
    <t>46725000</t>
  </si>
  <si>
    <t>365</t>
  </si>
  <si>
    <t>городской округ Звездный городок</t>
  </si>
  <si>
    <t>46774000</t>
  </si>
  <si>
    <t>366</t>
  </si>
  <si>
    <t>городской округ Звенигород</t>
  </si>
  <si>
    <t>46730000</t>
  </si>
  <si>
    <t>367</t>
  </si>
  <si>
    <t>городской округ Ивантеевка</t>
  </si>
  <si>
    <t>46732000</t>
  </si>
  <si>
    <t>368</t>
  </si>
  <si>
    <t>городской округ Кашира</t>
  </si>
  <si>
    <t>46735000</t>
  </si>
  <si>
    <t>369</t>
  </si>
  <si>
    <t>городской округ Климовск</t>
  </si>
  <si>
    <t>46736000</t>
  </si>
  <si>
    <t>370</t>
  </si>
  <si>
    <t>городской округ Королев</t>
  </si>
  <si>
    <t>46734000</t>
  </si>
  <si>
    <t>371</t>
  </si>
  <si>
    <t>городской округ Котельники</t>
  </si>
  <si>
    <t>46739000</t>
  </si>
  <si>
    <t>372</t>
  </si>
  <si>
    <t>городской округ Красноармейск</t>
  </si>
  <si>
    <t>46743000</t>
  </si>
  <si>
    <t>373</t>
  </si>
  <si>
    <t>городской округ Краснознаменск</t>
  </si>
  <si>
    <t>46706000</t>
  </si>
  <si>
    <t>374</t>
  </si>
  <si>
    <t>городской округ Лобня</t>
  </si>
  <si>
    <t>46740000</t>
  </si>
  <si>
    <t>375</t>
  </si>
  <si>
    <t>городской округ Лосино-Петровский</t>
  </si>
  <si>
    <t>46742000</t>
  </si>
  <si>
    <t>376</t>
  </si>
  <si>
    <t>городской округ Лыткарино</t>
  </si>
  <si>
    <t>46741000</t>
  </si>
  <si>
    <t>377</t>
  </si>
  <si>
    <t>городской округ Молодёжный</t>
  </si>
  <si>
    <t>46761000</t>
  </si>
  <si>
    <t>378</t>
  </si>
  <si>
    <t>городской округ Мытищи</t>
  </si>
  <si>
    <t>46746000</t>
  </si>
  <si>
    <t>379</t>
  </si>
  <si>
    <t>городской округ Озеры</t>
  </si>
  <si>
    <t>46756000</t>
  </si>
  <si>
    <t>380</t>
  </si>
  <si>
    <t>городской округ Подольск</t>
  </si>
  <si>
    <t>46760000</t>
  </si>
  <si>
    <t>381</t>
  </si>
  <si>
    <t>городской округ Протвино</t>
  </si>
  <si>
    <t>46767000</t>
  </si>
  <si>
    <t>382</t>
  </si>
  <si>
    <t>городской округ Пущино</t>
  </si>
  <si>
    <t>46762000</t>
  </si>
  <si>
    <t>383</t>
  </si>
  <si>
    <t>городской округ Реутов</t>
  </si>
  <si>
    <t>46764000</t>
  </si>
  <si>
    <t>384</t>
  </si>
  <si>
    <t>городской округ Рошаль</t>
  </si>
  <si>
    <t>46765000</t>
  </si>
  <si>
    <t>385</t>
  </si>
  <si>
    <t>городской округ Серебряные Пруды</t>
  </si>
  <si>
    <t>46772000</t>
  </si>
  <si>
    <t>386</t>
  </si>
  <si>
    <t>городской округ Серпухов</t>
  </si>
  <si>
    <t>46770000</t>
  </si>
  <si>
    <t>387</t>
  </si>
  <si>
    <t>городской округ Фрязино</t>
  </si>
  <si>
    <t>46780000</t>
  </si>
  <si>
    <t>388</t>
  </si>
  <si>
    <t>городской округ Химки</t>
  </si>
  <si>
    <t>46783000</t>
  </si>
  <si>
    <t>389</t>
  </si>
  <si>
    <t>городской округ Черноголовка</t>
  </si>
  <si>
    <t>46781000</t>
  </si>
  <si>
    <t>390</t>
  </si>
  <si>
    <t>городской округ Шаховская</t>
  </si>
  <si>
    <t>46787000</t>
  </si>
  <si>
    <t>391</t>
  </si>
  <si>
    <t>городской округ Электрогорск</t>
  </si>
  <si>
    <t>46791000</t>
  </si>
  <si>
    <t>392</t>
  </si>
  <si>
    <t>городской округ Электросталь</t>
  </si>
  <si>
    <t>46790000</t>
  </si>
  <si>
    <t>393</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</si>
  <si>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</si>
  <si>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</si>
  <si>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</si>
  <si>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</si>
  <si>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</si>
  <si>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</si>
  <si>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</si>
  <si>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</si>
  <si>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</si>
  <si>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</si>
  <si>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</si>
  <si>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</si>
  <si>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</si>
  <si>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</si>
  <si>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4189702</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</si>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</sst>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_);_(* (#,##0);_(* &quot;-&quot;_);_(@_)"/>
    <numFmt numFmtId="43" formatCode="_(* #,##0.00_);_(* (#,##0.00);_(* &quot;-&quot;??_);_(@_)"/>
    <numFmt numFmtId="44" formatCode="_(&quot;$&quot;* #,##0.00_);_(&quot;$&quot;* (#,##0.00);_(&quot;$&quot;* &quot;-&quot;??_);_(@_)"/>
    <numFmt numFmtId="164" formatCode="#,##0.000"/>
    <numFmt numFmtId="165" formatCode="000000"/>
    <numFmt numFmtId="166" formatCode="#,##0.0000"/>
    <numFmt numFmtId="167" formatCode="dd\.mm\.yyyy"/>
    <numFmt numFmtId="168" formatCode="h:mm;@"/>
    <numFmt numFmtId="169" formatCode="&quot;$&quot;#,##0_);[Red]\(&quot;$&quot;#,##0\)"/>
    <numFmt numFmtId="170" formatCode="_-* #,##0.00[$€-1]_-;\-* #,##0.00[$€-1]_-;_-* &quot;-&quot;??[$€-1]_-"/>
    <numFmt numFmtId="171" formatCode="#,##0.0"/>
  </numFmts>
  <fonts count="13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sz val="12"/>
      <color auto="1"/>
      <name val="Arial"/>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10"/>
      <color auto="1"/>
      <name val="Tahoma"/>
    </font>
    <font>
      <sz val="9"/>
      <color auto="1"/>
      <name val="Tahoma"/>
    </font>
    <font>
      <sz val="8"/>
      <color auto="1"/>
      <name val="Palatino"/>
    </font>
    <font>
      <u/>
      <sz val="10"/>
      <color rgb="FF800080"/>
      <name val="Arial Cyr"/>
    </font>
    <font>
      <u/>
      <sz val="10"/>
      <color rgb="FF0000FF"/>
      <name val="Arial Cyr"/>
    </font>
    <font>
      <sz val="8"/>
      <color auto="1"/>
      <name val="Helv"/>
    </font>
    <font>
      <sz val="11"/>
      <color auto="1"/>
      <name val="Tahoma"/>
    </font>
    <font>
      <sz val="11"/>
      <color rgb="FF333399"/>
      <name val="Calibri"/>
    </font>
    <font>
      <b/>
      <u/>
      <sz val="11"/>
      <color rgb="FF0000FF"/>
      <name val="Arial"/>
    </font>
    <font>
      <u/>
      <sz val="9"/>
      <color rgb="FF0000FF"/>
      <name val="Tahoma"/>
    </font>
    <font>
      <u/>
      <sz val="9"/>
      <color rgb="FF000080"/>
      <name val="Tahoma"/>
    </font>
    <font>
      <b/>
      <u/>
      <sz val="9"/>
      <color rgb="FF0000FF"/>
      <name val="Tahoma"/>
    </font>
    <font>
      <u/>
      <sz val="9"/>
      <color rgb="FF333399"/>
      <name val="Tahoma"/>
    </font>
    <font>
      <b/>
      <sz val="14"/>
      <color auto="1"/>
      <name val="Franklin Gothic Medium"/>
    </font>
    <font>
      <b/>
      <sz val="9"/>
      <color auto="1"/>
      <name val="Tahoma"/>
    </font>
    <font>
      <sz val="11"/>
      <color rgb="FF000000"/>
      <name val="Calibri"/>
    </font>
    <font>
      <sz val="10"/>
      <color auto="1"/>
      <name val="Arial Cyr"/>
    </font>
    <font>
      <sz val="9"/>
      <color rgb="FF00FF00"/>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9"/>
      <color theme="0"/>
      <name val="Tahoma"/>
    </font>
    <font>
      <sz val="1"/>
      <color theme="0"/>
      <name val="Tahoma"/>
    </font>
    <font>
      <b/>
      <sz val="1"/>
      <color theme="0"/>
      <name val="Calibri"/>
    </font>
    <font>
      <sz val="8"/>
      <color rgb="FFBCBCBC"/>
      <name val="Tahoma"/>
    </font>
    <font>
      <sz val="12"/>
      <color rgb="FF000000"/>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auto="1"/>
      <name val="Tahoma"/>
    </font>
    <font>
      <u/>
      <sz val="9"/>
      <color theme="10"/>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C0C0C0"/>
      </patternFill>
    </fill>
    <fill>
      <patternFill patternType="solid">
        <fgColor rgb="FF969696"/>
      </patternFill>
    </fill>
    <fill>
      <patternFill patternType="solid">
        <fgColor rgb="FF00FF00"/>
      </patternFill>
    </fill>
    <fill>
      <patternFill patternType="solid">
        <fgColor rgb="FFFFFFFF"/>
      </patternFill>
    </fill>
    <fill>
      <patternFill patternType="solid">
        <fgColor rgb="FFD7EAD3"/>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8">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808080"/>
      </left>
      <right style="thin">
        <color rgb="FF808080"/>
      </right>
      <top style="thin">
        <color rgb="FF808080"/>
      </top>
      <bottom style="thin">
        <color rgb="FF808080"/>
      </bottom>
    </border>
    <border>
      <left style="thick">
        <color rgb="FF808080"/>
      </left>
      <right style="thick">
        <color rgb="FF808080"/>
      </right>
      <top style="thick">
        <color rgb="FF808080"/>
      </top>
      <bottom style="thick">
        <color rgb="FF808080"/>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80">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169"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0" fontId="20" fillId="0" borderId="0" applyFont="1" applyFill="0" applyBorder="0" applyNumberFormat="1"/>
    <xf numFmtId="38" fontId="21" fillId="0" borderId="0" applyFont="1" applyFill="0" applyBorder="0" applyNumberFormat="1">
      <alignment vertical="top"/>
    </xf>
    <xf numFmtId="0" fontId="22" fillId="0" borderId="10" applyFont="1" applyFill="0" applyBorder="1">
      <alignment vertical="top"/>
      <protection locked="0"/>
    </xf>
    <xf numFmtId="171" fontId="23" fillId="33" borderId="0" applyFont="1" applyFill="1" applyBorder="0" applyNumberFormat="1">
      <protection locked="0"/>
    </xf>
    <xf numFmtId="0" fontId="24" fillId="0" borderId="0" applyFont="1" applyFill="0" applyBorder="0">
      <alignment vertical="center"/>
    </xf>
    <xf numFmtId="164" fontId="23" fillId="33" borderId="0" applyFont="1" applyFill="1" applyBorder="0" applyNumberFormat="1">
      <protection locked="0"/>
    </xf>
    <xf numFmtId="166" fontId="23" fillId="33" borderId="0" applyFont="1" applyFill="1" applyBorder="0" applyNumberFormat="1">
      <protection locked="0"/>
    </xf>
    <xf numFmtId="0" fontId="25" fillId="0" borderId="0" applyFont="1" applyFill="0" applyBorder="0">
      <alignment vertical="top"/>
    </xf>
    <xf numFmtId="0" fontId="22" fillId="34" borderId="10" applyFont="1" applyFill="1" applyBorder="1">
      <alignment vertical="top"/>
    </xf>
    <xf numFmtId="0" fontId="26" fillId="0" borderId="0" applyFont="1" applyFill="0" applyBorder="0">
      <alignment vertical="top"/>
    </xf>
    <xf numFmtId="0" fontId="27" fillId="0" borderId="0" applyFont="1" applyFill="0" applyBorder="0"/>
    <xf numFmtId="0" fontId="28" fillId="35" borderId="11" applyFont="1" applyFill="1" applyBorder="1">
      <alignment horizontal="center" vertical="center"/>
    </xf>
    <xf numFmtId="0" fontId="29" fillId="30" borderId="10" applyFont="1" applyFill="1" applyBorder="1">
      <alignment vertical="top"/>
    </xf>
    <xf numFmtId="0" fontId="30" fillId="0" borderId="0" applyFont="1" applyFill="0" applyBorder="0">
      <alignment vertical="top"/>
    </xf>
    <xf numFmtId="0" fontId="31" fillId="0" borderId="0" applyFont="1" applyFill="0" applyBorder="0">
      <alignment vertical="top"/>
    </xf>
    <xf numFmtId="0" fontId="32" fillId="0" borderId="0" applyFont="1" applyFill="0" applyBorder="0">
      <alignment vertical="top"/>
    </xf>
    <xf numFmtId="0" fontId="33" fillId="0" borderId="0" applyFont="1" applyFill="0" applyBorder="0">
      <alignment vertical="top"/>
    </xf>
    <xf numFmtId="0" fontId="34" fillId="0" borderId="0" applyFont="1" applyFill="0" applyBorder="0">
      <alignment vertical="top"/>
    </xf>
    <xf numFmtId="0" fontId="35" fillId="0" borderId="0" applyFont="1" applyFill="0" applyBorder="0">
      <alignment horizontal="center" vertical="center" wrapText="1"/>
    </xf>
    <xf numFmtId="0" fontId="36" fillId="0" borderId="0" applyFont="1" applyFill="0" applyBorder="0">
      <alignment horizontal="center" vertical="center" wrapText="1"/>
    </xf>
    <xf numFmtId="4" fontId="23" fillId="33" borderId="0" applyFont="1" applyFill="1" applyBorder="0" applyNumberFormat="1">
      <alignment horizontal="right"/>
    </xf>
    <xf numFmtId="49" fontId="23" fillId="0" borderId="0" applyFont="1" applyFill="0" applyBorder="0" applyNumberFormat="1">
      <alignment vertical="top"/>
    </xf>
    <xf numFmtId="0" fontId="1" fillId="0" borderId="0" applyFont="1" applyFill="0" applyBorder="0"/>
    <xf numFmtId="0" fontId="37" fillId="0" borderId="0" applyFont="1" applyFill="0" applyBorder="0"/>
    <xf numFmtId="49" fontId="0" fillId="0" borderId="0" applyFont="1" applyFill="0" applyBorder="0" applyNumberFormat="1">
      <alignment vertical="top"/>
    </xf>
    <xf numFmtId="0" fontId="38" fillId="0" borderId="0" applyFont="1" applyFill="0" applyBorder="0"/>
    <xf numFmtId="0" fontId="39" fillId="36" borderId="0" applyFont="1" applyFill="1" applyBorder="0">
      <alignment vertical="top"/>
    </xf>
    <xf numFmtId="49" fontId="39" fillId="0" borderId="0" applyFont="1" applyFill="0" applyBorder="0" applyNumberFormat="1">
      <alignment vertical="top"/>
    </xf>
    <xf numFmtId="0" fontId="22" fillId="0" borderId="0" applyFont="1" applyFill="0" applyBorder="0">
      <alignment wrapText="1"/>
    </xf>
    <xf numFmtId="49" fontId="23" fillId="36" borderId="0" applyFont="1" applyFill="1" applyBorder="0" applyNumberFormat="1">
      <alignment vertical="top"/>
    </xf>
    <xf numFmtId="49" fontId="0" fillId="37" borderId="0" applyFont="1" applyFill="1" applyBorder="0" applyNumberFormat="1">
      <alignment vertical="top"/>
    </xf>
  </cellStyleXfs>
  <cellXfs count="21040">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169"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ill="1" applyBorder="1">
      <alignment vertical="top"/>
    </xf>
    <xf numFmtId="0" fontId="16" fillId="27" borderId="8" xfId="43" applyFont="1" applyFill="1" applyBorder="1">
      <alignment vertical="top"/>
    </xf>
    <xf numFmtId="9" fontId="6" fillId="0" borderId="0" xfId="44"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0" fontId="20" fillId="0" borderId="0" xfId="49" applyFont="1" applyNumberFormat="1"/>
    <xf numFmtId="38" fontId="21" fillId="0" borderId="0" xfId="50" applyFont="1" applyNumberFormat="1">
      <alignment vertical="top"/>
    </xf>
    <xf numFmtId="0" fontId="22" fillId="0" borderId="10" xfId="51" applyFont="1" applyBorder="1">
      <alignment vertical="top"/>
      <protection locked="0"/>
    </xf>
    <xf numFmtId="171" fontId="23" fillId="33" borderId="0" xfId="52" applyFont="1" applyFill="1" applyNumberFormat="1">
      <protection locked="0"/>
    </xf>
    <xf numFmtId="0" fontId="24" fillId="0" borderId="0" xfId="53" applyFont="1">
      <alignment vertical="center"/>
    </xf>
    <xf numFmtId="164" fontId="23" fillId="33" borderId="0" xfId="54" applyFont="1" applyFill="1" applyNumberFormat="1">
      <protection locked="0"/>
    </xf>
    <xf numFmtId="166" fontId="23" fillId="33" borderId="0" xfId="55" applyFont="1" applyFill="1" applyNumberFormat="1">
      <protection locked="0"/>
    </xf>
    <xf numFmtId="0" fontId="25" fillId="0" borderId="0" xfId="56" applyFont="1">
      <alignment vertical="top"/>
    </xf>
    <xf numFmtId="0" fontId="22" fillId="34" borderId="10" xfId="57" applyFont="1" applyFill="1" applyBorder="1">
      <alignment vertical="top"/>
    </xf>
    <xf numFmtId="0" fontId="26" fillId="0" borderId="0" xfId="58" applyFont="1">
      <alignment vertical="top"/>
    </xf>
    <xf numFmtId="0" fontId="27" fillId="0" borderId="0" xfId="59" applyFont="1"/>
    <xf numFmtId="0" fontId="28" fillId="35" borderId="11" xfId="60" applyFont="1" applyFill="1" applyBorder="1">
      <alignment horizontal="center" vertical="center"/>
    </xf>
    <xf numFmtId="0" fontId="29" fillId="30" borderId="10" xfId="61" applyFont="1" applyFill="1" applyBorder="1">
      <alignment vertical="top"/>
    </xf>
    <xf numFmtId="0" fontId="30" fillId="0" borderId="0" xfId="62" applyFont="1">
      <alignment vertical="top"/>
    </xf>
    <xf numFmtId="0" fontId="31" fillId="0" borderId="0" xfId="63" applyFont="1">
      <alignment vertical="top"/>
    </xf>
    <xf numFmtId="0" fontId="32" fillId="0" borderId="0" xfId="64" applyFont="1">
      <alignment vertical="top"/>
    </xf>
    <xf numFmtId="0" fontId="33" fillId="0" borderId="0" xfId="65" applyFont="1">
      <alignment vertical="top"/>
    </xf>
    <xf numFmtId="0" fontId="34" fillId="0" borderId="0" xfId="66" applyFont="1">
      <alignment vertical="top"/>
    </xf>
    <xf numFmtId="0" fontId="35" fillId="0" borderId="0" xfId="67" applyFont="1">
      <alignment horizontal="center" vertical="center" wrapText="1"/>
    </xf>
    <xf numFmtId="0" fontId="36" fillId="0" borderId="0" xfId="68" applyFont="1">
      <alignment horizontal="center" vertical="center" wrapText="1"/>
    </xf>
    <xf numFmtId="4" fontId="23" fillId="33" borderId="0" xfId="69" applyFont="1" applyFill="1" applyNumberFormat="1">
      <alignment horizontal="right"/>
    </xf>
    <xf numFmtId="49" fontId="23" fillId="0" borderId="0" xfId="70" applyFont="1" applyNumberFormat="1">
      <alignment vertical="top"/>
    </xf>
    <xf numFmtId="0" fontId="1" fillId="0" borderId="0" xfId="71" applyFont="1"/>
    <xf numFmtId="0" fontId="37" fillId="0" borderId="0" xfId="72" applyFont="1"/>
    <xf numFmtId="49" fontId="0" fillId="0" borderId="0" xfId="73" applyFont="1" applyNumberFormat="1">
      <alignment vertical="top"/>
    </xf>
    <xf numFmtId="0" fontId="38" fillId="0" borderId="0" xfId="74" applyFont="1"/>
    <xf numFmtId="0" fontId="39" fillId="36" borderId="0" xfId="75" applyFont="1" applyFill="1">
      <alignment vertical="top"/>
    </xf>
    <xf numFmtId="49" fontId="39" fillId="0" borderId="0" xfId="76" applyFont="1" applyNumberFormat="1">
      <alignment vertical="top"/>
    </xf>
    <xf numFmtId="0" fontId="22" fillId="0" borderId="0" xfId="77" applyFont="1">
      <alignment wrapText="1"/>
    </xf>
    <xf numFmtId="49" fontId="23" fillId="36" borderId="0" xfId="78" applyFont="1" applyFill="1" applyNumberFormat="1">
      <alignment vertical="top"/>
    </xf>
    <xf numFmtId="49" fontId="0" fillId="37" borderId="0" xfId="79" applyFont="1" applyFill="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2" fillId="14" borderId="0" xfId="13" applyFont="1" applyFill="1" applyNumberFormat="1">
      <alignment vertical="top"/>
    </xf>
    <xf numFmtId="0" fontId="2" fillId="15" borderId="0" xfId="14" applyFont="1" applyFill="1" applyNumberFormat="1">
      <alignment vertical="top"/>
    </xf>
    <xf numFmtId="0" fontId="2" fillId="16" borderId="0" xfId="15" applyFont="1" applyFill="1" applyNumberFormat="1">
      <alignment vertical="top"/>
    </xf>
    <xf numFmtId="0" fontId="2" fillId="17" borderId="0" xfId="16" applyFont="1" applyFill="1" applyNumberFormat="1">
      <alignment vertical="top"/>
    </xf>
    <xf numFmtId="0" fontId="2" fillId="18" borderId="0" xfId="17" applyFont="1" applyFill="1" applyNumberFormat="1">
      <alignment vertical="top"/>
    </xf>
    <xf numFmtId="0" fontId="2"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43" fontId="37" fillId="0" borderId="0" xfId="28" applyFont="1" applyNumberFormat="1">
      <alignment vertical="top"/>
    </xf>
    <xf numFmtId="41" fontId="37" fillId="0" borderId="0" xfId="29" applyFont="1" applyNumberFormat="1">
      <alignment vertical="top"/>
    </xf>
    <xf numFmtId="44" fontId="37" fillId="0" borderId="0" xfId="30" applyFont="1" applyNumberFormat="1">
      <alignment vertical="top"/>
    </xf>
    <xf numFmtId="169" fontId="37"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7" fillId="32" borderId="7" xfId="42" applyFont="1" applyFill="1" applyBorder="1" applyNumberFormat="1">
      <alignment vertical="top"/>
    </xf>
    <xf numFmtId="0" fontId="16" fillId="27" borderId="8" xfId="43" applyFont="1" applyFill="1" applyBorder="1" applyNumberFormat="1">
      <alignment vertical="top"/>
    </xf>
    <xf numFmtId="9" fontId="37"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2" fillId="0" borderId="10" xfId="51" applyFont="1" applyBorder="1" applyNumberFormat="1">
      <alignment vertical="top"/>
      <protection locked="0"/>
    </xf>
    <xf numFmtId="0" fontId="24" fillId="0" borderId="0" xfId="0" applyFont="1" applyNumberFormat="1">
      <alignment vertical="center"/>
    </xf>
    <xf numFmtId="0" fontId="25" fillId="0" borderId="0" xfId="56" applyFont="1" applyNumberFormat="1">
      <alignment vertical="top"/>
    </xf>
    <xf numFmtId="0" fontId="22" fillId="34" borderId="10" xfId="57" applyFont="1" applyFill="1" applyBorder="1" applyNumberFormat="1">
      <alignment vertical="top"/>
    </xf>
    <xf numFmtId="0" fontId="26" fillId="0" borderId="0" xfId="58" applyFont="1" applyNumberFormat="1">
      <alignment vertical="top"/>
    </xf>
    <xf numFmtId="0" fontId="27" fillId="0" borderId="0" xfId="59" applyFont="1" applyNumberFormat="1"/>
    <xf numFmtId="0" fontId="28" fillId="35" borderId="11" xfId="60" applyFont="1" applyFill="1" applyBorder="1" applyNumberFormat="1">
      <alignment horizontal="center" vertical="center"/>
    </xf>
    <xf numFmtId="0" fontId="29" fillId="30" borderId="10" xfId="61" applyFont="1" applyFill="1" applyBorder="1" applyNumberFormat="1">
      <alignment vertical="top"/>
    </xf>
    <xf numFmtId="0" fontId="30" fillId="0" borderId="0" xfId="62" applyFont="1" applyNumberFormat="1">
      <alignment vertical="top"/>
    </xf>
    <xf numFmtId="0" fontId="31" fillId="0" borderId="0" xfId="63" applyFont="1" applyNumberFormat="1">
      <alignment vertical="top"/>
    </xf>
    <xf numFmtId="0" fontId="32" fillId="0" borderId="0" xfId="64" applyFont="1" applyNumberFormat="1">
      <alignment vertical="top"/>
    </xf>
    <xf numFmtId="0" fontId="33" fillId="0" borderId="0" xfId="65" applyFont="1" applyNumberFormat="1">
      <alignment vertical="top"/>
    </xf>
    <xf numFmtId="0" fontId="34" fillId="0" borderId="0" xfId="66" applyFont="1" applyNumberFormat="1">
      <alignment vertical="top"/>
    </xf>
    <xf numFmtId="0" fontId="35" fillId="0" borderId="0" xfId="67" applyFont="1" applyNumberFormat="1">
      <alignment horizontal="center" vertical="center" wrapText="1"/>
    </xf>
    <xf numFmtId="0" fontId="36" fillId="0" borderId="0" xfId="68" applyFont="1" applyNumberFormat="1">
      <alignment horizontal="center" vertical="center" wrapText="1"/>
    </xf>
    <xf numFmtId="0" fontId="1" fillId="0" borderId="0" xfId="0" applyFont="1" applyNumberFormat="1"/>
    <xf numFmtId="0" fontId="37" fillId="0" borderId="0" xfId="0" applyFont="1" applyNumberFormat="1"/>
    <xf numFmtId="49" fontId="0" fillId="0" borderId="0" xfId="73" applyFont="1" applyNumberFormat="1">
      <alignment vertical="top"/>
    </xf>
    <xf numFmtId="0" fontId="38" fillId="0" borderId="0" xfId="0" applyFont="1" applyNumberFormat="1"/>
    <xf numFmtId="0" fontId="39" fillId="36" borderId="0" xfId="75" applyFont="1" applyFill="1" applyNumberFormat="1">
      <alignment vertical="top"/>
    </xf>
    <xf numFmtId="0" fontId="22" fillId="0" borderId="0" xfId="0" applyFont="1" applyNumberFormat="1">
      <alignment wrapText="1"/>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2" fillId="14" borderId="0" xfId="13" applyFont="1" applyFill="1" applyNumberFormat="1">
      <alignment vertical="top"/>
    </xf>
    <xf numFmtId="0" fontId="2" fillId="15" borderId="0" xfId="14" applyFont="1" applyFill="1" applyNumberFormat="1">
      <alignment vertical="top"/>
    </xf>
    <xf numFmtId="0" fontId="2" fillId="16" borderId="0" xfId="15" applyFont="1" applyFill="1" applyNumberFormat="1">
      <alignment vertical="top"/>
    </xf>
    <xf numFmtId="0" fontId="2" fillId="17" borderId="0" xfId="16" applyFont="1" applyFill="1" applyNumberFormat="1">
      <alignment vertical="top"/>
    </xf>
    <xf numFmtId="0" fontId="2" fillId="18" borderId="0" xfId="17" applyFont="1" applyFill="1" applyNumberFormat="1">
      <alignment vertical="top"/>
    </xf>
    <xf numFmtId="0" fontId="2"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43" fontId="37" fillId="0" borderId="0" xfId="28" applyFont="1" applyNumberFormat="1">
      <alignment vertical="top"/>
    </xf>
    <xf numFmtId="41" fontId="37" fillId="0" borderId="0" xfId="29" applyFont="1" applyNumberFormat="1">
      <alignment vertical="top"/>
    </xf>
    <xf numFmtId="44" fontId="37" fillId="0" borderId="0" xfId="30" applyFont="1" applyNumberFormat="1">
      <alignment vertical="top"/>
    </xf>
    <xf numFmtId="169" fontId="37"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7" fillId="32" borderId="7" xfId="42" applyFont="1" applyFill="1" applyBorder="1" applyNumberFormat="1">
      <alignment vertical="top"/>
    </xf>
    <xf numFmtId="0" fontId="16" fillId="27" borderId="8" xfId="43" applyFont="1" applyFill="1" applyBorder="1" applyNumberFormat="1">
      <alignment vertical="top"/>
    </xf>
    <xf numFmtId="9" fontId="37"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2" fillId="0" borderId="10" xfId="51" applyFont="1" applyBorder="1" applyNumberFormat="1">
      <alignment vertical="top"/>
      <protection locked="0"/>
    </xf>
    <xf numFmtId="0" fontId="24" fillId="0" borderId="0" xfId="0" applyFont="1" applyNumberFormat="1">
      <alignment vertical="center"/>
    </xf>
    <xf numFmtId="0" fontId="25" fillId="0" borderId="0" xfId="56" applyFont="1" applyNumberFormat="1">
      <alignment vertical="top"/>
    </xf>
    <xf numFmtId="0" fontId="22" fillId="34" borderId="10" xfId="57" applyFont="1" applyFill="1" applyBorder="1" applyNumberFormat="1">
      <alignment vertical="top"/>
    </xf>
    <xf numFmtId="0" fontId="26" fillId="0" borderId="0" xfId="58" applyFont="1" applyNumberFormat="1">
      <alignment vertical="top"/>
    </xf>
    <xf numFmtId="0" fontId="27" fillId="0" borderId="0" xfId="59" applyFont="1" applyNumberFormat="1"/>
    <xf numFmtId="0" fontId="28" fillId="35" borderId="11" xfId="60" applyFont="1" applyFill="1" applyBorder="1" applyNumberFormat="1">
      <alignment horizontal="center" vertical="center"/>
    </xf>
    <xf numFmtId="0" fontId="29" fillId="30" borderId="10" xfId="61" applyFont="1" applyFill="1" applyBorder="1" applyNumberFormat="1">
      <alignment vertical="top"/>
    </xf>
    <xf numFmtId="0" fontId="30" fillId="0" borderId="0" xfId="62" applyFont="1" applyNumberFormat="1">
      <alignment vertical="top"/>
    </xf>
    <xf numFmtId="0" fontId="31" fillId="0" borderId="0" xfId="63" applyFont="1" applyNumberFormat="1">
      <alignment vertical="top"/>
    </xf>
    <xf numFmtId="0" fontId="32" fillId="0" borderId="0" xfId="64" applyFont="1" applyNumberFormat="1">
      <alignment vertical="top"/>
    </xf>
    <xf numFmtId="0" fontId="33" fillId="0" borderId="0" xfId="65" applyFont="1" applyNumberFormat="1">
      <alignment vertical="top"/>
    </xf>
    <xf numFmtId="0" fontId="34" fillId="0" borderId="0" xfId="66" applyFont="1" applyNumberFormat="1">
      <alignment vertical="top"/>
    </xf>
    <xf numFmtId="0" fontId="35" fillId="0" borderId="0" xfId="67" applyFont="1" applyNumberFormat="1">
      <alignment horizontal="center" vertical="center" wrapText="1"/>
    </xf>
    <xf numFmtId="0" fontId="36" fillId="0" borderId="0" xfId="68" applyFont="1" applyNumberFormat="1">
      <alignment horizontal="center" vertical="center" wrapText="1"/>
    </xf>
    <xf numFmtId="0" fontId="1" fillId="0" borderId="0" xfId="0" applyFont="1" applyNumberFormat="1"/>
    <xf numFmtId="0" fontId="37" fillId="0" borderId="0" xfId="0" applyFont="1" applyNumberFormat="1"/>
    <xf numFmtId="49" fontId="0" fillId="0" borderId="0" xfId="73" applyFont="1" applyNumberFormat="1">
      <alignment vertical="top"/>
    </xf>
    <xf numFmtId="0" fontId="38" fillId="0" borderId="0" xfId="0" applyFont="1" applyNumberFormat="1"/>
    <xf numFmtId="0" fontId="39" fillId="36" borderId="0" xfId="75" applyFont="1" applyFill="1" applyNumberFormat="1">
      <alignment vertical="top"/>
    </xf>
    <xf numFmtId="0" fontId="22" fillId="0" borderId="0" xfId="0" applyFont="1" applyNumberFormat="1">
      <alignment wrapText="1"/>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2" fillId="14" borderId="0" xfId="13" applyFont="1" applyFill="1" applyNumberFormat="1">
      <alignment vertical="top"/>
    </xf>
    <xf numFmtId="0" fontId="2" fillId="15" borderId="0" xfId="14" applyFont="1" applyFill="1" applyNumberFormat="1">
      <alignment vertical="top"/>
    </xf>
    <xf numFmtId="0" fontId="2" fillId="16" borderId="0" xfId="15" applyFont="1" applyFill="1" applyNumberFormat="1">
      <alignment vertical="top"/>
    </xf>
    <xf numFmtId="0" fontId="2" fillId="17" borderId="0" xfId="16" applyFont="1" applyFill="1" applyNumberFormat="1">
      <alignment vertical="top"/>
    </xf>
    <xf numFmtId="0" fontId="2" fillId="18" borderId="0" xfId="17" applyFont="1" applyFill="1" applyNumberFormat="1">
      <alignment vertical="top"/>
    </xf>
    <xf numFmtId="0" fontId="2"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43" fontId="37" fillId="0" borderId="0" xfId="28" applyFont="1" applyNumberFormat="1">
      <alignment vertical="top"/>
    </xf>
    <xf numFmtId="41" fontId="37" fillId="0" borderId="0" xfId="29" applyFont="1" applyNumberFormat="1">
      <alignment vertical="top"/>
    </xf>
    <xf numFmtId="44" fontId="37" fillId="0" borderId="0" xfId="30" applyFont="1" applyNumberFormat="1">
      <alignment vertical="top"/>
    </xf>
    <xf numFmtId="169" fontId="37"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7" fillId="32" borderId="7" xfId="42" applyFont="1" applyFill="1" applyBorder="1" applyNumberFormat="1">
      <alignment vertical="top"/>
    </xf>
    <xf numFmtId="0" fontId="16" fillId="27" borderId="8" xfId="43" applyFont="1" applyFill="1" applyBorder="1" applyNumberFormat="1">
      <alignment vertical="top"/>
    </xf>
    <xf numFmtId="9" fontId="37"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2" fillId="0" borderId="10" xfId="51" applyFont="1" applyBorder="1" applyNumberFormat="1">
      <alignment vertical="top"/>
      <protection locked="0"/>
    </xf>
    <xf numFmtId="0" fontId="24" fillId="0" borderId="0" xfId="0" applyFont="1" applyNumberFormat="1">
      <alignment vertical="center"/>
    </xf>
    <xf numFmtId="0" fontId="25" fillId="0" borderId="0" xfId="56" applyFont="1" applyNumberFormat="1">
      <alignment vertical="top"/>
    </xf>
    <xf numFmtId="0" fontId="22" fillId="34" borderId="10" xfId="57" applyFont="1" applyFill="1" applyBorder="1" applyNumberFormat="1">
      <alignment vertical="top"/>
    </xf>
    <xf numFmtId="0" fontId="26" fillId="0" borderId="0" xfId="58" applyFont="1" applyNumberFormat="1">
      <alignment vertical="top"/>
    </xf>
    <xf numFmtId="0" fontId="27" fillId="0" borderId="0" xfId="59" applyFont="1" applyNumberFormat="1"/>
    <xf numFmtId="0" fontId="28" fillId="35" borderId="11" xfId="60" applyFont="1" applyFill="1" applyBorder="1" applyNumberFormat="1">
      <alignment horizontal="center" vertical="center"/>
    </xf>
    <xf numFmtId="0" fontId="29" fillId="30" borderId="10" xfId="61" applyFont="1" applyFill="1" applyBorder="1" applyNumberFormat="1">
      <alignment vertical="top"/>
    </xf>
    <xf numFmtId="0" fontId="30" fillId="0" borderId="0" xfId="62" applyFont="1" applyNumberFormat="1">
      <alignment vertical="top"/>
    </xf>
    <xf numFmtId="0" fontId="31" fillId="0" borderId="0" xfId="63" applyFont="1" applyNumberFormat="1">
      <alignment vertical="top"/>
    </xf>
    <xf numFmtId="0" fontId="32" fillId="0" borderId="0" xfId="64" applyFont="1" applyNumberFormat="1">
      <alignment vertical="top"/>
    </xf>
    <xf numFmtId="0" fontId="33" fillId="0" borderId="0" xfId="65" applyFont="1" applyNumberFormat="1">
      <alignment vertical="top"/>
    </xf>
    <xf numFmtId="0" fontId="34" fillId="0" borderId="0" xfId="66" applyFont="1" applyNumberFormat="1">
      <alignment vertical="top"/>
    </xf>
    <xf numFmtId="0" fontId="35" fillId="0" borderId="0" xfId="67" applyFont="1" applyNumberFormat="1">
      <alignment horizontal="center" vertical="center" wrapText="1"/>
    </xf>
    <xf numFmtId="0" fontId="36" fillId="0" borderId="0" xfId="68" applyFont="1" applyNumberFormat="1">
      <alignment horizontal="center" vertical="center" wrapText="1"/>
    </xf>
    <xf numFmtId="0" fontId="1" fillId="0" borderId="0" xfId="0" applyFont="1" applyNumberFormat="1"/>
    <xf numFmtId="0" fontId="37" fillId="0" borderId="0" xfId="0" applyFont="1" applyNumberFormat="1"/>
    <xf numFmtId="49" fontId="0" fillId="0" borderId="0" xfId="73" applyFont="1" applyNumberFormat="1">
      <alignment vertical="top"/>
    </xf>
    <xf numFmtId="0" fontId="38" fillId="0" borderId="0" xfId="0" applyFont="1" applyNumberFormat="1"/>
    <xf numFmtId="0" fontId="39" fillId="36" borderId="0" xfId="75" applyFont="1" applyFill="1" applyNumberFormat="1">
      <alignment vertical="top"/>
    </xf>
    <xf numFmtId="0" fontId="22" fillId="0" borderId="0" xfId="0" applyFont="1" applyNumberFormat="1">
      <alignment wrapText="1"/>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2" fillId="14" borderId="0" xfId="13" applyFont="1" applyFill="1" applyNumberFormat="1">
      <alignment vertical="top"/>
    </xf>
    <xf numFmtId="0" fontId="2" fillId="15" borderId="0" xfId="14" applyFont="1" applyFill="1" applyNumberFormat="1">
      <alignment vertical="top"/>
    </xf>
    <xf numFmtId="0" fontId="2" fillId="16" borderId="0" xfId="15" applyFont="1" applyFill="1" applyNumberFormat="1">
      <alignment vertical="top"/>
    </xf>
    <xf numFmtId="0" fontId="2" fillId="17" borderId="0" xfId="16" applyFont="1" applyFill="1" applyNumberFormat="1">
      <alignment vertical="top"/>
    </xf>
    <xf numFmtId="0" fontId="2" fillId="18" borderId="0" xfId="17" applyFont="1" applyFill="1" applyNumberFormat="1">
      <alignment vertical="top"/>
    </xf>
    <xf numFmtId="0" fontId="2"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43" fontId="37" fillId="0" borderId="0" xfId="28" applyFont="1" applyNumberFormat="1">
      <alignment vertical="top"/>
    </xf>
    <xf numFmtId="41" fontId="37" fillId="0" borderId="0" xfId="29" applyFont="1" applyNumberFormat="1">
      <alignment vertical="top"/>
    </xf>
    <xf numFmtId="44" fontId="37" fillId="0" borderId="0" xfId="30" applyFont="1" applyNumberFormat="1">
      <alignment vertical="top"/>
    </xf>
    <xf numFmtId="169" fontId="37"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7" fillId="32" borderId="7" xfId="42" applyFont="1" applyFill="1" applyBorder="1" applyNumberFormat="1">
      <alignment vertical="top"/>
    </xf>
    <xf numFmtId="0" fontId="16" fillId="27" borderId="8" xfId="43" applyFont="1" applyFill="1" applyBorder="1" applyNumberFormat="1">
      <alignment vertical="top"/>
    </xf>
    <xf numFmtId="9" fontId="37"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2" fillId="0" borderId="10" xfId="51" applyFont="1" applyBorder="1" applyNumberFormat="1">
      <alignment vertical="top"/>
      <protection locked="0"/>
    </xf>
    <xf numFmtId="0" fontId="24" fillId="0" borderId="0" xfId="0" applyFont="1" applyNumberFormat="1">
      <alignment vertical="center"/>
    </xf>
    <xf numFmtId="0" fontId="25" fillId="0" borderId="0" xfId="56" applyFont="1" applyNumberFormat="1">
      <alignment vertical="top"/>
    </xf>
    <xf numFmtId="0" fontId="22" fillId="34" borderId="10" xfId="57" applyFont="1" applyFill="1" applyBorder="1" applyNumberFormat="1">
      <alignment vertical="top"/>
    </xf>
    <xf numFmtId="0" fontId="26" fillId="0" borderId="0" xfId="58" applyFont="1" applyNumberFormat="1">
      <alignment vertical="top"/>
    </xf>
    <xf numFmtId="0" fontId="27" fillId="0" borderId="0" xfId="59" applyFont="1" applyNumberFormat="1"/>
    <xf numFmtId="0" fontId="28" fillId="35" borderId="11" xfId="60" applyFont="1" applyFill="1" applyBorder="1" applyNumberFormat="1">
      <alignment horizontal="center" vertical="center"/>
    </xf>
    <xf numFmtId="0" fontId="29" fillId="30" borderId="10" xfId="61" applyFont="1" applyFill="1" applyBorder="1" applyNumberFormat="1">
      <alignment vertical="top"/>
    </xf>
    <xf numFmtId="0" fontId="30" fillId="0" borderId="0" xfId="62" applyFont="1" applyNumberFormat="1">
      <alignment vertical="top"/>
    </xf>
    <xf numFmtId="0" fontId="31" fillId="0" borderId="0" xfId="63" applyFont="1" applyNumberFormat="1">
      <alignment vertical="top"/>
    </xf>
    <xf numFmtId="0" fontId="32" fillId="0" borderId="0" xfId="64" applyFont="1" applyNumberFormat="1">
      <alignment vertical="top"/>
    </xf>
    <xf numFmtId="0" fontId="33" fillId="0" borderId="0" xfId="65" applyFont="1" applyNumberFormat="1">
      <alignment vertical="top"/>
    </xf>
    <xf numFmtId="0" fontId="34" fillId="0" borderId="0" xfId="66" applyFont="1" applyNumberFormat="1">
      <alignment vertical="top"/>
    </xf>
    <xf numFmtId="0" fontId="35" fillId="0" borderId="0" xfId="67" applyFont="1" applyNumberFormat="1">
      <alignment horizontal="center" vertical="center" wrapText="1"/>
    </xf>
    <xf numFmtId="0" fontId="36" fillId="0" borderId="0" xfId="68" applyFont="1" applyNumberFormat="1">
      <alignment horizontal="center" vertical="center" wrapText="1"/>
    </xf>
    <xf numFmtId="0" fontId="1" fillId="0" borderId="0" xfId="0" applyFont="1" applyNumberFormat="1"/>
    <xf numFmtId="0" fontId="37" fillId="0" borderId="0" xfId="0" applyFont="1" applyNumberFormat="1"/>
    <xf numFmtId="49" fontId="0" fillId="0" borderId="0" xfId="73" applyFont="1" applyNumberFormat="1">
      <alignment vertical="top"/>
    </xf>
    <xf numFmtId="0" fontId="38" fillId="0" borderId="0" xfId="0" applyFont="1" applyNumberFormat="1"/>
    <xf numFmtId="0" fontId="39" fillId="36" borderId="0" xfId="75" applyFont="1" applyFill="1" applyNumberFormat="1">
      <alignment vertical="top"/>
    </xf>
    <xf numFmtId="0" fontId="22" fillId="0" borderId="0" xfId="0" applyFont="1" applyNumberFormat="1">
      <alignment wrapText="1"/>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2" fillId="14" borderId="0" xfId="13" applyFont="1" applyFill="1" applyNumberFormat="1">
      <alignment vertical="top"/>
    </xf>
    <xf numFmtId="0" fontId="2" fillId="15" borderId="0" xfId="14" applyFont="1" applyFill="1" applyNumberFormat="1">
      <alignment vertical="top"/>
    </xf>
    <xf numFmtId="0" fontId="2" fillId="16" borderId="0" xfId="15" applyFont="1" applyFill="1" applyNumberFormat="1">
      <alignment vertical="top"/>
    </xf>
    <xf numFmtId="0" fontId="2" fillId="17" borderId="0" xfId="16" applyFont="1" applyFill="1" applyNumberFormat="1">
      <alignment vertical="top"/>
    </xf>
    <xf numFmtId="0" fontId="2" fillId="18" borderId="0" xfId="17" applyFont="1" applyFill="1" applyNumberFormat="1">
      <alignment vertical="top"/>
    </xf>
    <xf numFmtId="0" fontId="2"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43" fontId="37" fillId="0" borderId="0" xfId="28" applyFont="1" applyNumberFormat="1">
      <alignment vertical="top"/>
    </xf>
    <xf numFmtId="41" fontId="37" fillId="0" borderId="0" xfId="29" applyFont="1" applyNumberFormat="1">
      <alignment vertical="top"/>
    </xf>
    <xf numFmtId="44" fontId="37" fillId="0" borderId="0" xfId="30" applyFont="1" applyNumberFormat="1">
      <alignment vertical="top"/>
    </xf>
    <xf numFmtId="169" fontId="37"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7" fillId="32" borderId="7" xfId="42" applyFont="1" applyFill="1" applyBorder="1" applyNumberFormat="1">
      <alignment vertical="top"/>
    </xf>
    <xf numFmtId="0" fontId="16" fillId="27" borderId="8" xfId="43" applyFont="1" applyFill="1" applyBorder="1" applyNumberFormat="1">
      <alignment vertical="top"/>
    </xf>
    <xf numFmtId="9" fontId="37"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2" fillId="0" borderId="10" xfId="51" applyFont="1" applyBorder="1" applyNumberFormat="1">
      <alignment vertical="top"/>
      <protection locked="0"/>
    </xf>
    <xf numFmtId="0" fontId="24" fillId="0" borderId="0" xfId="0" applyFont="1" applyNumberFormat="1">
      <alignment vertical="center"/>
    </xf>
    <xf numFmtId="0" fontId="25" fillId="0" borderId="0" xfId="56" applyFont="1" applyNumberFormat="1">
      <alignment vertical="top"/>
    </xf>
    <xf numFmtId="0" fontId="22" fillId="34" borderId="10" xfId="57" applyFont="1" applyFill="1" applyBorder="1" applyNumberFormat="1">
      <alignment vertical="top"/>
    </xf>
    <xf numFmtId="0" fontId="26" fillId="0" borderId="0" xfId="58" applyFont="1" applyNumberFormat="1">
      <alignment vertical="top"/>
    </xf>
    <xf numFmtId="0" fontId="27" fillId="0" borderId="0" xfId="59" applyFont="1" applyNumberFormat="1"/>
    <xf numFmtId="0" fontId="28" fillId="35" borderId="11" xfId="60" applyFont="1" applyFill="1" applyBorder="1" applyNumberFormat="1">
      <alignment horizontal="center" vertical="center"/>
    </xf>
    <xf numFmtId="0" fontId="29" fillId="30" borderId="10" xfId="61" applyFont="1" applyFill="1" applyBorder="1" applyNumberFormat="1">
      <alignment vertical="top"/>
    </xf>
    <xf numFmtId="0" fontId="30" fillId="0" borderId="0" xfId="62" applyFont="1" applyNumberFormat="1">
      <alignment vertical="top"/>
    </xf>
    <xf numFmtId="0" fontId="31" fillId="0" borderId="0" xfId="63" applyFont="1" applyNumberFormat="1">
      <alignment vertical="top"/>
    </xf>
    <xf numFmtId="0" fontId="32" fillId="0" borderId="0" xfId="64" applyFont="1" applyNumberFormat="1">
      <alignment vertical="top"/>
    </xf>
    <xf numFmtId="0" fontId="33" fillId="0" borderId="0" xfId="65" applyFont="1" applyNumberFormat="1">
      <alignment vertical="top"/>
    </xf>
    <xf numFmtId="0" fontId="34" fillId="0" borderId="0" xfId="66" applyFont="1" applyNumberFormat="1">
      <alignment vertical="top"/>
    </xf>
    <xf numFmtId="0" fontId="35" fillId="0" borderId="0" xfId="67" applyFont="1" applyNumberFormat="1">
      <alignment horizontal="center" vertical="center" wrapText="1"/>
    </xf>
    <xf numFmtId="0" fontId="36" fillId="0" borderId="0" xfId="68" applyFont="1" applyNumberFormat="1">
      <alignment horizontal="center" vertical="center" wrapText="1"/>
    </xf>
    <xf numFmtId="0" fontId="1" fillId="0" borderId="0" xfId="0" applyFont="1" applyNumberFormat="1"/>
    <xf numFmtId="0" fontId="37" fillId="0" borderId="0" xfId="0" applyFont="1" applyNumberFormat="1"/>
    <xf numFmtId="49" fontId="0" fillId="0" borderId="0" xfId="73" applyFont="1" applyNumberFormat="1">
      <alignment vertical="top"/>
    </xf>
    <xf numFmtId="0" fontId="38" fillId="0" borderId="0" xfId="0" applyFont="1" applyNumberFormat="1"/>
    <xf numFmtId="0" fontId="39" fillId="36" borderId="0" xfId="75" applyFont="1" applyFill="1" applyNumberFormat="1">
      <alignment vertical="top"/>
    </xf>
    <xf numFmtId="0" fontId="22" fillId="0" borderId="0" xfId="0" applyFont="1" applyNumberFormat="1">
      <alignment wrapText="1"/>
    </xf>
    <xf numFmtId="0" fontId="23" fillId="0" borderId="0" xfId="0" applyFont="1" applyNumberFormat="1">
      <alignment vertical="top" wrapText="1"/>
    </xf>
    <xf numFmtId="49" fontId="0" fillId="0" borderId="0" xfId="0" applyFont="1" applyNumberFormat="1">
      <alignment vertical="top"/>
    </xf>
    <xf numFmtId="49" fontId="23" fillId="38" borderId="12" xfId="0" applyFont="1" applyFill="1" applyBorder="1" applyNumberFormat="1">
      <alignment horizontal="center" vertical="top"/>
    </xf>
    <xf numFmtId="49" fontId="0" fillId="0" borderId="0" xfId="0" applyFont="1" applyNumberFormat="1">
      <alignment vertical="top"/>
    </xf>
    <xf numFmtId="0" fontId="23" fillId="0" borderId="0" xfId="0" applyFont="1" applyNumberFormat="1"/>
    <xf numFmtId="0" fontId="23" fillId="37" borderId="0" xfId="0" applyFont="1" applyFill="1" applyNumberFormat="1"/>
    <xf numFmtId="0" fontId="40" fillId="0" borderId="0" xfId="0" applyFont="1" applyNumberFormat="1">
      <alignment vertical="center" wrapText="1"/>
    </xf>
    <xf numFmtId="0" fontId="41" fillId="0" borderId="0" xfId="0" applyFont="1" applyNumberFormat="1">
      <alignment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42" fillId="37" borderId="0" xfId="0" applyFont="1" applyFill="1" applyNumberFormat="1">
      <alignment vertical="center" wrapText="1"/>
    </xf>
    <xf numFmtId="0" fontId="23" fillId="37" borderId="0" xfId="0" applyFont="1" applyFill="1" applyNumberFormat="1">
      <alignment horizontal="right" vertical="center" wrapText="1" indent="1"/>
    </xf>
    <xf numFmtId="0" fontId="23" fillId="37" borderId="0" xfId="0" applyFont="1" applyFill="1" applyNumberFormat="1">
      <alignment horizontal="center" vertical="center" wrapText="1"/>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0" fontId="23" fillId="0" borderId="0" xfId="0" applyFont="1" applyNumberFormat="1">
      <alignment vertical="center"/>
    </xf>
    <xf numFmtId="49" fontId="23" fillId="37" borderId="0" xfId="0" applyFont="1" applyFill="1" applyNumberFormat="1">
      <alignment horizontal="right" vertical="center" wrapText="1" indent="1"/>
    </xf>
    <xf numFmtId="49" fontId="42" fillId="37" borderId="0" xfId="0" applyFont="1" applyFill="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49" fontId="0" fillId="37" borderId="0" xfId="0" applyFont="1" applyFill="1" applyNumberFormat="1">
      <alignment horizontal="right" vertical="center" wrapText="1" indent="1"/>
    </xf>
    <xf numFmtId="49" fontId="44" fillId="37"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45" fillId="37" borderId="0" xfId="0" applyFont="1" applyFill="1" applyNumberFormat="1">
      <alignment horizontal="center" vertical="center" wrapText="1"/>
    </xf>
    <xf numFmtId="0" fontId="45" fillId="0" borderId="0" xfId="0" applyFont="1" applyNumberFormat="1">
      <alignment horizontal="center" vertical="center"/>
    </xf>
    <xf numFmtId="0" fontId="45" fillId="37" borderId="0" xfId="0" applyFont="1" applyFill="1" applyNumberFormat="1">
      <alignment horizontal="center" vertical="center"/>
    </xf>
    <xf numFmtId="49" fontId="46" fillId="0" borderId="13" xfId="0" applyFont="1" applyBorder="1" applyNumberFormat="1">
      <alignment vertical="top" wrapText="1"/>
    </xf>
    <xf numFmtId="0" fontId="0" fillId="0" borderId="13" xfId="0" applyFont="1" applyBorder="1" applyNumberFormat="1">
      <alignment vertical="top" wrapText="1"/>
    </xf>
    <xf numFmtId="0" fontId="38" fillId="0" borderId="0" xfId="0" applyFont="1" applyNumberFormat="1"/>
    <xf numFmtId="0" fontId="23" fillId="37" borderId="0" xfId="0" applyFont="1" applyFill="1" applyNumberFormat="1">
      <alignment horizontal="center" vertical="center" wrapText="1"/>
    </xf>
    <xf numFmtId="0" fontId="47" fillId="37" borderId="0" xfId="0" applyFont="1" applyFill="1" applyNumberFormat="1">
      <alignment vertical="center" wrapText="1"/>
    </xf>
    <xf numFmtId="0" fontId="47" fillId="0" borderId="0" xfId="0" applyFont="1" applyNumberFormat="1">
      <alignment vertical="center" wrapText="1"/>
    </xf>
    <xf numFmtId="0" fontId="40" fillId="0" borderId="0" xfId="0" applyFont="1" applyNumberFormat="1">
      <alignment horizontal="left" vertical="center" wrapText="1"/>
    </xf>
    <xf numFmtId="49" fontId="40" fillId="0" borderId="0" xfId="0" applyFont="1" applyNumberFormat="1">
      <alignment horizontal="left" vertical="center" wrapText="1"/>
    </xf>
    <xf numFmtId="0" fontId="0" fillId="0" borderId="0" xfId="0" applyFont="1" applyNumberFormat="1">
      <alignment vertical="top"/>
    </xf>
    <xf numFmtId="49" fontId="23" fillId="0" borderId="0" xfId="0" applyFont="1" applyNumberFormat="1">
      <alignment vertical="center" wrapText="1"/>
    </xf>
    <xf numFmtId="49" fontId="23" fillId="0" borderId="0" xfId="0" applyFont="1" applyNumberFormat="1">
      <alignment vertical="top"/>
    </xf>
    <xf numFmtId="0" fontId="23" fillId="0" borderId="0" xfId="0" applyFont="1" applyNumberFormat="1">
      <alignment vertical="center" wrapText="1"/>
    </xf>
    <xf numFmtId="0" fontId="0" fillId="0" borderId="0" xfId="0" applyFont="1" applyNumberFormat="1">
      <alignment vertical="center"/>
    </xf>
    <xf numFmtId="0" fontId="23" fillId="37" borderId="14" xfId="0" applyFont="1" applyFill="1" applyBorder="1" applyNumberFormat="1">
      <alignment horizontal="center" vertical="center" wrapText="1"/>
    </xf>
    <xf numFmtId="49" fontId="23" fillId="39" borderId="14" xfId="0" applyFont="1" applyFill="1" applyBorder="1" applyNumberFormat="1">
      <alignment horizontal="left" vertical="center" wrapText="1"/>
      <protection locked="0"/>
    </xf>
    <xf numFmtId="49" fontId="48" fillId="40" borderId="15" xfId="0" applyFont="1" applyFill="1" applyBorder="1" applyNumberFormat="1">
      <alignment horizontal="left" vertical="center"/>
    </xf>
    <xf numFmtId="0" fontId="0" fillId="0" borderId="14" xfId="0" applyFont="1" applyBorder="1" applyNumberFormat="1">
      <alignment horizontal="center" vertical="center" wrapText="1"/>
    </xf>
    <xf numFmtId="0" fontId="23" fillId="40" borderId="16" xfId="0" applyFont="1" applyFill="1" applyBorder="1" applyNumberFormat="1">
      <alignment vertical="center" wrapText="1"/>
    </xf>
    <xf numFmtId="0" fontId="23" fillId="0" borderId="14" xfId="0" applyFont="1" applyBorder="1" applyNumberFormat="1">
      <alignment horizontal="center" vertical="center" wrapText="1"/>
    </xf>
    <xf numFmtId="0" fontId="49" fillId="0" borderId="0" xfId="0" applyFont="1" applyNumberFormat="1">
      <alignment vertical="center"/>
    </xf>
    <xf numFmtId="49" fontId="23" fillId="0" borderId="14" xfId="0" applyFont="1" applyBorder="1" applyNumberFormat="1">
      <alignment horizontal="center" vertical="center" wrapText="1"/>
    </xf>
    <xf numFmtId="0" fontId="23" fillId="37" borderId="14" xfId="0" applyFont="1" applyFill="1" applyBorder="1" applyNumberFormat="1">
      <alignment horizontal="center" vertical="center"/>
    </xf>
    <xf numFmtId="49" fontId="23" fillId="39" borderId="14" xfId="0" applyFont="1" applyFill="1" applyBorder="1" applyNumberFormat="1">
      <alignment horizontal="left" vertical="center" wrapText="1"/>
      <protection locked="0"/>
    </xf>
    <xf numFmtId="0" fontId="40" fillId="0" borderId="0" xfId="0" applyFont="1" applyNumberFormat="1">
      <alignment vertical="center" wrapText="1"/>
    </xf>
    <xf numFmtId="0" fontId="50" fillId="0" borderId="0" xfId="0" applyFont="1" applyNumberFormat="1">
      <alignment vertical="center" wrapText="1"/>
    </xf>
    <xf numFmtId="49" fontId="23" fillId="0" borderId="0" xfId="0" applyFont="1" applyNumberFormat="1">
      <alignment vertical="top"/>
    </xf>
    <xf numFmtId="49" fontId="40"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xf>
    <xf numFmtId="49" fontId="23" fillId="0" borderId="0" xfId="0" applyFont="1" applyNumberFormat="1">
      <alignment vertical="top"/>
    </xf>
    <xf numFmtId="0" fontId="23" fillId="37" borderId="0" xfId="0" applyFont="1" applyFill="1" applyNumberFormat="1"/>
    <xf numFmtId="0" fontId="51" fillId="37" borderId="0" xfId="0" applyFont="1" applyFill="1" applyNumberFormat="1">
      <alignment horizontal="center" vertical="center" wrapText="1"/>
    </xf>
    <xf numFmtId="0" fontId="40" fillId="37" borderId="0" xfId="0" applyFont="1" applyFill="1" applyNumberFormat="1"/>
    <xf numFmtId="49" fontId="23" fillId="0" borderId="0" xfId="0" applyFont="1" applyNumberFormat="1">
      <alignment vertical="top"/>
    </xf>
    <xf numFmtId="49" fontId="45" fillId="0" borderId="0" xfId="0" applyFont="1" applyNumberFormat="1">
      <alignment horizontal="center" vertical="center" wrapText="1"/>
    </xf>
    <xf numFmtId="0" fontId="23"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52" fillId="40" borderId="17" xfId="0" applyFont="1" applyFill="1" applyBorder="1" applyNumberFormat="1">
      <alignment horizontal="center" vertical="top"/>
    </xf>
    <xf numFmtId="49" fontId="48" fillId="40" borderId="17" xfId="0" applyFont="1" applyFill="1" applyBorder="1" applyNumberFormat="1">
      <alignment horizontal="left" vertical="center"/>
    </xf>
    <xf numFmtId="49" fontId="23" fillId="0" borderId="0" xfId="0" applyFont="1" applyNumberFormat="1">
      <alignment horizontal="center" vertical="top"/>
    </xf>
    <xf numFmtId="0" fontId="49" fillId="0" borderId="0" xfId="0" applyFont="1" applyNumberFormat="1">
      <alignment vertical="center"/>
    </xf>
    <xf numFmtId="0" fontId="0" fillId="0" borderId="0" xfId="0" applyFont="1" applyNumberFormat="1">
      <alignment horizontal="center" vertical="center" wrapText="1"/>
    </xf>
    <xf numFmtId="49" fontId="23" fillId="0" borderId="0" xfId="0" applyFont="1" applyNumberFormat="1">
      <alignment horizontal="center" vertical="center" wrapText="1"/>
    </xf>
    <xf numFmtId="49" fontId="23" fillId="0" borderId="0" xfId="0" applyFont="1" applyNumberFormat="1">
      <alignment vertical="center" wrapText="1"/>
    </xf>
    <xf numFmtId="0" fontId="45" fillId="37" borderId="0" xfId="0" applyFont="1" applyFill="1" applyNumberFormat="1">
      <alignment horizontal="center" vertical="center" wrapText="1"/>
    </xf>
    <xf numFmtId="49" fontId="53" fillId="0" borderId="0" xfId="0" applyFont="1" applyNumberFormat="1">
      <alignment horizontal="right" vertical="top"/>
    </xf>
    <xf numFmtId="49" fontId="53" fillId="0" borderId="0" xfId="0" applyFont="1" applyNumberFormat="1">
      <alignment vertical="top"/>
    </xf>
    <xf numFmtId="0" fontId="23" fillId="0" borderId="0" xfId="0" applyFont="1" applyNumberFormat="1">
      <alignment horizontal="center" vertical="center" wrapText="1"/>
    </xf>
    <xf numFmtId="49" fontId="23" fillId="0" borderId="0" xfId="0" applyFont="1" applyNumberFormat="1">
      <alignment vertical="top"/>
    </xf>
    <xf numFmtId="0" fontId="0" fillId="0" borderId="0" xfId="0" applyFont="1" applyNumberFormat="1">
      <alignment vertical="center"/>
    </xf>
    <xf numFmtId="0" fontId="22" fillId="0" borderId="0" xfId="0" applyFont="1" applyNumberFormat="1">
      <alignment vertical="center" wrapText="1"/>
    </xf>
    <xf numFmtId="49" fontId="23" fillId="0" borderId="18" xfId="0" applyFont="1" applyBorder="1" applyNumberFormat="1">
      <alignment vertical="top"/>
    </xf>
    <xf numFmtId="0" fontId="38" fillId="0" borderId="0" xfId="0" applyFont="1" applyNumberFormat="1"/>
    <xf numFmtId="49" fontId="54" fillId="0" borderId="0" xfId="0" applyFont="1" applyNumberFormat="1">
      <alignment vertical="top"/>
    </xf>
    <xf numFmtId="0" fontId="54" fillId="0" borderId="0" xfId="0" applyFont="1" applyNumberFormat="1">
      <alignment vertical="center" wrapText="1"/>
    </xf>
    <xf numFmtId="49" fontId="0" fillId="37" borderId="14" xfId="0" applyFont="1" applyFill="1" applyBorder="1" applyNumberFormat="1">
      <alignment horizontal="center" vertical="center" wrapText="1"/>
    </xf>
    <xf numFmtId="0" fontId="40" fillId="0" borderId="0" xfId="0" applyFont="1" applyNumberFormat="1">
      <alignment horizontal="left" vertical="center" wrapText="1"/>
    </xf>
    <xf numFmtId="49" fontId="23" fillId="0" borderId="14" xfId="0" applyFont="1" applyBorder="1" applyNumberFormat="1">
      <alignment horizontal="left" vertical="center" wrapText="1"/>
    </xf>
    <xf numFmtId="0" fontId="23" fillId="37" borderId="19" xfId="0" applyFont="1" applyFill="1" applyBorder="1" applyNumberFormat="1">
      <alignment horizontal="center" vertical="center"/>
    </xf>
    <xf numFmtId="0" fontId="23" fillId="0" borderId="14" xfId="0" applyFont="1" applyBorder="1" applyNumberFormat="1">
      <alignment vertical="center" wrapText="1"/>
    </xf>
    <xf numFmtId="0" fontId="55" fillId="0" borderId="0" xfId="0" applyFont="1" applyNumberFormat="1">
      <alignment vertical="center" wrapText="1"/>
    </xf>
    <xf numFmtId="0" fontId="55" fillId="0" borderId="0" xfId="0" applyFont="1" applyNumberFormat="1">
      <alignment vertical="center"/>
    </xf>
    <xf numFmtId="0" fontId="56" fillId="0" borderId="0" xfId="0" applyFont="1" applyNumberFormat="1">
      <alignment vertical="center"/>
    </xf>
    <xf numFmtId="0" fontId="55"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top" wrapText="1"/>
    </xf>
    <xf numFmtId="49" fontId="23" fillId="0" borderId="14" xfId="0" applyFont="1" applyBorder="1" applyNumberFormat="1">
      <alignment horizontal="center" vertical="center" wrapText="1"/>
    </xf>
    <xf numFmtId="0" fontId="22" fillId="0" borderId="20" xfId="0" applyFont="1" applyBorder="1" applyNumberFormat="1">
      <alignment vertical="top" wrapText="1"/>
    </xf>
    <xf numFmtId="49" fontId="0" fillId="0" borderId="14" xfId="0" applyFont="1" applyBorder="1" applyNumberFormat="1">
      <alignment vertical="top" wrapText="1"/>
    </xf>
    <xf numFmtId="0" fontId="0" fillId="0" borderId="14" xfId="0" applyFont="1" applyBorder="1" applyNumberFormat="1">
      <alignment vertical="top" wrapText="1"/>
    </xf>
    <xf numFmtId="0" fontId="1" fillId="0" borderId="0" xfId="0" applyFont="1" applyNumberFormat="1"/>
    <xf numFmtId="0" fontId="0" fillId="0" borderId="0" xfId="0" applyFont="1" applyNumberFormat="1"/>
    <xf numFmtId="0" fontId="45" fillId="0" borderId="0" xfId="0" applyFont="1" applyNumberFormat="1">
      <alignment horizontal="center" vertical="center" wrapText="1"/>
    </xf>
    <xf numFmtId="0" fontId="45" fillId="0" borderId="0" xfId="0" applyFont="1" applyNumberFormat="1">
      <alignment horizontal="center" vertical="center" wrapText="1"/>
    </xf>
    <xf numFmtId="0" fontId="23" fillId="0" borderId="0" xfId="0" applyFont="1" applyNumberFormat="1">
      <alignment horizontal="right" vertical="center" wrapTex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 fontId="23" fillId="0" borderId="0" xfId="0" applyFont="1" applyNumberFormat="1">
      <alignment horizontal="center" vertical="center" wrapText="1"/>
    </xf>
    <xf numFmtId="0" fontId="54" fillId="0" borderId="0" xfId="0" applyFont="1" applyNumberFormat="1">
      <alignment vertical="center"/>
    </xf>
    <xf numFmtId="165" fontId="23" fillId="0" borderId="14" xfId="0" applyFont="1" applyBorder="1" applyNumberFormat="1">
      <alignment horizontal="center" vertical="center" wrapText="1"/>
    </xf>
    <xf numFmtId="49" fontId="54" fillId="40" borderId="21" xfId="0" applyFont="1" applyFill="1" applyBorder="1" applyNumberFormat="1">
      <alignment horizontal="left" vertical="center" wrapText="1"/>
    </xf>
    <xf numFmtId="49" fontId="0" fillId="40" borderId="17" xfId="0" applyFont="1" applyFill="1" applyBorder="1" applyNumberFormat="1">
      <alignment horizontal="left" vertical="center"/>
    </xf>
    <xf numFmtId="49" fontId="54" fillId="40" borderId="22" xfId="0" applyFont="1" applyFill="1" applyBorder="1" applyNumberFormat="1">
      <alignment horizontal="left" vertical="center" wrapText="1"/>
    </xf>
    <xf numFmtId="0" fontId="44" fillId="0" borderId="0" xfId="0" applyFont="1" applyNumberFormat="1">
      <alignment horizontal="center" vertical="center" wrapText="1"/>
    </xf>
    <xf numFmtId="49" fontId="36" fillId="40" borderId="17"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23" fillId="40" borderId="15" xfId="0" applyFont="1" applyFill="1" applyBorder="1" applyNumberFormat="1">
      <alignment horizontal="right" vertical="center" wrapText="1"/>
    </xf>
    <xf numFmtId="0" fontId="23" fillId="0" borderId="23" xfId="0" applyFont="1" applyBorder="1" applyNumberFormat="1">
      <alignment vertical="center" wrapText="1"/>
    </xf>
    <xf numFmtId="0" fontId="53" fillId="0" borderId="0" xfId="0" applyFont="1" applyNumberFormat="1">
      <alignment vertical="center" wrapText="1"/>
    </xf>
    <xf numFmtId="0" fontId="57" fillId="0" borderId="0" xfId="0" applyFont="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54" fillId="0" borderId="0" xfId="0" applyFont="1" applyNumberFormat="1">
      <alignment vertical="center"/>
    </xf>
    <xf numFmtId="49" fontId="0" fillId="40" borderId="17" xfId="0" applyFont="1" applyFill="1" applyBorder="1" applyNumberFormat="1">
      <alignment horizontal="right" vertical="center" wrapText="1"/>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xf numFmtId="49" fontId="23" fillId="0" borderId="0" xfId="0" applyFont="1" applyNumberFormat="1">
      <alignment vertical="top"/>
    </xf>
    <xf numFmtId="0" fontId="23" fillId="37" borderId="0" xfId="0" applyFont="1" applyFill="1" applyNumberFormat="1">
      <alignment horizontal="right" vertical="center"/>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55" fillId="0" borderId="0" xfId="0" applyFont="1" applyNumberFormat="1">
      <alignment vertical="top"/>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0" fillId="42" borderId="14" xfId="0" applyFont="1" applyFill="1" applyBorder="1" applyNumberFormat="1">
      <alignment horizontal="left" vertical="center" wrapText="1" indent="1"/>
      <protection locked="0"/>
    </xf>
    <xf numFmtId="49" fontId="48" fillId="40" borderId="17" xfId="0" applyFont="1" applyFill="1" applyBorder="1" applyNumberFormat="1">
      <alignment horizontal="left" vertical="center" indent="3"/>
    </xf>
    <xf numFmtId="49" fontId="52" fillId="40" borderId="15" xfId="0" applyFont="1" applyFill="1" applyBorder="1" applyNumberFormat="1">
      <alignment horizontal="center" vertical="top"/>
    </xf>
    <xf numFmtId="0" fontId="22" fillId="0" borderId="0" xfId="0" applyFont="1" applyNumberFormat="1">
      <alignment horizontal="right" vertical="top" wrapText="1"/>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indent="2"/>
    </xf>
    <xf numFmtId="0" fontId="0" fillId="0" borderId="14" xfId="0" applyFont="1" applyBorder="1" applyNumberFormat="1">
      <alignment horizontal="left" vertical="center" wrapText="1" indent="1"/>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23" fillId="0" borderId="14" xfId="0" applyFont="1" applyBorder="1" applyNumberFormat="1">
      <alignment vertical="top" wrapText="1"/>
    </xf>
    <xf numFmtId="0" fontId="45" fillId="0" borderId="0" xfId="0" applyFont="1" applyNumberFormat="1">
      <alignment horizontal="center" vertical="center" wrapText="1"/>
    </xf>
    <xf numFmtId="49" fontId="0" fillId="0" borderId="19" xfId="0" applyFont="1" applyBorder="1" applyNumberFormat="1">
      <alignment vertical="top"/>
    </xf>
    <xf numFmtId="0" fontId="55" fillId="0" borderId="0" xfId="0" applyFont="1" applyNumberFormat="1">
      <alignment vertical="center"/>
    </xf>
    <xf numFmtId="0" fontId="37" fillId="0" borderId="0" xfId="0" applyFont="1" applyNumberFormat="1">
      <alignment vertical="center"/>
    </xf>
    <xf numFmtId="49" fontId="34" fillId="42" borderId="14" xfId="0" applyFont="1" applyFill="1" applyBorder="1" applyNumberFormat="1">
      <alignment horizontal="left" vertical="center" wrapText="1"/>
      <protection locked="0"/>
    </xf>
    <xf numFmtId="49" fontId="52" fillId="40" borderId="15" xfId="0" applyFont="1" applyFill="1" applyBorder="1" applyNumberFormat="1">
      <alignment horizontal="center" vertical="top"/>
    </xf>
    <xf numFmtId="0" fontId="0" fillId="38" borderId="14" xfId="0" applyFont="1" applyFill="1" applyBorder="1" applyNumberFormat="1">
      <alignment horizontal="left" vertical="center" wrapText="1" indent="1"/>
    </xf>
    <xf numFmtId="49" fontId="23" fillId="42" borderId="14" xfId="0" applyFont="1" applyFill="1" applyBorder="1" applyNumberFormat="1">
      <alignment horizontal="left" vertical="center" wrapText="1" indent="1"/>
      <protection locked="0"/>
    </xf>
    <xf numFmtId="49" fontId="23" fillId="38" borderId="14" xfId="0" applyFont="1" applyFill="1" applyBorder="1" applyNumberFormat="1">
      <alignment horizontal="left" vertical="center" wrapText="1" indent="1"/>
    </xf>
    <xf numFmtId="49" fontId="23" fillId="0" borderId="14" xfId="0" applyFont="1" applyBorder="1" applyNumberFormat="1">
      <alignment horizontal="left" vertical="center" wrapText="1" indent="1"/>
    </xf>
    <xf numFmtId="0" fontId="23" fillId="0" borderId="14" xfId="0" applyFont="1" applyBorder="1" applyNumberFormat="1">
      <alignment horizontal="center" vertical="center" wrapText="1"/>
    </xf>
    <xf numFmtId="0" fontId="22" fillId="0" borderId="0" xfId="0" applyFont="1" applyNumberFormat="1">
      <alignment vertical="center" wrapText="1"/>
    </xf>
    <xf numFmtId="0" fontId="55" fillId="0" borderId="0" xfId="0" applyFont="1" applyNumberFormat="1">
      <alignment horizontal="center" vertical="center" wrapText="1"/>
    </xf>
    <xf numFmtId="0" fontId="0" fillId="0" borderId="14" xfId="0" applyFont="1" applyBorder="1" applyNumberFormat="1">
      <alignment horizontal="left" vertical="center" wrapText="1"/>
    </xf>
    <xf numFmtId="49" fontId="44" fillId="0" borderId="17" xfId="0" applyFont="1" applyBorder="1" applyNumberFormat="1">
      <alignment horizontal="center" vertical="center" wrapText="1"/>
    </xf>
    <xf numFmtId="0" fontId="59" fillId="0" borderId="0" xfId="0" applyFont="1" applyNumberFormat="1">
      <alignment vertical="center"/>
    </xf>
    <xf numFmtId="0" fontId="60" fillId="0" borderId="0" xfId="0" applyFont="1" applyNumberFormat="1">
      <alignment vertical="center"/>
    </xf>
    <xf numFmtId="0" fontId="55" fillId="0" borderId="0" xfId="0" applyFont="1" applyNumberFormat="1">
      <alignment vertical="center"/>
    </xf>
    <xf numFmtId="0" fontId="55"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61"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65"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68" fillId="0" borderId="0" xfId="0" applyFont="1" applyNumberFormat="1">
      <alignment horizontal="left" vertical="center" wrapText="1"/>
    </xf>
    <xf numFmtId="0" fontId="68" fillId="0" borderId="0" xfId="0" applyFont="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49" fontId="23" fillId="0" borderId="0" xfId="0" applyFont="1" applyNumberFormat="1">
      <alignment vertical="center" wrapText="1"/>
    </xf>
    <xf numFmtId="0" fontId="0" fillId="0" borderId="0" xfId="0" applyFont="1" applyNumberFormat="1">
      <alignment horizontal="left" vertical="center" indent="1"/>
    </xf>
    <xf numFmtId="0" fontId="55" fillId="0" borderId="0" xfId="0" applyFont="1" applyNumberFormat="1">
      <alignment horizontal="left" vertical="center" indent="1"/>
    </xf>
    <xf numFmtId="0" fontId="55" fillId="0" borderId="0" xfId="0" applyFont="1" applyNumberFormat="1">
      <alignment horizontal="left" vertical="center" indent="1"/>
    </xf>
    <xf numFmtId="0" fontId="55" fillId="0" borderId="24" xfId="0" applyFont="1" applyBorder="1" applyNumberFormat="1">
      <alignment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0" xfId="0" applyFont="1" applyNumberFormat="1">
      <alignment vertical="top"/>
    </xf>
    <xf numFmtId="0" fontId="23" fillId="0" borderId="0" xfId="0" applyFont="1" applyNumberFormat="1">
      <alignment horizontal="left" vertical="center" wrapText="1" indent="2"/>
    </xf>
    <xf numFmtId="0" fontId="23" fillId="0" borderId="14" xfId="0" applyFont="1" applyBorder="1" applyNumberFormat="1">
      <alignment vertical="top" wrapText="1"/>
    </xf>
    <xf numFmtId="0" fontId="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23" fillId="0" borderId="14" xfId="0" applyFont="1" applyBorder="1" applyNumberFormat="1">
      <alignment horizontal="left" vertical="center" wrapText="1"/>
    </xf>
    <xf numFmtId="0" fontId="23" fillId="0" borderId="14" xfId="0" applyFont="1" applyBorder="1" applyNumberFormat="1">
      <alignment horizontal="center" vertical="center" wrapText="1"/>
    </xf>
    <xf numFmtId="49" fontId="23" fillId="0" borderId="19" xfId="0" applyFont="1" applyBorder="1" applyNumberFormat="1">
      <alignment horizontal="left" vertical="center" wrapText="1"/>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0" fontId="23" fillId="0" borderId="0" xfId="0" applyFont="1" applyNumberFormat="1"/>
    <xf numFmtId="0" fontId="69" fillId="0" borderId="0" xfId="0" applyFont="1" applyNumberFormat="1">
      <alignment vertical="center" wrapText="1"/>
    </xf>
    <xf numFmtId="0" fontId="69" fillId="0" borderId="0" xfId="0" applyFont="1" applyNumberFormat="1">
      <alignment vertical="center" wrapText="1"/>
    </xf>
    <xf numFmtId="0" fontId="69" fillId="0" borderId="0" xfId="0" applyFont="1" applyNumberFormat="1"/>
    <xf numFmtId="49" fontId="70" fillId="0" borderId="0" xfId="0" applyFont="1" applyNumberFormat="1">
      <alignment vertical="top"/>
    </xf>
    <xf numFmtId="49" fontId="71" fillId="0" borderId="0" xfId="0" applyFont="1" applyNumberFormat="1">
      <alignment vertical="top"/>
    </xf>
    <xf numFmtId="0" fontId="23" fillId="0" borderId="0" xfId="0" applyFont="1" applyNumberFormat="1">
      <alignment horizontal="center" vertical="center" wrapText="1"/>
    </xf>
    <xf numFmtId="49" fontId="23" fillId="42" borderId="14" xfId="0" applyFont="1" applyFill="1" applyBorder="1" applyNumberFormat="1">
      <alignment horizontal="left" vertical="center" wrapText="1" indent="1"/>
      <protection locked="0"/>
    </xf>
    <xf numFmtId="0" fontId="55" fillId="0" borderId="0" xfId="0" applyFont="1" applyNumberFormat="1">
      <alignment vertical="top"/>
    </xf>
    <xf numFmtId="49" fontId="55" fillId="0" borderId="0" xfId="0" applyFont="1" applyNumberFormat="1">
      <alignment vertical="top"/>
    </xf>
    <xf numFmtId="0" fontId="0" fillId="0" borderId="0" xfId="0" applyFont="1" applyNumberFormat="1">
      <alignment vertical="top"/>
    </xf>
    <xf numFmtId="49" fontId="23" fillId="0" borderId="14" xfId="0" applyFont="1" applyBorder="1" applyNumberFormat="1">
      <alignment horizontal="right" vertical="center"/>
    </xf>
    <xf numFmtId="0" fontId="72" fillId="0" borderId="0" xfId="0" applyFont="1" applyNumberFormat="1">
      <alignment vertical="center"/>
    </xf>
    <xf numFmtId="0" fontId="55" fillId="0" borderId="0" xfId="0" applyFont="1" applyNumberFormat="1">
      <alignment vertical="center"/>
    </xf>
    <xf numFmtId="0" fontId="55" fillId="0" borderId="0" xfId="0" applyFont="1" applyNumberFormat="1">
      <alignment vertical="center" wrapText="1"/>
    </xf>
    <xf numFmtId="0" fontId="23" fillId="0" borderId="14" xfId="0" applyFont="1" applyBorder="1" applyNumberFormat="1">
      <alignment horizontal="left" vertical="center" wrapText="1"/>
    </xf>
    <xf numFmtId="0" fontId="73" fillId="0" borderId="0" xfId="0" applyFont="1" applyNumberFormat="1">
      <alignment vertical="center"/>
    </xf>
    <xf numFmtId="49" fontId="44" fillId="37" borderId="0" xfId="0" applyFont="1" applyFill="1" applyNumberFormat="1">
      <alignment horizontal="center" vertical="center" wrapText="1"/>
    </xf>
    <xf numFmtId="0" fontId="0" fillId="0" borderId="0" xfId="0" applyFont="1" applyNumberFormat="1">
      <alignment vertical="center"/>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37" borderId="14" xfId="0" applyFont="1" applyFill="1" applyBorder="1" applyNumberFormat="1">
      <alignment horizontal="left" vertical="center" wrapText="1" indent="5"/>
    </xf>
    <xf numFmtId="49" fontId="48" fillId="40" borderId="17" xfId="0" applyFont="1" applyFill="1" applyBorder="1" applyNumberFormat="1">
      <alignment horizontal="left" vertical="center" indent="5"/>
    </xf>
    <xf numFmtId="49" fontId="48" fillId="40" borderId="17" xfId="0" applyFont="1" applyFill="1" applyBorder="1" applyNumberFormat="1">
      <alignment horizontal="left" vertical="center" indent="6"/>
    </xf>
    <xf numFmtId="0" fontId="23" fillId="0" borderId="14" xfId="0" applyFont="1" applyBorder="1" applyNumberFormat="1">
      <alignment vertical="center" wrapText="1"/>
    </xf>
    <xf numFmtId="0" fontId="22" fillId="0" borderId="0" xfId="0" applyFont="1" applyNumberFormat="1">
      <alignment vertical="center" wrapText="1"/>
    </xf>
    <xf numFmtId="0" fontId="74" fillId="37" borderId="0" xfId="0" applyFont="1" applyFill="1" applyNumberFormat="1">
      <alignment vertical="center" wrapText="1"/>
    </xf>
    <xf numFmtId="49" fontId="23" fillId="0" borderId="14" xfId="0" applyFont="1" applyBorder="1" applyNumberFormat="1">
      <alignment horizontal="center" vertical="center" wrapText="1"/>
    </xf>
    <xf numFmtId="49" fontId="0" fillId="0" borderId="0" xfId="0" applyFont="1" applyNumberFormat="1">
      <alignment vertical="top"/>
    </xf>
    <xf numFmtId="49" fontId="48" fillId="40" borderId="16" xfId="0" applyFont="1" applyFill="1" applyBorder="1" applyNumberFormat="1">
      <alignment horizontal="left" vertical="center" indent="1"/>
    </xf>
    <xf numFmtId="0" fontId="0" fillId="37" borderId="14" xfId="0" applyFont="1" applyFill="1" applyBorder="1" applyNumberFormat="1">
      <alignment horizontal="right" vertical="center" wrapText="1" indent="1"/>
    </xf>
    <xf numFmtId="49" fontId="0" fillId="0" borderId="14" xfId="0" applyFont="1" applyBorder="1" applyNumberFormat="1">
      <alignment horizontal="left" vertical="center"/>
    </xf>
    <xf numFmtId="0" fontId="23" fillId="0" borderId="14" xfId="0" applyFont="1" applyBorder="1" applyNumberFormat="1">
      <alignment vertical="top" wrapText="1"/>
    </xf>
    <xf numFmtId="0" fontId="23" fillId="0" borderId="14" xfId="0" applyFont="1" applyBorder="1" applyNumberFormat="1">
      <alignment vertical="center" wrapText="1"/>
    </xf>
    <xf numFmtId="0" fontId="72" fillId="0" borderId="0" xfId="0" applyFont="1" applyNumberFormat="1">
      <alignment vertical="center"/>
    </xf>
    <xf numFmtId="0" fontId="23" fillId="0" borderId="14" xfId="0" applyFont="1" applyBorder="1" applyNumberFormat="1">
      <alignment horizontal="left" vertical="center" wrapText="1" indent="6"/>
    </xf>
    <xf numFmtId="0" fontId="23" fillId="0" borderId="19" xfId="0" applyFont="1" applyBorder="1" applyNumberFormat="1">
      <alignment vertical="center" wrapText="1"/>
    </xf>
    <xf numFmtId="0" fontId="23" fillId="0" borderId="25" xfId="0" applyFont="1" applyBorder="1" applyNumberFormat="1">
      <alignment vertical="center" wrapText="1"/>
    </xf>
    <xf numFmtId="49" fontId="0" fillId="40" borderId="15" xfId="0" applyFont="1" applyFill="1" applyBorder="1" applyNumberFormat="1">
      <alignment horizontal="center" vertical="center" wrapText="1"/>
    </xf>
    <xf numFmtId="0" fontId="0" fillId="0" borderId="16" xfId="0" applyFont="1" applyBorder="1" applyNumberFormat="1">
      <alignment vertical="center"/>
    </xf>
    <xf numFmtId="0" fontId="0" fillId="37" borderId="16" xfId="0" applyFont="1" applyFill="1" applyBorder="1" applyNumberFormat="1">
      <alignment horizontal="right" vertical="center" wrapText="1" indent="1"/>
    </xf>
    <xf numFmtId="49" fontId="40" fillId="0" borderId="0" xfId="0" applyFont="1" applyNumberFormat="1">
      <alignment vertical="top"/>
    </xf>
    <xf numFmtId="0" fontId="47" fillId="37" borderId="0" xfId="0" applyFont="1" applyFill="1" applyNumberFormat="1">
      <alignment vertical="center" wrapText="1"/>
    </xf>
    <xf numFmtId="0" fontId="23" fillId="37" borderId="14" xfId="0" applyFont="1" applyFill="1" applyBorder="1" applyNumberFormat="1">
      <alignment horizontal="left" vertical="center" wrapText="1" inden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23" fillId="0" borderId="14" xfId="0" applyFont="1" applyBorder="1" applyNumberFormat="1">
      <alignment horizontal="left" vertical="center" wrapText="1" indent="4"/>
    </xf>
    <xf numFmtId="49" fontId="48" fillId="40" borderId="16" xfId="0" applyFont="1" applyFill="1" applyBorder="1" applyNumberFormat="1">
      <alignment vertical="center" wrapText="1"/>
    </xf>
    <xf numFmtId="49" fontId="48" fillId="40" borderId="17" xfId="0" applyFont="1" applyFill="1" applyBorder="1" applyNumberFormat="1">
      <alignment vertical="center"/>
    </xf>
    <xf numFmtId="49" fontId="48" fillId="40" borderId="17" xfId="0" applyFont="1" applyFill="1" applyBorder="1" applyNumberFormat="1">
      <alignment vertical="center" wrapText="1"/>
    </xf>
    <xf numFmtId="0" fontId="23" fillId="0" borderId="0" xfId="0" applyFont="1" applyNumberFormat="1">
      <alignment vertical="top" wrapText="1"/>
    </xf>
    <xf numFmtId="49" fontId="48" fillId="40" borderId="16" xfId="0" applyFont="1" applyFill="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36" fillId="37" borderId="0" xfId="0" applyFont="1" applyFill="1" applyNumberFormat="1">
      <alignment horizontal="center" vertical="center" wrapText="1"/>
    </xf>
    <xf numFmtId="0" fontId="23" fillId="0" borderId="0" xfId="0" applyFont="1" applyNumberFormat="1">
      <alignment vertical="center" wrapText="1"/>
    </xf>
    <xf numFmtId="49" fontId="23" fillId="40" borderId="15" xfId="0" applyFont="1" applyFill="1" applyBorder="1" applyNumberFormat="1">
      <alignment horizontal="center" vertical="center" wrapText="1"/>
    </xf>
    <xf numFmtId="4" fontId="23" fillId="0" borderId="14" xfId="0" applyFont="1" applyBorder="1" applyNumberFormat="1">
      <alignment horizontal="right" vertical="center" wrapText="1"/>
    </xf>
    <xf numFmtId="0" fontId="23" fillId="0" borderId="0" xfId="0" applyFont="1" applyNumberFormat="1">
      <alignment vertical="center" wrapText="1"/>
    </xf>
    <xf numFmtId="0" fontId="23" fillId="0" borderId="0" xfId="0" applyFont="1" applyNumberFormat="1">
      <alignment vertical="center" wrapText="1"/>
    </xf>
    <xf numFmtId="4" fontId="55" fillId="0" borderId="14" xfId="0" applyFont="1" applyBorder="1" applyNumberFormat="1">
      <alignment horizontal="center" vertical="center" wrapText="1"/>
    </xf>
    <xf numFmtId="0" fontId="0" fillId="0" borderId="0" xfId="0" applyFont="1" applyNumberFormat="1">
      <alignment vertical="center"/>
    </xf>
    <xf numFmtId="0" fontId="0" fillId="0" borderId="14" xfId="0" applyFont="1" applyBorder="1" applyNumberFormat="1">
      <alignment horizontal="left" vertical="center" wrapText="1" indent="1"/>
    </xf>
    <xf numFmtId="49" fontId="75" fillId="0" borderId="16" xfId="0" applyFont="1" applyBorder="1" applyNumberFormat="1">
      <alignment horizontal="left" vertical="center" wrapText="1"/>
    </xf>
    <xf numFmtId="0" fontId="72" fillId="0" borderId="14" xfId="0" applyFont="1" applyBorder="1" applyNumberFormat="1">
      <alignment horizontal="left" vertical="center" wrapText="1" indent="2"/>
    </xf>
    <xf numFmtId="49" fontId="72" fillId="0" borderId="14" xfId="0" applyFont="1" applyBorder="1" applyNumberFormat="1">
      <alignment horizontal="center" vertical="center" wrapText="1"/>
    </xf>
    <xf numFmtId="0" fontId="76" fillId="0" borderId="0" xfId="0" applyFont="1" applyNumberFormat="1">
      <alignment vertical="center" wrapText="1"/>
    </xf>
    <xf numFmtId="0" fontId="23" fillId="0" borderId="0" xfId="0" applyFont="1" applyNumberFormat="1">
      <alignment vertical="top"/>
    </xf>
    <xf numFmtId="0" fontId="23" fillId="0" borderId="0" xfId="0" applyFont="1" applyNumberFormat="1">
      <alignment horizontal="right" vertical="top" wrapText="1"/>
    </xf>
    <xf numFmtId="0" fontId="23" fillId="0" borderId="19" xfId="0" applyFont="1" applyBorder="1" applyNumberFormat="1">
      <alignment vertical="center" wrapText="1"/>
    </xf>
    <xf numFmtId="49" fontId="52" fillId="40" borderId="17" xfId="0" applyFont="1" applyFill="1" applyBorder="1" applyNumberFormat="1">
      <alignment horizontal="center" vertical="top"/>
    </xf>
    <xf numFmtId="0" fontId="23" fillId="0" borderId="25" xfId="0" applyFont="1" applyBorder="1" applyNumberFormat="1">
      <alignment vertical="top" wrapText="1"/>
    </xf>
    <xf numFmtId="0" fontId="0" fillId="0" borderId="0" xfId="0" applyFont="1" applyNumberFormat="1">
      <alignment horizontal="left" vertical="top" wrapText="1"/>
    </xf>
    <xf numFmtId="0" fontId="23" fillId="0" borderId="19" xfId="0" applyFont="1" applyBorder="1" applyNumberFormat="1">
      <alignment vertical="top" wrapText="1"/>
    </xf>
    <xf numFmtId="0" fontId="23" fillId="0" borderId="0" xfId="0" applyFont="1" applyNumberFormat="1">
      <alignment vertical="center" wrapText="1"/>
    </xf>
    <xf numFmtId="49" fontId="23" fillId="0" borderId="0" xfId="0" applyFont="1" applyNumberFormat="1">
      <alignment vertical="top"/>
    </xf>
    <xf numFmtId="0" fontId="47" fillId="0" borderId="0" xfId="0" applyFont="1" applyNumberFormat="1">
      <alignment vertical="center" wrapText="1"/>
    </xf>
    <xf numFmtId="0" fontId="23" fillId="0" borderId="14" xfId="0" applyFont="1" applyBorder="1" applyNumberFormat="1">
      <alignment vertical="center" wrapText="1"/>
    </xf>
    <xf numFmtId="49" fontId="23" fillId="0" borderId="0" xfId="0" applyFont="1" applyNumberFormat="1">
      <alignment horizontal="center" vertical="center" wrapText="1"/>
    </xf>
    <xf numFmtId="0" fontId="23" fillId="40" borderId="16" xfId="0" applyFont="1" applyFill="1" applyBorder="1" applyNumberFormat="1">
      <alignment vertical="center" wrapText="1"/>
    </xf>
    <xf numFmtId="0" fontId="23" fillId="42" borderId="14" xfId="0" applyFont="1" applyFill="1" applyBorder="1" applyNumberFormat="1">
      <alignment horizontal="left" vertical="center" wrapText="1" indent="1"/>
      <protection locked="0"/>
    </xf>
    <xf numFmtId="49" fontId="48" fillId="40" borderId="17" xfId="0" applyFont="1" applyFill="1" applyBorder="1" applyNumberFormat="1">
      <alignment horizontal="left" vertical="center" indent="2"/>
    </xf>
    <xf numFmtId="0" fontId="55" fillId="0" borderId="0" xfId="0" applyFont="1" applyNumberFormat="1">
      <alignment vertical="center"/>
    </xf>
    <xf numFmtId="0" fontId="77" fillId="0" borderId="0" xfId="0" applyFont="1" applyNumberFormat="1">
      <alignment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45" fillId="0" borderId="0" xfId="0" applyFont="1" applyNumberFormat="1">
      <alignment vertical="center" wrapText="1"/>
    </xf>
    <xf numFmtId="49" fontId="23" fillId="0" borderId="26" xfId="0" applyFont="1" applyBorder="1" applyNumberFormat="1">
      <alignment vertical="top"/>
    </xf>
    <xf numFmtId="0" fontId="55" fillId="0" borderId="26" xfId="0" applyFont="1" applyBorder="1" applyNumberFormat="1">
      <alignment horizontal="center" vertical="center" wrapText="1"/>
    </xf>
    <xf numFmtId="0" fontId="55" fillId="0" borderId="26" xfId="0" applyFont="1" applyBorder="1" applyNumberFormat="1">
      <alignment vertical="center" wrapText="1"/>
    </xf>
    <xf numFmtId="49" fontId="40" fillId="0" borderId="0" xfId="0" applyFont="1" applyNumberFormat="1">
      <alignment vertical="top"/>
    </xf>
    <xf numFmtId="49" fontId="0" fillId="0" borderId="26" xfId="0" applyFont="1" applyBorder="1" applyNumberFormat="1">
      <alignment vertical="top"/>
    </xf>
    <xf numFmtId="49" fontId="23" fillId="0" borderId="0" xfId="0" applyFont="1" applyNumberFormat="1">
      <alignment vertical="top"/>
    </xf>
    <xf numFmtId="49" fontId="23" fillId="0" borderId="0" xfId="0" applyFont="1" applyNumberFormat="1">
      <alignment vertical="center" wrapText="1"/>
    </xf>
    <xf numFmtId="0" fontId="40" fillId="0" borderId="0" xfId="0" applyFont="1" applyNumberFormat="1">
      <alignment vertical="center" wrapText="1"/>
    </xf>
    <xf numFmtId="0" fontId="23" fillId="37" borderId="0" xfId="0" applyFont="1" applyFill="1" applyNumberFormat="1">
      <alignment vertical="center" wrapText="1"/>
    </xf>
    <xf numFmtId="49" fontId="23" fillId="0" borderId="0" xfId="0" applyFont="1" applyNumberFormat="1">
      <alignment vertical="center" wrapText="1"/>
    </xf>
    <xf numFmtId="49" fontId="48" fillId="40" borderId="17" xfId="0" applyFont="1" applyFill="1" applyBorder="1" applyNumberFormat="1">
      <alignment horizontal="left" vertical="center" indent="4"/>
    </xf>
    <xf numFmtId="49" fontId="0"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0" fontId="55" fillId="0" borderId="0" xfId="0" applyFont="1" applyNumberFormat="1">
      <alignment vertical="center"/>
    </xf>
    <xf numFmtId="0" fontId="23" fillId="0" borderId="0" xfId="0" applyFont="1" applyNumberFormat="1">
      <alignment vertical="top" wrapText="1"/>
    </xf>
    <xf numFmtId="49" fontId="23" fillId="0" borderId="14" xfId="0" applyFont="1" applyBorder="1" applyNumberFormat="1">
      <alignment horizontal="right" vertical="top"/>
    </xf>
    <xf numFmtId="49" fontId="23" fillId="0" borderId="19" xfId="0" applyFont="1" applyBorder="1" applyNumberFormat="1">
      <alignment horizontal="right" vertical="top"/>
    </xf>
    <xf numFmtId="49" fontId="48" fillId="40" borderId="17" xfId="0" applyFont="1" applyFill="1" applyBorder="1" applyNumberFormat="1">
      <alignment horizontal="left" vertical="center" indent="3"/>
    </xf>
    <xf numFmtId="49" fontId="0" fillId="0" borderId="0" xfId="0" applyFont="1" applyNumberFormat="1">
      <alignment vertical="top"/>
    </xf>
    <xf numFmtId="0" fontId="23" fillId="0" borderId="0" xfId="0" applyFont="1" applyNumberFormat="1">
      <alignment vertical="center" wrapText="1"/>
    </xf>
    <xf numFmtId="49" fontId="47" fillId="0" borderId="0" xfId="0" applyFont="1" applyNumberFormat="1">
      <alignment vertical="top"/>
    </xf>
    <xf numFmtId="0" fontId="47" fillId="37" borderId="0" xfId="0" applyFont="1" applyFill="1" applyNumberFormat="1">
      <alignment vertical="center" wrapText="1"/>
    </xf>
    <xf numFmtId="49" fontId="23"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49" fontId="55" fillId="0" borderId="0" xfId="0" applyFont="1" applyNumberFormat="1">
      <alignment vertical="top"/>
    </xf>
    <xf numFmtId="49" fontId="55" fillId="0" borderId="0" xfId="0" applyFont="1" applyNumberFormat="1">
      <alignment vertical="top"/>
    </xf>
    <xf numFmtId="49" fontId="23" fillId="42" borderId="14" xfId="0" applyFont="1" applyFill="1" applyBorder="1" applyNumberFormat="1">
      <alignment horizontal="left" vertical="center" wrapText="1"/>
      <protection locked="0"/>
    </xf>
    <xf numFmtId="49" fontId="34" fillId="42" borderId="14" xfId="0" applyFont="1" applyFill="1" applyBorder="1" applyNumberFormat="1">
      <alignment horizontal="left" vertical="center" wrapText="1"/>
      <protection locked="0"/>
    </xf>
    <xf numFmtId="49" fontId="0" fillId="0" borderId="27" xfId="0" applyFont="1" applyBorder="1" applyNumberFormat="1">
      <alignment horizontal="center" vertical="center"/>
    </xf>
    <xf numFmtId="164" fontId="23" fillId="0" borderId="14" xfId="0" applyFont="1" applyBorder="1" applyNumberFormat="1">
      <alignment horizontal="right" vertical="center" wrapText="1"/>
    </xf>
    <xf numFmtId="49" fontId="34" fillId="42" borderId="16" xfId="0" applyFont="1" applyFill="1" applyBorder="1" applyNumberFormat="1">
      <alignment horizontal="left" vertical="center" wrapText="1"/>
      <protection locked="0"/>
    </xf>
    <xf numFmtId="0" fontId="23" fillId="37" borderId="14" xfId="0" applyFont="1" applyFill="1" applyBorder="1" applyNumberFormat="1">
      <alignment horizontal="center" vertical="center"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37" borderId="0" xfId="0" applyFont="1" applyFill="1" applyNumberFormat="1">
      <alignment horizontal="center" vertical="center" wrapText="1"/>
    </xf>
    <xf numFmtId="0" fontId="36" fillId="0" borderId="0" xfId="0" applyFont="1" applyNumberFormat="1">
      <alignment vertical="top" wrapText="1"/>
    </xf>
    <xf numFmtId="0" fontId="23" fillId="37" borderId="28" xfId="0" applyFont="1" applyFill="1" applyBorder="1" applyNumberFormat="1">
      <alignment horizontal="right" vertical="center" wrapText="1" indent="1"/>
    </xf>
    <xf numFmtId="0" fontId="0" fillId="37" borderId="28" xfId="0" applyFont="1" applyFill="1" applyBorder="1" applyNumberFormat="1">
      <alignment horizontal="right" vertical="center" wrapText="1" indent="1"/>
    </xf>
    <xf numFmtId="0" fontId="23" fillId="0" borderId="0" xfId="0" applyFont="1" applyNumberFormat="1">
      <alignment horizontal="left" vertical="center" wrapText="1" indent="4"/>
    </xf>
    <xf numFmtId="0" fontId="23" fillId="37" borderId="0" xfId="0" applyFont="1" applyFill="1" applyNumberFormat="1">
      <alignment horizontal="center" vertical="center" wrapText="1"/>
    </xf>
    <xf numFmtId="49" fontId="48" fillId="40" borderId="17" xfId="0" applyFont="1" applyFill="1" applyBorder="1" applyNumberFormat="1">
      <alignment horizontal="left" vertical="center"/>
    </xf>
    <xf numFmtId="0" fontId="23" fillId="0" borderId="21" xfId="0" applyFont="1" applyBorder="1" applyNumberFormat="1">
      <alignment vertical="center" wrapText="1"/>
    </xf>
    <xf numFmtId="0" fontId="23" fillId="0" borderId="0" xfId="0" applyFont="1" applyNumberFormat="1">
      <alignment horizontal="left" vertical="center" wrapText="1" indent="1"/>
    </xf>
    <xf numFmtId="0" fontId="76" fillId="0" borderId="0" xfId="0" applyFont="1" applyNumberFormat="1">
      <alignment vertical="center" wrapText="1"/>
    </xf>
    <xf numFmtId="49" fontId="0" fillId="37" borderId="16" xfId="0" applyFont="1" applyFill="1" applyBorder="1" applyNumberFormat="1">
      <alignment horizontal="center" vertical="center" wrapText="1"/>
    </xf>
    <xf numFmtId="49" fontId="48" fillId="40" borderId="29" xfId="0" applyFont="1" applyFill="1" applyBorder="1" applyNumberFormat="1">
      <alignment horizontal="left" vertical="center" indent="2"/>
    </xf>
    <xf numFmtId="49" fontId="34" fillId="39" borderId="14" xfId="0" applyFont="1" applyFill="1" applyBorder="1" applyNumberFormat="1">
      <alignment horizontal="left" vertical="center" wrapText="1"/>
      <protection locked="0"/>
    </xf>
    <xf numFmtId="49" fontId="23" fillId="0" borderId="21" xfId="0" applyFont="1" applyBorder="1" applyNumberFormat="1">
      <alignment vertical="top"/>
    </xf>
    <xf numFmtId="49" fontId="78" fillId="40" borderId="15" xfId="0" applyFont="1" applyFill="1" applyBorder="1" applyNumberFormat="1">
      <alignment horizontal="left" vertical="center" indent="1"/>
    </xf>
    <xf numFmtId="49" fontId="78" fillId="40" borderId="17" xfId="0" applyFont="1" applyFill="1" applyBorder="1" applyNumberFormat="1">
      <alignment horizontal="left" vertical="center" indent="1"/>
    </xf>
    <xf numFmtId="49" fontId="36" fillId="40" borderId="16" xfId="0" applyFont="1" applyFill="1" applyBorder="1" applyNumberFormat="1">
      <alignment horizontal="center" vertical="center"/>
    </xf>
    <xf numFmtId="49" fontId="78" fillId="40" borderId="17" xfId="0" applyFont="1" applyFill="1" applyBorder="1" applyNumberFormat="1">
      <alignment vertical="center"/>
    </xf>
    <xf numFmtId="0" fontId="0" fillId="34" borderId="14" xfId="0" applyFont="1" applyFill="1" applyBorder="1" applyNumberFormat="1">
      <alignment horizontal="right" vertical="center"/>
    </xf>
    <xf numFmtId="0" fontId="41" fillId="0" borderId="0" xfId="0" applyFont="1" applyNumberFormat="1">
      <alignment vertical="center" wrapText="1"/>
    </xf>
    <xf numFmtId="0" fontId="23" fillId="0" borderId="0" xfId="0" applyFont="1" applyNumberFormat="1">
      <alignment vertical="center" wrapText="1"/>
    </xf>
    <xf numFmtId="0" fontId="42" fillId="37" borderId="0" xfId="0" applyFont="1" applyFill="1" applyNumberFormat="1">
      <alignment vertical="center" wrapText="1"/>
    </xf>
    <xf numFmtId="0" fontId="40" fillId="0" borderId="0" xfId="0" applyFont="1" applyNumberFormat="1">
      <alignment horizontal="center" vertical="center" wrapText="1"/>
    </xf>
    <xf numFmtId="0" fontId="0" fillId="0" borderId="0" xfId="0" applyFont="1" applyNumberFormat="1">
      <alignment vertical="center" wrapText="1"/>
    </xf>
    <xf numFmtId="0" fontId="40" fillId="0" borderId="0" xfId="0" applyFont="1" applyNumberFormat="1">
      <alignment horizontal="left" vertical="center" wrapText="1"/>
    </xf>
    <xf numFmtId="0" fontId="0" fillId="0" borderId="14" xfId="0" applyFont="1" applyBorder="1" applyNumberFormat="1">
      <alignment horizontal="center" vertical="center" wrapText="1"/>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0" fontId="54" fillId="0" borderId="0" xfId="0" applyFont="1" applyNumberFormat="1">
      <alignment vertical="center" wrapText="1"/>
    </xf>
    <xf numFmtId="0" fontId="0" fillId="0" borderId="0" xfId="0" applyFont="1" applyNumberFormat="1">
      <alignment vertical="center"/>
    </xf>
    <xf numFmtId="49" fontId="55" fillId="0" borderId="0" xfId="0" applyFont="1" applyNumberFormat="1">
      <alignment vertical="top"/>
    </xf>
    <xf numFmtId="0" fontId="79" fillId="0" borderId="0" xfId="0" applyFont="1" applyNumberFormat="1">
      <alignment vertical="center" wrapText="1"/>
    </xf>
    <xf numFmtId="49" fontId="36" fillId="40" borderId="16" xfId="0" applyFont="1" applyFill="1" applyBorder="1" applyNumberFormat="1">
      <alignment horizontal="right" vertical="center" wrapText="1"/>
    </xf>
    <xf numFmtId="49" fontId="54" fillId="0" borderId="0" xfId="0" applyFont="1" applyNumberFormat="1">
      <alignment vertical="top"/>
    </xf>
    <xf numFmtId="49" fontId="0" fillId="0" borderId="0" xfId="0" applyFont="1" applyNumberFormat="1">
      <alignment vertical="top"/>
    </xf>
    <xf numFmtId="49" fontId="0" fillId="40" borderId="15" xfId="0" applyFont="1" applyFill="1" applyBorder="1" applyNumberFormat="1">
      <alignment horizontal="right" vertical="center" wrapText="1"/>
    </xf>
    <xf numFmtId="0" fontId="0" fillId="0" borderId="14" xfId="0" applyFont="1" applyBorder="1" applyNumberFormat="1">
      <alignment horizontal="center"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65" fillId="0" borderId="0" xfId="0" applyFont="1" applyNumberFormat="1">
      <alignment vertical="center" wrapText="1"/>
    </xf>
    <xf numFmtId="0" fontId="0" fillId="0" borderId="16" xfId="0" applyFont="1" applyBorder="1" applyNumberFormat="1">
      <alignment horizontal="center" vertical="center" wrapText="1"/>
    </xf>
    <xf numFmtId="0" fontId="0" fillId="39"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vertical="top" wrapText="1"/>
    </xf>
    <xf numFmtId="0" fontId="0" fillId="37" borderId="16" xfId="0" applyFont="1" applyFill="1" applyBorder="1" applyNumberFormat="1">
      <alignment horizontal="left" vertical="center" wrapText="1" indent="1"/>
    </xf>
    <xf numFmtId="0" fontId="0" fillId="37" borderId="19" xfId="0" applyFont="1" applyFill="1" applyBorder="1" applyNumberFormat="1">
      <alignment horizontal="left" vertical="center" wrapText="1"/>
    </xf>
    <xf numFmtId="0" fontId="0" fillId="37" borderId="14" xfId="0" applyFont="1" applyFill="1" applyBorder="1" applyNumberFormat="1">
      <alignment horizontal="left" vertical="center" wrapText="1"/>
    </xf>
    <xf numFmtId="0" fontId="0" fillId="37" borderId="14" xfId="0" applyFont="1" applyFill="1" applyBorder="1" applyNumberFormat="1">
      <alignment horizontal="left" vertical="center" wrapText="1" indent="2"/>
    </xf>
    <xf numFmtId="0" fontId="0" fillId="37" borderId="14" xfId="0" applyFont="1" applyFill="1" applyBorder="1" applyNumberFormat="1">
      <alignment horizontal="center" vertical="center"/>
    </xf>
    <xf numFmtId="49" fontId="0" fillId="42" borderId="14" xfId="0" applyFont="1" applyFill="1" applyBorder="1" applyNumberFormat="1">
      <alignment horizontal="left" vertical="center" wrapText="1"/>
      <protection locked="0"/>
    </xf>
    <xf numFmtId="0" fontId="0" fillId="37" borderId="14" xfId="0" applyFont="1" applyFill="1" applyBorder="1" applyNumberFormat="1">
      <alignment horizontal="left" vertical="center" wrapText="1" indent="1"/>
    </xf>
    <xf numFmtId="0" fontId="0" fillId="0" borderId="14" xfId="0" applyFont="1" applyBorder="1" applyNumberFormat="1">
      <alignment horizontal="center" vertical="center" wrapText="1"/>
    </xf>
    <xf numFmtId="0" fontId="0" fillId="37" borderId="14" xfId="0" applyFont="1" applyFill="1" applyBorder="1" applyNumberFormat="1">
      <alignment vertical="center" wrapText="1"/>
    </xf>
    <xf numFmtId="49" fontId="0" fillId="37" borderId="14" xfId="0" applyFont="1" applyFill="1" applyBorder="1" applyNumberFormat="1">
      <alignment horizontal="center" vertical="center"/>
    </xf>
    <xf numFmtId="0" fontId="0" fillId="37" borderId="14" xfId="0" applyFont="1" applyFill="1" applyBorder="1" applyNumberFormat="1">
      <alignment horizontal="center" vertical="center" wrapText="1"/>
    </xf>
    <xf numFmtId="0" fontId="23" fillId="0" borderId="0" xfId="0" applyFont="1" applyNumberFormat="1">
      <alignment vertical="center" wrapText="1"/>
    </xf>
    <xf numFmtId="49" fontId="44" fillId="37" borderId="0" xfId="0" applyFont="1" applyFill="1" applyNumberFormat="1">
      <alignment horizontal="center"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45" fillId="0" borderId="0" xfId="0" applyFont="1" applyNumberFormat="1">
      <alignment horizontal="center" vertical="center" wrapText="1"/>
    </xf>
    <xf numFmtId="0" fontId="50" fillId="0" borderId="0" xfId="0" applyFont="1" applyNumberFormat="1">
      <alignment vertical="center" wrapText="1"/>
    </xf>
    <xf numFmtId="0" fontId="22" fillId="0" borderId="0" xfId="0" applyFont="1" applyNumberFormat="1">
      <alignment horizontal="center" vertical="center" wrapText="1"/>
    </xf>
    <xf numFmtId="0" fontId="53" fillId="0" borderId="0" xfId="0" applyFont="1" applyNumberFormat="1">
      <alignment vertical="center" wrapText="1"/>
    </xf>
    <xf numFmtId="0" fontId="0" fillId="37" borderId="0" xfId="0" applyFont="1" applyFill="1" applyNumberFormat="1"/>
    <xf numFmtId="0" fontId="0" fillId="37" borderId="0" xfId="0" applyFont="1" applyFill="1" applyNumberFormat="1">
      <alignment horizontal="center"/>
    </xf>
    <xf numFmtId="0" fontId="23" fillId="37" borderId="0" xfId="0" applyFont="1" applyFill="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1" fillId="37" borderId="0" xfId="0" applyFont="1" applyFill="1" applyNumberFormat="1"/>
    <xf numFmtId="0" fontId="82" fillId="37" borderId="0" xfId="0" applyFont="1" applyFill="1" applyNumberFormat="1">
      <alignment horizontal="right" vertical="center"/>
    </xf>
    <xf numFmtId="0" fontId="82" fillId="37" borderId="0" xfId="0" applyFont="1" applyFill="1" applyNumberFormat="1">
      <alignment horizontal="right" vertical="top"/>
    </xf>
    <xf numFmtId="0" fontId="23" fillId="37" borderId="0" xfId="0" applyFont="1" applyFill="1" applyNumberFormat="1">
      <alignment horizontal="center" vertical="center" wrapText="1"/>
    </xf>
    <xf numFmtId="0" fontId="44" fillId="37" borderId="0" xfId="0" applyFont="1" applyFill="1" applyNumberFormat="1">
      <alignment horizontal="center" vertical="center"/>
    </xf>
    <xf numFmtId="0" fontId="23" fillId="0" borderId="14" xfId="0" applyFont="1" applyBorder="1" applyNumberFormat="1">
      <alignment horizontal="center" vertical="center" wrapText="1"/>
    </xf>
    <xf numFmtId="0" fontId="53" fillId="0" borderId="0" xfId="0" applyFont="1" applyNumberFormat="1">
      <alignment vertical="top" wrapText="1"/>
    </xf>
    <xf numFmtId="0" fontId="23" fillId="40" borderId="16" xfId="0" applyFont="1" applyFill="1" applyBorder="1" applyNumberFormat="1">
      <alignment horizontal="center"/>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0" fontId="83" fillId="37" borderId="0" xfId="0" applyFont="1" applyFill="1" applyNumberFormat="1">
      <alignment vertical="center"/>
    </xf>
    <xf numFmtId="0" fontId="83" fillId="37" borderId="0" xfId="0" applyFont="1" applyFill="1" applyNumberFormat="1">
      <alignment vertical="center" wrapText="1"/>
    </xf>
    <xf numFmtId="49"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vertical="center" wrapText="1"/>
    </xf>
    <xf numFmtId="0" fontId="70" fillId="37" borderId="0" xfId="0" applyFont="1" applyFill="1" applyNumberFormat="1"/>
    <xf numFmtId="0" fontId="58" fillId="37" borderId="0" xfId="0" applyFont="1" applyFill="1" applyNumberFormat="1"/>
    <xf numFmtId="0" fontId="66" fillId="37" borderId="0" xfId="0" applyFont="1" applyFill="1" applyNumberFormat="1"/>
    <xf numFmtId="0" fontId="66" fillId="37" borderId="0" xfId="0" applyFont="1" applyFill="1" applyNumberFormat="1">
      <alignment horizontal="center"/>
    </xf>
    <xf numFmtId="0" fontId="63" fillId="0" borderId="0" xfId="0" applyFont="1" applyNumberFormat="1">
      <alignment vertical="center" wrapText="1"/>
    </xf>
    <xf numFmtId="0" fontId="65" fillId="0" borderId="0" xfId="0" applyFont="1" applyNumberFormat="1">
      <alignment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4" fontId="65" fillId="0" borderId="0" xfId="0" applyFont="1" applyNumberFormat="1">
      <alignment horizontal="right" vertical="center" wrapText="1"/>
    </xf>
    <xf numFmtId="0" fontId="65" fillId="0" borderId="0" xfId="0" applyFont="1" applyNumberFormat="1">
      <alignment horizontal="left" vertical="center" wrapText="1" indent="1"/>
    </xf>
    <xf numFmtId="0" fontId="84" fillId="37" borderId="0" xfId="0" applyFont="1" applyFill="1" applyNumberFormat="1">
      <alignment horizontal="center" vertical="center" wrapText="1"/>
    </xf>
    <xf numFmtId="0" fontId="44" fillId="37" borderId="0" xfId="0" applyFont="1" applyFill="1" applyNumberFormat="1">
      <alignment horizontal="center" vertical="center" wrapText="1"/>
    </xf>
    <xf numFmtId="0" fontId="69" fillId="0" borderId="0" xfId="0" applyFont="1" applyNumberFormat="1">
      <alignment vertical="center" wrapText="1"/>
    </xf>
    <xf numFmtId="0" fontId="55" fillId="0" borderId="0" xfId="0" applyFont="1" applyNumberFormat="1">
      <alignment vertical="center" wrapText="1"/>
    </xf>
    <xf numFmtId="49" fontId="23" fillId="43" borderId="14" xfId="0" applyFont="1" applyFill="1" applyBorder="1" applyNumberFormat="1">
      <alignment horizontal="left" vertical="center" wrapText="1"/>
    </xf>
    <xf numFmtId="0" fontId="69" fillId="0" borderId="0" xfId="0" applyFont="1" applyNumberFormat="1">
      <alignment horizontal="center" vertical="center" wrapText="1"/>
    </xf>
    <xf numFmtId="0" fontId="23" fillId="37" borderId="26" xfId="0" applyFont="1" applyFill="1" applyBorder="1" applyNumberFormat="1">
      <alignment vertical="center" wrapText="1"/>
    </xf>
    <xf numFmtId="49" fontId="44" fillId="37" borderId="17" xfId="0" applyFont="1" applyFill="1" applyBorder="1" applyNumberFormat="1">
      <alignment horizontal="center" vertical="center" wrapText="1"/>
    </xf>
    <xf numFmtId="0" fontId="55" fillId="0" borderId="0" xfId="0" applyFont="1" applyNumberFormat="1">
      <alignment horizontal="center" vertical="center" wrapText="1"/>
    </xf>
    <xf numFmtId="0" fontId="84" fillId="0" borderId="0" xfId="0" applyFont="1" applyNumberFormat="1">
      <alignment horizontal="center" vertical="center" wrapText="1"/>
    </xf>
    <xf numFmtId="0" fontId="77" fillId="0" borderId="0" xfId="0" applyFont="1" applyNumberFormat="1">
      <alignment vertical="center" wrapText="1"/>
    </xf>
    <xf numFmtId="49" fontId="77" fillId="0" borderId="14" xfId="0" applyFont="1" applyBorder="1" applyNumberFormat="1">
      <alignment horizontal="lef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0" fontId="55" fillId="0" borderId="0" xfId="0" applyFont="1" applyNumberFormat="1">
      <alignment vertical="center"/>
    </xf>
    <xf numFmtId="0" fontId="55" fillId="37" borderId="0" xfId="0" applyFont="1" applyFill="1" applyNumberFormat="1"/>
    <xf numFmtId="0" fontId="55" fillId="37" borderId="0" xfId="0" applyFont="1" applyFill="1" applyNumberFormat="1">
      <alignment vertical="center" wrapText="1"/>
    </xf>
    <xf numFmtId="0" fontId="55" fillId="0" borderId="0" xfId="0" applyFont="1" applyNumberFormat="1">
      <alignment vertical="center" wrapText="1"/>
    </xf>
    <xf numFmtId="49" fontId="23" fillId="0" borderId="0" xfId="0" applyFont="1" applyNumberFormat="1">
      <alignment vertical="top"/>
    </xf>
    <xf numFmtId="0" fontId="23" fillId="0" borderId="0" xfId="0" applyFont="1" applyNumberFormat="1">
      <alignment vertical="center" wrapText="1"/>
    </xf>
    <xf numFmtId="0" fontId="45" fillId="37" borderId="0" xfId="0" applyFont="1" applyFill="1" applyNumberFormat="1">
      <alignment horizontal="center" vertical="center" wrapText="1"/>
    </xf>
    <xf numFmtId="0" fontId="50" fillId="0" borderId="0" xfId="0" applyFont="1" applyNumberFormat="1">
      <alignment vertical="center" wrapText="1"/>
    </xf>
    <xf numFmtId="49" fontId="23" fillId="0" borderId="14" xfId="0" applyFont="1" applyBorder="1" applyNumberFormat="1">
      <alignment horizontal="left" vertical="center" wrapText="1"/>
    </xf>
    <xf numFmtId="0" fontId="23" fillId="0" borderId="0" xfId="0" applyFont="1" applyNumberFormat="1">
      <alignment vertical="center" wrapText="1"/>
    </xf>
    <xf numFmtId="49" fontId="55" fillId="0" borderId="0" xfId="0" applyFont="1" applyNumberFormat="1">
      <alignment vertical="center" wrapText="1"/>
    </xf>
    <xf numFmtId="0" fontId="55" fillId="0" borderId="0" xfId="0" applyFont="1" applyNumberFormat="1">
      <alignment vertical="center" wrapText="1"/>
    </xf>
    <xf numFmtId="0" fontId="23" fillId="0" borderId="14" xfId="0" applyFont="1" applyBorder="1" applyNumberFormat="1">
      <alignment horizontal="center" vertical="center"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55" fillId="0" borderId="0" xfId="0" applyFont="1" applyNumberFormat="1">
      <alignment vertical="center" wrapText="1"/>
    </xf>
    <xf numFmtId="49" fontId="34" fillId="0" borderId="14" xfId="0" applyFont="1" applyBorder="1" applyNumberFormat="1">
      <alignment horizontal="left" vertical="center" wrapText="1"/>
    </xf>
    <xf numFmtId="14"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center" vertical="center" wrapText="1"/>
    </xf>
    <xf numFmtId="0" fontId="87" fillId="0" borderId="0" xfId="0" applyFont="1" applyNumberFormat="1">
      <alignment horizontal="center" vertical="center" wrapText="1"/>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0" fillId="37" borderId="16" xfId="0" applyFont="1" applyFill="1" applyBorder="1" applyNumberFormat="1">
      <alignment horizontal="left" vertical="center" wrapText="1"/>
    </xf>
    <xf numFmtId="49" fontId="36" fillId="40" borderId="17" xfId="0" applyFont="1" applyFill="1" applyBorder="1" applyNumberFormat="1">
      <alignment horizontal="center" vertical="center"/>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vertical="center" wrapText="1"/>
    </xf>
    <xf numFmtId="0" fontId="54" fillId="0" borderId="0" xfId="0" applyFont="1" applyNumberFormat="1">
      <alignment horizontal="center" vertical="center" wrapText="1"/>
    </xf>
    <xf numFmtId="0" fontId="88" fillId="0" borderId="0" xfId="0" applyFont="1" applyNumberFormat="1">
      <alignment vertical="center" wrapText="1"/>
    </xf>
    <xf numFmtId="49" fontId="54" fillId="0" borderId="0" xfId="0" applyFont="1" applyNumberFormat="1">
      <alignment horizontal="center" vertical="center" wrapText="1"/>
    </xf>
    <xf numFmtId="0" fontId="54" fillId="0" borderId="0" xfId="0" applyFont="1" applyNumberFormat="1">
      <alignment vertical="center" wrapText="1"/>
    </xf>
    <xf numFmtId="49" fontId="23" fillId="0" borderId="0" xfId="0" applyFont="1" applyNumberFormat="1">
      <alignment horizontal="center" vertical="top" wrapText="1"/>
    </xf>
    <xf numFmtId="49" fontId="23"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 fontId="23" fillId="39" borderId="14" xfId="0" applyFont="1" applyFill="1" applyBorder="1" applyNumberFormat="1">
      <alignment horizontal="right" vertical="center" wrapText="1"/>
      <protection locked="0"/>
    </xf>
    <xf numFmtId="0" fontId="23" fillId="0" borderId="15" xfId="0" applyFont="1" applyBorder="1" applyNumberFormat="1">
      <alignment vertical="top" wrapText="1"/>
    </xf>
    <xf numFmtId="0" fontId="89" fillId="0" borderId="0" xfId="0" applyFont="1" applyNumberFormat="1">
      <alignment vertical="center" wrapText="1"/>
    </xf>
    <xf numFmtId="0" fontId="59" fillId="0" borderId="0" xfId="0" applyFont="1" applyNumberFormat="1">
      <alignment vertical="center" wrapText="1"/>
    </xf>
    <xf numFmtId="166" fontId="23" fillId="39" borderId="14" xfId="0" applyFont="1" applyFill="1" applyBorder="1" applyNumberFormat="1">
      <alignment horizontal="right" vertical="center" wrapText="1"/>
      <protection locked="0"/>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49" fontId="55" fillId="0" borderId="0" xfId="0" applyFont="1" applyNumberFormat="1">
      <alignment horizontal="center"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0" fontId="23" fillId="39" borderId="14" xfId="0" applyFont="1" applyFill="1" applyBorder="1" applyNumberFormat="1">
      <alignment horizontal="left" vertical="center" wrapText="1"/>
      <protection locked="0"/>
    </xf>
    <xf numFmtId="0" fontId="22" fillId="0" borderId="0" xfId="0" applyFont="1" applyNumberFormat="1">
      <alignment vertical="center" wrapText="1"/>
    </xf>
    <xf numFmtId="4" fontId="23" fillId="42" borderId="14" xfId="0" applyFont="1" applyFill="1" applyBorder="1" applyNumberFormat="1">
      <alignment horizontal="right" vertical="center" wrapText="1"/>
      <protection locked="0"/>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center" wrapText="1" indent="1"/>
    </xf>
    <xf numFmtId="49" fontId="77" fillId="0" borderId="0" xfId="0" applyFont="1" applyNumberFormat="1">
      <alignment horizontal="center" vertical="center" wrapText="1"/>
    </xf>
    <xf numFmtId="49" fontId="77" fillId="0" borderId="30" xfId="0" applyFont="1" applyBorder="1" applyNumberFormat="1">
      <alignment horizontal="center" vertical="center" wrapText="1"/>
    </xf>
    <xf numFmtId="0" fontId="77" fillId="0" borderId="14" xfId="0" applyFont="1" applyBorder="1" applyNumberFormat="1">
      <alignment horizontal="left" vertical="center" wrapText="1" indent="2"/>
    </xf>
    <xf numFmtId="0" fontId="77" fillId="0" borderId="14" xfId="0" applyFont="1" applyBorder="1" applyNumberFormat="1">
      <alignment horizontal="center" vertical="center" wrapText="1"/>
    </xf>
    <xf numFmtId="0" fontId="77" fillId="0" borderId="14" xfId="0" applyFont="1" applyBorder="1" applyNumberFormat="1">
      <alignment vertical="center" wrapText="1"/>
    </xf>
    <xf numFmtId="0" fontId="90" fillId="0" borderId="0" xfId="0" applyFont="1" applyNumberFormat="1">
      <alignment vertical="center" wrapText="1"/>
    </xf>
    <xf numFmtId="0" fontId="68" fillId="0" borderId="0" xfId="0" applyFont="1" applyNumberFormat="1">
      <alignment vertical="center" wrapText="1"/>
    </xf>
    <xf numFmtId="0" fontId="77" fillId="0" borderId="30" xfId="0" applyFont="1" applyBorder="1" applyNumberFormat="1">
      <alignment horizontal="center" vertical="center" wrapText="1"/>
    </xf>
    <xf numFmtId="0" fontId="77" fillId="0" borderId="14" xfId="0" applyFont="1" applyBorder="1" applyNumberFormat="1">
      <alignment horizontal="left" vertical="center" wrapText="1" indent="3"/>
    </xf>
    <xf numFmtId="4" fontId="77" fillId="0" borderId="14" xfId="0" applyFont="1" applyBorder="1" applyNumberFormat="1">
      <alignment horizontal="right" vertical="center" wrapText="1"/>
    </xf>
    <xf numFmtId="49"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14" fontId="23" fillId="0" borderId="0" xfId="0" applyFont="1" applyNumberFormat="1">
      <alignment horizontal="center" vertical="center" wrapText="1"/>
    </xf>
    <xf numFmtId="49" fontId="36" fillId="0" borderId="0" xfId="0" applyFont="1" applyNumberFormat="1">
      <alignment horizontal="center" vertical="center"/>
    </xf>
    <xf numFmtId="0" fontId="23" fillId="0" borderId="14" xfId="0" applyFont="1" applyBorder="1" applyNumberFormat="1">
      <alignment horizontal="left" vertical="center" wrapText="1" indent="2"/>
    </xf>
    <xf numFmtId="166" fontId="23" fillId="42" borderId="14"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 fontId="23" fillId="38" borderId="19"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0" fontId="23" fillId="0" borderId="0" xfId="0" applyFont="1" applyNumberFormat="1">
      <alignment horizontal="left" vertical="center" wrapText="1"/>
    </xf>
    <xf numFmtId="0" fontId="23" fillId="0" borderId="0" xfId="0" applyFont="1" applyNumberFormat="1">
      <alignment vertical="center"/>
    </xf>
    <xf numFmtId="0" fontId="0" fillId="0" borderId="0" xfId="0" applyFont="1" applyNumberFormat="1">
      <alignment vertical="center"/>
    </xf>
    <xf numFmtId="0" fontId="54" fillId="0" borderId="0" xfId="0" applyFont="1" applyNumberFormat="1">
      <alignment vertical="center"/>
    </xf>
    <xf numFmtId="0" fontId="23" fillId="0" borderId="0" xfId="0" applyFont="1" applyNumberFormat="1">
      <alignment vertical="center"/>
    </xf>
    <xf numFmtId="0" fontId="91" fillId="0" borderId="0" xfId="0" applyFont="1" applyNumberFormat="1">
      <alignment vertical="center"/>
    </xf>
    <xf numFmtId="0" fontId="49" fillId="0" borderId="0" xfId="0" applyFont="1" applyNumberFormat="1">
      <alignment vertical="center"/>
    </xf>
    <xf numFmtId="0" fontId="23" fillId="0" borderId="0" xfId="0" applyFont="1" applyNumberFormat="1">
      <alignment vertical="center" wrapText="1"/>
    </xf>
    <xf numFmtId="0" fontId="49" fillId="0" borderId="0" xfId="0" applyFont="1" applyNumberFormat="1">
      <alignment vertical="center"/>
    </xf>
    <xf numFmtId="0" fontId="91" fillId="0" borderId="0" xfId="0" applyFont="1" applyNumberFormat="1">
      <alignment vertical="center"/>
    </xf>
    <xf numFmtId="0" fontId="37" fillId="0" borderId="0" xfId="0" applyFont="1" applyNumberFormat="1">
      <alignment vertical="center"/>
    </xf>
    <xf numFmtId="0" fontId="23" fillId="0" borderId="0" xfId="0" applyFont="1" applyNumberFormat="1">
      <alignment horizontal="center" vertical="center" wrapText="1"/>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0" fontId="54" fillId="0" borderId="0" xfId="0" applyFont="1" applyNumberFormat="1">
      <alignment vertical="center"/>
    </xf>
    <xf numFmtId="0" fontId="0"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0" fontId="0" fillId="40" borderId="15" xfId="0" applyFont="1" applyFill="1" applyBorder="1" applyNumberFormat="1">
      <alignment vertical="center"/>
    </xf>
    <xf numFmtId="49" fontId="23" fillId="0" borderId="19" xfId="0" applyFont="1" applyBorder="1" applyNumberFormat="1">
      <alignment horizontal="center" vertical="center" wrapText="1"/>
    </xf>
    <xf numFmtId="49" fontId="80" fillId="0" borderId="14" xfId="0" applyFont="1" applyBorder="1" applyNumberFormat="1">
      <alignment horizontal="left" vertical="center" wrapText="1" indent="1"/>
    </xf>
    <xf numFmtId="0" fontId="54" fillId="0" borderId="0" xfId="0" applyFont="1" applyNumberFormat="1">
      <alignment vertical="center"/>
    </xf>
    <xf numFmtId="0" fontId="79" fillId="0" borderId="0" xfId="0" applyFont="1" applyNumberFormat="1">
      <alignment vertical="center"/>
    </xf>
    <xf numFmtId="0" fontId="0" fillId="0" borderId="0" xfId="0" applyFont="1" applyNumberFormat="1">
      <alignment vertical="center"/>
    </xf>
    <xf numFmtId="49" fontId="48" fillId="40" borderId="15"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0" fontId="80" fillId="44" borderId="0" xfId="0" applyFont="1" applyFill="1" applyNumberFormat="1">
      <alignment vertical="top"/>
    </xf>
    <xf numFmtId="49" fontId="40" fillId="0" borderId="0" xfId="0" applyFont="1" applyNumberFormat="1">
      <alignment horizontal="center" vertical="center" wrapText="1"/>
    </xf>
    <xf numFmtId="0" fontId="55"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center" vertical="center" wrapText="1"/>
    </xf>
    <xf numFmtId="0" fontId="36" fillId="0" borderId="0" xfId="0" applyFont="1" applyNumberFormat="1">
      <alignment horizontal="center" vertical="center" wrapText="1"/>
    </xf>
    <xf numFmtId="49" fontId="40"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49" fontId="68" fillId="0" borderId="0" xfId="0" applyFont="1" applyNumberFormat="1">
      <alignment horizontal="center" vertical="center" wrapText="1"/>
    </xf>
    <xf numFmtId="0" fontId="68"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49" fontId="0" fillId="0" borderId="15" xfId="0" applyFont="1" applyBorder="1" applyNumberFormat="1">
      <alignment horizontal="center"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48" fillId="0" borderId="14" xfId="0" applyFont="1" applyBorder="1" applyNumberFormat="1">
      <alignment horizontal="left" vertical="center" indent="1"/>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23" fillId="0" borderId="0" xfId="0" applyFont="1" applyNumberFormat="1">
      <alignment vertical="top" wrapText="1"/>
    </xf>
    <xf numFmtId="0" fontId="23" fillId="0" borderId="0" xfId="0" applyFont="1" applyNumberFormat="1">
      <alignment horizontal="left" vertical="top" wrapText="1"/>
    </xf>
    <xf numFmtId="0" fontId="44" fillId="0" borderId="0" xfId="0" applyFont="1" applyNumberFormat="1">
      <alignment horizontal="center"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49" fontId="34" fillId="39" borderId="16"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53" fillId="0" borderId="0" xfId="0" applyFont="1" applyNumberFormat="1">
      <alignment vertical="top"/>
    </xf>
    <xf numFmtId="49" fontId="23" fillId="0" borderId="33" xfId="0" applyFont="1" applyBorder="1" applyNumberFormat="1">
      <alignment horizontal="center" vertical="center" wrapText="1"/>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0" borderId="34" xfId="0" applyFont="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0" fontId="23" fillId="0" borderId="33" xfId="0" applyFont="1" applyBorder="1" applyNumberFormat="1">
      <alignment horizontal="left" vertical="center" wrapText="1" indent="2"/>
    </xf>
    <xf numFmtId="0" fontId="54" fillId="0" borderId="0" xfId="0" applyFont="1" applyNumberFormat="1">
      <alignment horizontal="center" vertical="center" wrapText="1"/>
    </xf>
    <xf numFmtId="49" fontId="23" fillId="0" borderId="0" xfId="0" applyFont="1" applyNumberFormat="1">
      <alignment horizontal="left" vertical="center" wrapText="1"/>
    </xf>
    <xf numFmtId="0" fontId="88" fillId="0" borderId="0" xfId="0" applyFont="1" applyNumberFormat="1">
      <alignment vertical="center" wrapText="1"/>
    </xf>
    <xf numFmtId="0" fontId="88" fillId="0" borderId="0" xfId="0" applyFont="1" applyNumberFormat="1">
      <alignment vertical="center" wrapText="1"/>
    </xf>
    <xf numFmtId="0" fontId="23" fillId="0" borderId="0" xfId="0" applyFont="1" applyNumberFormat="1">
      <alignment horizontal="left"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0" fontId="23" fillId="0" borderId="15" xfId="0" applyFont="1" applyBorder="1" applyNumberFormat="1">
      <alignment vertical="center" wrapText="1"/>
    </xf>
    <xf numFmtId="4" fontId="23" fillId="39" borderId="16" xfId="0" applyFont="1" applyFill="1" applyBorder="1" applyNumberFormat="1">
      <alignment horizontal="right" vertical="center" wrapText="1"/>
      <protection locked="0"/>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44" fillId="0" borderId="0" xfId="0" applyFont="1" applyNumberFormat="1">
      <alignment horizontal="center" vertical="center" wrapText="1"/>
    </xf>
    <xf numFmtId="0" fontId="23" fillId="0" borderId="16" xfId="0" applyFont="1" applyBorder="1" applyNumberFormat="1">
      <alignment horizontal="center" vertical="center" wrapText="1"/>
    </xf>
    <xf numFmtId="3" fontId="23" fillId="42" borderId="16" xfId="0" applyFont="1" applyFill="1" applyBorder="1" applyNumberFormat="1">
      <alignment vertical="center" wrapText="1"/>
      <protection locked="0"/>
    </xf>
    <xf numFmtId="49" fontId="23" fillId="39" borderId="16" xfId="0" applyFont="1" applyFill="1" applyBorder="1" applyNumberFormat="1">
      <alignment horizontal="left" vertical="center" wrapText="1"/>
      <protection locked="0"/>
    </xf>
    <xf numFmtId="4" fontId="23" fillId="38" borderId="16" xfId="0" applyFont="1" applyFill="1" applyBorder="1" applyNumberFormat="1">
      <alignment horizontal="right" vertical="center" wrapText="1"/>
    </xf>
    <xf numFmtId="0" fontId="23" fillId="0" borderId="0" xfId="0" applyFont="1" applyNumberFormat="1">
      <alignment horizontal="left" vertical="center" wrapText="1"/>
    </xf>
    <xf numFmtId="0" fontId="0" fillId="0" borderId="16" xfId="0" applyFont="1" applyBorder="1" applyNumberFormat="1">
      <alignment horizontal="center" vertical="center"/>
    </xf>
    <xf numFmtId="49" fontId="0"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40" borderId="21" xfId="0" applyFont="1" applyFill="1" applyBorder="1" applyNumberFormat="1">
      <alignment vertical="center" wrapText="1"/>
    </xf>
    <xf numFmtId="0" fontId="23" fillId="0" borderId="17" xfId="0" applyFont="1" applyBorder="1" applyNumberFormat="1">
      <alignment horizontal="center" vertical="center" wrapText="1"/>
    </xf>
    <xf numFmtId="0" fontId="23" fillId="40" borderId="29" xfId="0" applyFont="1" applyFill="1" applyBorder="1" applyNumberFormat="1">
      <alignment vertical="center" wrapText="1"/>
    </xf>
    <xf numFmtId="49" fontId="23" fillId="42" borderId="16"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23" fillId="0" borderId="14" xfId="0" applyFont="1" applyBorder="1" applyNumberFormat="1">
      <alignment horizontal="center" vertical="center" wrapText="1"/>
    </xf>
    <xf numFmtId="49" fontId="54" fillId="0" borderId="0" xfId="0" applyFont="1" applyNumberFormat="1">
      <alignment horizontal="center" vertical="center" wrapText="1"/>
    </xf>
    <xf numFmtId="0" fontId="23" fillId="0" borderId="14" xfId="0" applyFont="1" applyBorder="1" applyNumberFormat="1">
      <alignment horizontal="center" vertical="center" wrapText="1"/>
    </xf>
    <xf numFmtId="0" fontId="54" fillId="0" borderId="0" xfId="0" applyFont="1" applyNumberFormat="1">
      <alignment horizontal="center" vertical="top"/>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23" fillId="0" borderId="14" xfId="0" applyFont="1" applyBorder="1" applyNumberFormat="1">
      <alignment horizontal="left" vertical="center" wrapText="1"/>
    </xf>
    <xf numFmtId="49" fontId="23" fillId="43" borderId="14" xfId="0" applyFont="1" applyFill="1" applyBorder="1" applyNumberFormat="1">
      <alignment horizontal="left" vertical="center" wrapText="1" indent="1"/>
    </xf>
    <xf numFmtId="0" fontId="23" fillId="0" borderId="16" xfId="0" applyFont="1" applyBorder="1" applyNumberFormat="1">
      <alignment vertical="center" wrapText="1"/>
    </xf>
    <xf numFmtId="0" fontId="23" fillId="0" borderId="0" xfId="0" applyFont="1" applyNumberFormat="1">
      <alignment horizontal="right" vertical="center"/>
    </xf>
    <xf numFmtId="49" fontId="34" fillId="40" borderId="15" xfId="0" applyFont="1" applyFill="1" applyBorder="1" applyNumberFormat="1">
      <alignment horizontal="left" vertical="center" wrapText="1"/>
    </xf>
    <xf numFmtId="0" fontId="94" fillId="0" borderId="0" xfId="0" applyFont="1" applyNumberFormat="1">
      <alignment vertical="center"/>
    </xf>
    <xf numFmtId="0" fontId="95" fillId="0" borderId="0" xfId="0" applyFont="1" applyNumberFormat="1">
      <alignment vertical="center"/>
    </xf>
    <xf numFmtId="49" fontId="55" fillId="0" borderId="24" xfId="0" applyFont="1" applyBorder="1" applyNumberFormat="1">
      <alignment vertical="top"/>
    </xf>
    <xf numFmtId="49" fontId="55" fillId="0" borderId="24" xfId="0" applyFont="1" applyBorder="1" applyNumberFormat="1">
      <alignment vertical="top"/>
    </xf>
    <xf numFmtId="0" fontId="55" fillId="0" borderId="24" xfId="0" applyFont="1" applyBorder="1" applyNumberFormat="1">
      <alignment vertical="center" wrapText="1"/>
    </xf>
    <xf numFmtId="0" fontId="23" fillId="0" borderId="15" xfId="0" applyFont="1" applyBorder="1" applyNumberFormat="1">
      <alignment horizontal="left" vertical="center" wrapText="1" indent="1"/>
    </xf>
    <xf numFmtId="0" fontId="76" fillId="0" borderId="24" xfId="0" applyFont="1" applyBorder="1" applyNumberFormat="1">
      <alignment vertical="center" wrapText="1"/>
    </xf>
    <xf numFmtId="4" fontId="23" fillId="0" borderId="33" xfId="0" applyFont="1" applyBorder="1" applyNumberFormat="1">
      <alignment horizontal="center" vertical="center" wrapText="1"/>
    </xf>
    <xf numFmtId="0" fontId="23" fillId="0" borderId="35" xfId="0" applyFont="1" applyBorder="1" applyNumberFormat="1">
      <alignment horizontal="left" vertical="center" wrapText="1"/>
    </xf>
    <xf numFmtId="0" fontId="23" fillId="0" borderId="35" xfId="0" applyFont="1" applyBorder="1" applyNumberFormat="1">
      <alignment horizontal="left" vertical="center" wrapText="1" indent="1"/>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9" fontId="23" fillId="0" borderId="36"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36" xfId="0" applyFont="1" applyFill="1" applyBorder="1" applyNumberFormat="1">
      <alignment horizontal="right" vertical="center" wrapText="1"/>
      <protection locked="0"/>
    </xf>
    <xf numFmtId="0" fontId="54" fillId="0" borderId="0" xfId="0" applyFont="1" applyNumberFormat="1">
      <alignment horizontal="left" vertical="center" wrapText="1"/>
    </xf>
    <xf numFmtId="0" fontId="55" fillId="0" borderId="0" xfId="0" applyFont="1" applyNumberFormat="1">
      <alignment horizontal="left" vertical="center" wrapText="1"/>
    </xf>
    <xf numFmtId="0" fontId="59" fillId="0" borderId="0" xfId="0" applyFont="1" applyNumberFormat="1">
      <alignment horizontal="left" vertical="center" wrapText="1"/>
    </xf>
    <xf numFmtId="0" fontId="40" fillId="0" borderId="0" xfId="0" applyFont="1" applyNumberFormat="1">
      <alignment horizontal="left" vertical="center" wrapText="1"/>
    </xf>
    <xf numFmtId="49" fontId="23" fillId="0" borderId="0" xfId="0" applyFont="1" applyNumberFormat="1">
      <alignment horizontal="center" vertical="center" wrapText="1"/>
    </xf>
    <xf numFmtId="0" fontId="89" fillId="0" borderId="0" xfId="0" applyFont="1" applyNumberFormat="1">
      <alignment vertical="center" wrapText="1"/>
    </xf>
    <xf numFmtId="0" fontId="55"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23" fillId="0" borderId="0" xfId="0" applyFont="1" applyNumberFormat="1">
      <alignment vertical="center" wrapText="1"/>
    </xf>
    <xf numFmtId="4" fontId="23" fillId="0" borderId="37"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49" fontId="23" fillId="0" borderId="35" xfId="0" applyFont="1" applyBorder="1" applyNumberFormat="1">
      <alignment horizontal="center" vertical="center" wrapText="1"/>
    </xf>
    <xf numFmtId="0" fontId="23" fillId="0" borderId="37" xfId="0" applyFont="1" applyBorder="1" applyNumberFormat="1">
      <alignment horizontal="left" vertical="center" wrapText="1"/>
    </xf>
    <xf numFmtId="0" fontId="23" fillId="0" borderId="22" xfId="0" applyFont="1" applyBorder="1" applyNumberFormat="1">
      <alignment vertical="center" wrapText="1"/>
    </xf>
    <xf numFmtId="0" fontId="45" fillId="0" borderId="0" xfId="0" applyFont="1" applyNumberFormat="1">
      <alignment horizontal="center"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166" fontId="23" fillId="38" borderId="14" xfId="0" applyFont="1" applyFill="1" applyBorder="1" applyNumberFormat="1">
      <alignment horizontal="right" vertical="center" wrapText="1"/>
    </xf>
    <xf numFmtId="0" fontId="0" fillId="0" borderId="0" xfId="0" applyFont="1" applyNumberFormat="1">
      <alignment vertical="center"/>
    </xf>
    <xf numFmtId="4" fontId="23" fillId="39" borderId="14" xfId="0" applyFont="1" applyFill="1" applyBorder="1" applyNumberFormat="1">
      <alignment horizontal="right" vertical="center" wrapText="1"/>
      <protection locked="0"/>
    </xf>
    <xf numFmtId="0" fontId="78" fillId="37" borderId="0" xfId="0" applyFont="1" applyFill="1" applyNumberFormat="1">
      <alignment horizontal="right" vertical="center"/>
    </xf>
    <xf numFmtId="49" fontId="0" fillId="0" borderId="14" xfId="0" applyFont="1" applyBorder="1" applyNumberFormat="1">
      <alignment vertical="top"/>
    </xf>
    <xf numFmtId="0" fontId="23" fillId="0" borderId="16" xfId="0" applyFont="1" applyBorder="1" applyNumberFormat="1">
      <alignment horizontal="center" vertical="center" wrapText="1"/>
    </xf>
    <xf numFmtId="49" fontId="0" fillId="16" borderId="14" xfId="0" applyFont="1" applyFill="1" applyBorder="1" applyNumberFormat="1">
      <alignment vertical="top"/>
    </xf>
    <xf numFmtId="49" fontId="0" fillId="16" borderId="19" xfId="0" applyFont="1" applyFill="1" applyBorder="1" applyNumberFormat="1">
      <alignment vertical="top"/>
    </xf>
    <xf numFmtId="49" fontId="0" fillId="45" borderId="19" xfId="0" applyFont="1" applyFill="1" applyBorder="1" applyNumberFormat="1">
      <alignment vertical="top"/>
    </xf>
    <xf numFmtId="0" fontId="23" fillId="0" borderId="0" xfId="0" applyFont="1" applyNumberFormat="1">
      <alignment vertical="center" wrapText="1"/>
    </xf>
    <xf numFmtId="0" fontId="40"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0" xfId="0" applyFont="1" applyNumberFormat="1">
      <alignment vertical="center" wrapText="1"/>
    </xf>
    <xf numFmtId="0" fontId="23" fillId="0" borderId="0" xfId="0" applyFont="1" applyNumberFormat="1">
      <alignment horizontal="center" vertical="center" wrapText="1"/>
    </xf>
    <xf numFmtId="49" fontId="0" fillId="0" borderId="16" xfId="0" applyFont="1" applyBorder="1" applyNumberFormat="1">
      <alignment vertical="top"/>
    </xf>
    <xf numFmtId="49" fontId="0" fillId="0" borderId="16" xfId="0" applyFont="1" applyBorder="1" applyNumberFormat="1">
      <alignment horizontal="center" vertical="top"/>
    </xf>
    <xf numFmtId="49" fontId="0" fillId="0" borderId="17" xfId="0" applyFont="1" applyBorder="1" applyNumberFormat="1">
      <alignment horizontal="center" vertical="top"/>
    </xf>
    <xf numFmtId="49" fontId="0" fillId="5" borderId="14" xfId="0" applyFont="1" applyFill="1" applyBorder="1" applyNumberFormat="1">
      <alignment vertical="top"/>
    </xf>
    <xf numFmtId="49" fontId="0" fillId="46" borderId="14" xfId="0" applyFont="1" applyFill="1" applyBorder="1" applyNumberFormat="1">
      <alignment vertical="top"/>
    </xf>
    <xf numFmtId="49" fontId="0" fillId="3" borderId="14" xfId="0" applyFont="1" applyFill="1" applyBorder="1" applyNumberFormat="1">
      <alignment vertical="top"/>
    </xf>
    <xf numFmtId="49" fontId="0" fillId="0" borderId="0" xfId="0" applyFont="1" applyNumberFormat="1">
      <alignment vertical="top"/>
    </xf>
    <xf numFmtId="0" fontId="23" fillId="0" borderId="0" xfId="0" applyFont="1" applyNumberFormat="1">
      <alignment horizontal="center" vertical="center" wrapText="1"/>
    </xf>
    <xf numFmtId="0" fontId="36" fillId="37" borderId="0" xfId="0" applyFont="1" applyFill="1" applyNumberFormat="1">
      <alignment vertical="center" wrapText="1"/>
    </xf>
    <xf numFmtId="0" fontId="34" fillId="0" borderId="0" xfId="0" applyFont="1" applyNumberFormat="1">
      <alignment horizontal="left" vertical="center" indent="1"/>
    </xf>
    <xf numFmtId="0" fontId="0" fillId="37" borderId="0" xfId="0" applyFont="1" applyFill="1" applyNumberFormat="1">
      <alignment horizontal="right" vertical="center" wrapText="1" indent="1"/>
    </xf>
    <xf numFmtId="0" fontId="0" fillId="37" borderId="0" xfId="0" applyFont="1" applyFill="1" applyNumberFormat="1">
      <alignment horizontal="left" vertical="center" wrapText="1" indent="1"/>
    </xf>
    <xf numFmtId="14" fontId="23" fillId="37" borderId="0" xfId="0" applyFont="1" applyFill="1" applyNumberFormat="1">
      <alignment horizontal="center" vertical="center" wrapText="1"/>
    </xf>
    <xf numFmtId="165" fontId="23" fillId="0" borderId="16" xfId="0" applyFont="1" applyBorder="1" applyNumberFormat="1">
      <alignment horizontal="center" vertical="center" wrapText="1"/>
    </xf>
    <xf numFmtId="49" fontId="44" fillId="0" borderId="17" xfId="0" applyFont="1" applyBorder="1" applyNumberFormat="1">
      <alignment horizontal="center" vertical="center" wrapText="1"/>
    </xf>
    <xf numFmtId="49" fontId="23" fillId="0" borderId="0" xfId="0" applyFont="1" applyNumberFormat="1">
      <alignment horizontal="center" vertical="center" wrapText="1"/>
    </xf>
    <xf numFmtId="0" fontId="23" fillId="0" borderId="25" xfId="0" applyFont="1" applyBorder="1" applyNumberFormat="1">
      <alignment horizontal="center" vertical="center" wrapText="1"/>
    </xf>
    <xf numFmtId="49" fontId="0" fillId="47" borderId="14" xfId="0" applyFont="1" applyFill="1" applyBorder="1" applyNumberFormat="1">
      <alignment vertical="top"/>
    </xf>
    <xf numFmtId="0" fontId="45" fillId="0" borderId="0" xfId="0" applyFont="1" applyNumberFormat="1">
      <alignment horizontal="center" vertical="center" wrapText="1"/>
    </xf>
    <xf numFmtId="0" fontId="96" fillId="0" borderId="0" xfId="0" applyFont="1" applyNumberFormat="1">
      <alignment horizontal="left" vertical="center" wrapText="1"/>
    </xf>
    <xf numFmtId="0" fontId="96" fillId="0" borderId="0" xfId="0" applyFont="1" applyNumberFormat="1">
      <alignment horizontal="left" vertical="center" wrapText="1"/>
    </xf>
    <xf numFmtId="14" fontId="96" fillId="37" borderId="0" xfId="0" applyFont="1" applyFill="1" applyNumberFormat="1">
      <alignment horizontal="left" vertical="center" wrapText="1"/>
    </xf>
    <xf numFmtId="14" fontId="97" fillId="0" borderId="0" xfId="0" applyFont="1" applyNumberFormat="1">
      <alignment horizontal="center" vertical="center" wrapText="1"/>
    </xf>
    <xf numFmtId="0" fontId="96" fillId="0" borderId="0" xfId="0" applyFont="1" applyNumberFormat="1">
      <alignment horizontal="left" vertical="center" wrapText="1"/>
    </xf>
    <xf numFmtId="14" fontId="98" fillId="0" borderId="14" xfId="0" applyFont="1" applyBorder="1" applyNumberFormat="1">
      <alignment horizontal="left" vertical="center" wrapText="1"/>
    </xf>
    <xf numFmtId="0" fontId="55" fillId="0" borderId="0" xfId="0" applyFont="1" applyNumberFormat="1">
      <alignment vertical="center"/>
    </xf>
    <xf numFmtId="49" fontId="23" fillId="40" borderId="21" xfId="0" applyFont="1" applyFill="1" applyBorder="1" applyNumberFormat="1">
      <alignment horizontal="center" vertical="center" wrapText="1"/>
    </xf>
    <xf numFmtId="49" fontId="23" fillId="38" borderId="25" xfId="0" applyFont="1" applyFill="1" applyBorder="1" applyNumberFormat="1">
      <alignment horizontal="center" vertical="center" wrapText="1"/>
    </xf>
    <xf numFmtId="49" fontId="54" fillId="0" borderId="14" xfId="0" applyFont="1" applyBorder="1" applyNumberFormat="1">
      <alignment horizontal="left" vertical="center" wrapText="1"/>
    </xf>
    <xf numFmtId="14" fontId="23" fillId="43" borderId="25" xfId="0" applyFont="1" applyFill="1" applyBorder="1" applyNumberFormat="1">
      <alignment horizontal="left" vertical="center" wrapText="1" indent="1"/>
    </xf>
    <xf numFmtId="49" fontId="23" fillId="40" borderId="16" xfId="0" applyFont="1" applyFill="1" applyBorder="1" applyNumberFormat="1">
      <alignment horizontal="right" vertical="center" wrapText="1"/>
    </xf>
    <xf numFmtId="0" fontId="55" fillId="0" borderId="25" xfId="0" applyFont="1" applyBorder="1" applyNumberFormat="1">
      <alignment horizontal="center" vertical="center" wrapText="1"/>
    </xf>
    <xf numFmtId="49" fontId="23" fillId="0" borderId="15" xfId="0" applyFont="1" applyBorder="1" applyNumberFormat="1">
      <alignment horizontal="center" vertical="top"/>
    </xf>
    <xf numFmtId="49" fontId="23" fillId="0" borderId="14" xfId="0" applyFont="1" applyBorder="1" applyNumberFormat="1">
      <alignment horizontal="center" vertical="top"/>
    </xf>
    <xf numFmtId="0" fontId="23" fillId="0" borderId="25" xfId="0" applyFont="1" applyBorder="1" applyNumberFormat="1">
      <alignment horizontal="center" vertical="center" wrapText="1"/>
    </xf>
    <xf numFmtId="49" fontId="23" fillId="0" borderId="16" xfId="0" applyFont="1" applyBorder="1" applyNumberFormat="1">
      <alignment horizontal="center" vertical="top"/>
    </xf>
    <xf numFmtId="0" fontId="44" fillId="0" borderId="26" xfId="0" applyFont="1" applyBorder="1" applyNumberFormat="1">
      <alignment vertical="top" wrapText="1"/>
    </xf>
    <xf numFmtId="0" fontId="44" fillId="0" borderId="0" xfId="0" applyFont="1" applyNumberFormat="1">
      <alignment vertical="top" wrapText="1"/>
    </xf>
    <xf numFmtId="0" fontId="55" fillId="0" borderId="14" xfId="0" applyFont="1" applyBorder="1" applyNumberFormat="1">
      <alignment horizontal="center" vertical="center" wrapText="1"/>
    </xf>
    <xf numFmtId="0" fontId="54" fillId="0" borderId="25" xfId="0" applyFont="1" applyBorder="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0" fontId="54" fillId="0" borderId="24" xfId="0" applyFont="1" applyBorder="1" applyNumberFormat="1">
      <alignment vertical="center"/>
    </xf>
    <xf numFmtId="0" fontId="23" fillId="0" borderId="15" xfId="0" applyFont="1" applyBorder="1" applyNumberFormat="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indent="1"/>
    </xf>
    <xf numFmtId="3" fontId="23" fillId="39" borderId="16" xfId="0" applyFont="1" applyFill="1" applyBorder="1" applyNumberFormat="1">
      <alignment horizontal="right" vertical="center" wrapText="1"/>
      <protection locked="0"/>
    </xf>
    <xf numFmtId="49" fontId="34" fillId="39" borderId="14" xfId="0" applyFont="1" applyFill="1" applyBorder="1" applyNumberFormat="1">
      <alignment horizontal="left" vertical="center" wrapText="1"/>
      <protection locked="0"/>
    </xf>
    <xf numFmtId="0" fontId="34" fillId="0" borderId="0" xfId="0" applyFont="1" applyNumberFormat="1">
      <alignment vertical="center" wrapText="1"/>
    </xf>
    <xf numFmtId="0" fontId="23" fillId="0" borderId="15" xfId="0" applyFont="1" applyBorder="1" applyNumberFormat="1">
      <alignment horizontal="center" vertical="center" wrapText="1"/>
    </xf>
    <xf numFmtId="0" fontId="23" fillId="0" borderId="14" xfId="0" applyFont="1" applyBorder="1" applyNumberFormat="1">
      <alignment horizontal="center"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wrapText="1"/>
    </xf>
    <xf numFmtId="0" fontId="0" fillId="0" borderId="22"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49" fontId="44" fillId="37" borderId="17" xfId="0" applyFont="1" applyFill="1" applyBorder="1" applyNumberFormat="1">
      <alignment horizontal="center" vertical="center" wrapText="1"/>
    </xf>
    <xf numFmtId="0" fontId="23" fillId="0" borderId="0" xfId="0" applyFont="1" applyNumberFormat="1">
      <alignment horizontal="left" vertical="center" wrapText="1" indent="1"/>
    </xf>
    <xf numFmtId="0" fontId="86" fillId="0" borderId="19" xfId="0" applyFont="1" applyBorder="1" applyNumberFormat="1">
      <alignment horizontal="center" vertical="center" wrapText="1"/>
    </xf>
    <xf numFmtId="49" fontId="54" fillId="0" borderId="0" xfId="0" applyFont="1" applyNumberFormat="1">
      <alignment vertical="top"/>
    </xf>
    <xf numFmtId="0" fontId="99" fillId="0" borderId="0" xfId="0" applyFont="1" applyNumberFormat="1">
      <alignment vertical="center" wrapText="1"/>
    </xf>
    <xf numFmtId="0" fontId="0" fillId="0" borderId="0" xfId="0" applyFont="1" applyNumberFormat="1">
      <alignment vertical="top"/>
    </xf>
    <xf numFmtId="49" fontId="0" fillId="0" borderId="14" xfId="0" applyFont="1" applyBorder="1" applyNumberFormat="1">
      <alignment vertical="top"/>
    </xf>
    <xf numFmtId="49" fontId="23" fillId="0" borderId="0" xfId="0" applyFont="1" applyNumberFormat="1">
      <alignment vertical="top"/>
    </xf>
    <xf numFmtId="0" fontId="23" fillId="0" borderId="14" xfId="0" applyFont="1" applyBorder="1" applyNumberFormat="1">
      <alignment horizontal="left" vertical="top" wrapText="1"/>
    </xf>
    <xf numFmtId="49" fontId="100" fillId="0" borderId="0" xfId="0" applyFont="1" applyNumberFormat="1">
      <alignment horizontal="center" vertical="top" wrapText="1"/>
    </xf>
    <xf numFmtId="49" fontId="100" fillId="0" borderId="0" xfId="0" applyFont="1" applyNumberFormat="1">
      <alignment vertical="top" wrapText="1"/>
    </xf>
    <xf numFmtId="49" fontId="96" fillId="34" borderId="14" xfId="0" applyFont="1" applyFill="1" applyBorder="1" applyNumberFormat="1">
      <alignment horizontal="center" vertical="top" wrapText="1"/>
    </xf>
    <xf numFmtId="49" fontId="100" fillId="0" borderId="0" xfId="0" applyFont="1" applyNumberFormat="1">
      <alignment horizontal="left" vertical="top" wrapText="1"/>
    </xf>
    <xf numFmtId="49" fontId="100" fillId="0" borderId="14" xfId="0" applyFont="1" applyBorder="1" applyNumberFormat="1">
      <alignment horizontal="left" vertical="top" wrapText="1"/>
    </xf>
    <xf numFmtId="0" fontId="100" fillId="0" borderId="14" xfId="0" applyFont="1" applyBorder="1" applyNumberFormat="1">
      <alignment horizontal="left" vertical="top" wrapText="1"/>
    </xf>
    <xf numFmtId="0" fontId="100" fillId="34" borderId="14" xfId="0" applyFont="1" applyFill="1" applyBorder="1" applyNumberFormat="1">
      <alignment horizontal="right" vertical="center" wrapText="1"/>
    </xf>
    <xf numFmtId="49" fontId="100" fillId="0" borderId="14" xfId="0" applyFont="1" applyBorder="1" applyNumberFormat="1">
      <alignment vertical="top" wrapText="1"/>
    </xf>
    <xf numFmtId="0" fontId="100" fillId="0" borderId="19" xfId="0" applyFont="1" applyBorder="1" applyNumberFormat="1">
      <alignment horizontal="left" vertical="top" wrapText="1"/>
    </xf>
    <xf numFmtId="0" fontId="100" fillId="0" borderId="15" xfId="0" applyFont="1" applyBorder="1" applyNumberFormat="1">
      <alignment horizontal="left" vertical="top" wrapText="1"/>
    </xf>
    <xf numFmtId="0" fontId="100" fillId="0" borderId="14" xfId="0" applyFont="1" applyBorder="1" applyNumberFormat="1">
      <alignment vertical="top" wrapText="1"/>
    </xf>
    <xf numFmtId="0" fontId="96" fillId="34" borderId="14" xfId="0" applyFont="1" applyFill="1" applyBorder="1" applyNumberFormat="1">
      <alignment horizontal="center" vertical="top" wrapText="1"/>
    </xf>
    <xf numFmtId="0" fontId="100" fillId="0" borderId="0" xfId="0" applyFont="1" applyNumberFormat="1">
      <alignment vertical="top" wrapText="1"/>
    </xf>
    <xf numFmtId="0" fontId="95" fillId="0" borderId="0" xfId="0" applyFont="1" applyNumberFormat="1">
      <alignment vertical="center" wrapText="1"/>
    </xf>
    <xf numFmtId="0" fontId="22" fillId="0" borderId="0" xfId="0" applyFont="1" applyNumberFormat="1">
      <alignment horizontal="left" vertical="center" wrapText="1" indent="3"/>
    </xf>
    <xf numFmtId="3" fontId="0" fillId="0" borderId="15" xfId="0" applyFont="1" applyBorder="1" applyNumberFormat="1">
      <alignment horizontal="right" vertical="center" wrapText="1"/>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9" fontId="78" fillId="40" borderId="15" xfId="0" applyFont="1" applyFill="1" applyBorder="1" applyNumberFormat="1">
      <alignment vertical="center"/>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49" fontId="23" fillId="42" borderId="14" xfId="0" applyFont="1" applyFill="1" applyBorder="1" applyNumberFormat="1" quotePrefix="1">
      <alignment horizontal="left" vertical="center" wrapText="1"/>
      <protection locked="0"/>
    </xf>
    <xf numFmtId="14" fontId="23" fillId="43" borderId="25" xfId="0" applyFont="1" applyFill="1" applyBorder="1" applyNumberFormat="1">
      <alignment horizontal="left" vertical="center" wrapText="1"/>
    </xf>
    <xf numFmtId="0" fontId="55" fillId="37" borderId="25" xfId="0" applyFont="1" applyFill="1" applyBorder="1" applyNumberFormat="1">
      <alignment horizontal="center" vertical="center" wrapText="1"/>
    </xf>
    <xf numFmtId="0" fontId="45" fillId="37" borderId="26" xfId="0" applyFont="1" applyFill="1" applyBorder="1" applyNumberFormat="1">
      <alignment vertical="top" wrapText="1"/>
    </xf>
    <xf numFmtId="0" fontId="45" fillId="37" borderId="0" xfId="0" applyFont="1" applyFill="1" applyNumberFormat="1">
      <alignment vertical="top" wrapText="1"/>
    </xf>
    <xf numFmtId="14" fontId="23" fillId="43" borderId="31" xfId="0" applyFont="1" applyFill="1" applyBorder="1" applyNumberFormat="1">
      <alignment horizontal="left" vertical="center" wrapText="1"/>
    </xf>
    <xf numFmtId="0" fontId="55" fillId="37" borderId="14" xfId="0" applyFont="1" applyFill="1" applyBorder="1" applyNumberFormat="1">
      <alignment horizontal="center" vertical="center" wrapText="1"/>
    </xf>
    <xf numFmtId="0" fontId="48" fillId="40" borderId="17" xfId="0" applyFont="1" applyFill="1" applyBorder="1" applyNumberFormat="1">
      <alignment vertical="center"/>
    </xf>
    <xf numFmtId="0" fontId="56" fillId="0" borderId="0" xfId="0" applyFont="1" applyNumberFormat="1">
      <alignment vertical="center"/>
    </xf>
    <xf numFmtId="0" fontId="55" fillId="0" borderId="0" xfId="0" applyFont="1" applyNumberFormat="1">
      <alignment vertical="center" wrapText="1"/>
    </xf>
    <xf numFmtId="49" fontId="54" fillId="0" borderId="0" xfId="0" applyFont="1" applyNumberFormat="1">
      <alignment vertical="center" wrapText="1"/>
    </xf>
    <xf numFmtId="49" fontId="54" fillId="0" borderId="0" xfId="0" applyFont="1" applyNumberFormat="1">
      <alignment vertical="top"/>
    </xf>
    <xf numFmtId="0" fontId="93" fillId="0" borderId="0" xfId="0" applyFont="1" applyNumberFormat="1">
      <alignment vertical="center" wrapText="1"/>
    </xf>
    <xf numFmtId="0" fontId="101" fillId="0" borderId="0" xfId="0" applyFont="1" applyNumberFormat="1">
      <alignment vertical="center" wrapText="1"/>
    </xf>
    <xf numFmtId="0" fontId="54" fillId="0" borderId="0" xfId="0" applyFont="1" applyNumberFormat="1">
      <alignment vertical="center" wrapText="1"/>
    </xf>
    <xf numFmtId="0" fontId="93" fillId="0" borderId="0" xfId="0" applyFont="1" applyNumberFormat="1">
      <alignment horizontal="center" vertical="center" wrapText="1"/>
    </xf>
    <xf numFmtId="0" fontId="54" fillId="0" borderId="0" xfId="0" applyFont="1" applyNumberFormat="1">
      <alignment vertical="center" wrapText="1"/>
    </xf>
    <xf numFmtId="14" fontId="23" fillId="37" borderId="0" xfId="0" applyFont="1" applyFill="1" applyNumberFormat="1">
      <alignment horizontal="left" vertical="center" wrapText="1"/>
    </xf>
    <xf numFmtId="49" fontId="0" fillId="5" borderId="16" xfId="0" applyFont="1" applyFill="1" applyBorder="1" applyNumberFormat="1">
      <alignment vertical="top"/>
    </xf>
    <xf numFmtId="49" fontId="0" fillId="0" borderId="14" xfId="0" applyFont="1" applyBorder="1" applyNumberFormat="1">
      <alignment horizontal="left" vertical="center" wrapText="1"/>
    </xf>
    <xf numFmtId="49" fontId="23" fillId="0" borderId="0" xfId="0" applyFont="1" applyNumberFormat="1">
      <alignment vertical="center" wrapText="1"/>
    </xf>
    <xf numFmtId="0" fontId="0" fillId="0" borderId="14" xfId="0" applyFont="1" applyBorder="1" applyNumberFormat="1">
      <alignment horizontal="left" vertical="center" wrapText="1" indent="1"/>
    </xf>
    <xf numFmtId="49" fontId="0"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102" fillId="37" borderId="0" xfId="0" applyFont="1" applyFill="1" applyNumberFormat="1">
      <alignment horizontal="right" vertical="center"/>
    </xf>
    <xf numFmtId="49" fontId="100" fillId="0" borderId="15" xfId="0" applyFont="1" applyBorder="1" applyNumberFormat="1">
      <alignment horizontal="left" vertical="top" wrapText="1"/>
    </xf>
    <xf numFmtId="49" fontId="100" fillId="0" borderId="16" xfId="0" applyFont="1" applyBorder="1" applyNumberFormat="1">
      <alignment horizontal="left" vertical="top" wrapText="1"/>
    </xf>
    <xf numFmtId="0" fontId="100" fillId="0" borderId="19" xfId="0" applyFont="1" applyBorder="1" applyNumberFormat="1">
      <alignment vertical="top" wrapText="1"/>
    </xf>
    <xf numFmtId="0" fontId="100" fillId="0" borderId="38" xfId="0" applyFont="1" applyBorder="1" applyNumberFormat="1">
      <alignment horizontal="left" vertical="top" wrapText="1"/>
    </xf>
    <xf numFmtId="49" fontId="100" fillId="0" borderId="32" xfId="0" applyFont="1" applyBorder="1" applyNumberFormat="1">
      <alignment horizontal="left" vertical="top" wrapTex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0" fontId="23" fillId="0" borderId="14" xfId="0" applyFont="1" applyBorder="1" applyNumberFormat="1">
      <alignment horizontal="left" vertical="center" wrapText="1"/>
    </xf>
    <xf numFmtId="49" fontId="100" fillId="0" borderId="14" xfId="0" applyFont="1" applyBorder="1" applyNumberFormat="1">
      <alignment horizontal="center" vertical="top" wrapText="1"/>
    </xf>
    <xf numFmtId="0" fontId="100" fillId="34" borderId="14" xfId="0" applyFont="1" applyFill="1" applyBorder="1" applyNumberFormat="1">
      <alignment horizontal="center" vertical="center" wrapText="1"/>
    </xf>
    <xf numFmtId="49" fontId="100" fillId="0" borderId="39" xfId="0" applyFont="1" applyBorder="1" applyNumberFormat="1">
      <alignment horizontal="center" vertical="top" wrapText="1"/>
    </xf>
    <xf numFmtId="49" fontId="100" fillId="0" borderId="19" xfId="0" applyFont="1" applyBorder="1" applyNumberFormat="1">
      <alignment horizontal="center" vertical="top" wrapText="1"/>
    </xf>
    <xf numFmtId="49" fontId="48" fillId="40" borderId="16" xfId="0" applyFont="1" applyFill="1" applyBorder="1" applyNumberFormat="1">
      <alignment horizontal="left" vertical="center" inden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103" fillId="0" borderId="0" xfId="0" applyFont="1" applyNumberFormat="1">
      <alignment horizontal="center" vertical="center" wrapText="1"/>
    </xf>
    <xf numFmtId="0" fontId="23" fillId="0" borderId="0" xfId="0" applyFont="1" applyNumberFormat="1">
      <alignment vertical="center" wrapText="1"/>
    </xf>
    <xf numFmtId="49" fontId="23" fillId="0" borderId="0" xfId="0" applyFont="1" applyNumberFormat="1">
      <alignment vertical="top"/>
    </xf>
    <xf numFmtId="0" fontId="23" fillId="37" borderId="0" xfId="0" applyFont="1" applyFill="1" applyNumberFormat="1">
      <alignment vertical="center" wrapText="1"/>
    </xf>
    <xf numFmtId="0" fontId="23" fillId="0" borderId="40" xfId="0" applyFont="1" applyBorder="1" applyNumberFormat="1">
      <alignment vertical="center" wrapText="1"/>
    </xf>
    <xf numFmtId="0" fontId="54" fillId="0" borderId="0" xfId="0" applyFont="1" applyNumberFormat="1">
      <alignment vertical="center" wrapText="1"/>
    </xf>
    <xf numFmtId="49" fontId="23" fillId="0" borderId="0" xfId="0" applyFont="1" applyNumberFormat="1">
      <alignment vertical="top"/>
    </xf>
    <xf numFmtId="0" fontId="23" fillId="37" borderId="0" xfId="0" applyFont="1" applyFill="1" applyNumberFormat="1">
      <alignment vertical="center" wrapText="1"/>
    </xf>
    <xf numFmtId="49" fontId="23" fillId="0" borderId="0" xfId="0" applyFont="1" applyNumberFormat="1">
      <alignment vertical="top"/>
    </xf>
    <xf numFmtId="0" fontId="23" fillId="0" borderId="0" xfId="0" applyFont="1" applyNumberFormat="1">
      <alignment vertical="center"/>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40" borderId="31" xfId="0" applyFont="1" applyFill="1" applyBorder="1" applyNumberFormat="1">
      <alignment vertical="center" wrapText="1"/>
    </xf>
    <xf numFmtId="0" fontId="23" fillId="0" borderId="0" xfId="0" applyFont="1" applyNumberFormat="1">
      <alignment vertical="center" wrapText="1"/>
    </xf>
    <xf numFmtId="0" fontId="23" fillId="37" borderId="41" xfId="0" applyFont="1" applyFill="1" applyBorder="1" applyNumberFormat="1">
      <alignment vertical="center" wrapText="1"/>
    </xf>
    <xf numFmtId="0" fontId="36" fillId="37" borderId="41" xfId="0" applyFont="1" applyFill="1" applyBorder="1" applyNumberFormat="1">
      <alignment horizontal="center" wrapText="1"/>
    </xf>
    <xf numFmtId="49" fontId="78" fillId="0" borderId="41" xfId="0" applyFont="1" applyBorder="1" applyNumberFormat="1">
      <alignment vertical="top"/>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wrapText="1"/>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0" fontId="53" fillId="0" borderId="0" xfId="0" applyFont="1" applyNumberFormat="1">
      <alignment horizontal="center" vertical="center" wrapText="1"/>
    </xf>
    <xf numFmtId="49" fontId="104" fillId="0" borderId="0" xfId="0" applyFont="1" applyNumberFormat="1">
      <alignment vertical="center" wrapText="1"/>
    </xf>
    <xf numFmtId="49" fontId="53" fillId="37" borderId="0" xfId="0" applyFont="1" applyFill="1" applyNumberFormat="1">
      <alignment vertical="center" wrapText="1"/>
    </xf>
    <xf numFmtId="49" fontId="53" fillId="0" borderId="0" xfId="0" applyFont="1" applyNumberFormat="1">
      <alignment vertical="top"/>
    </xf>
    <xf numFmtId="49" fontId="53" fillId="37" borderId="0" xfId="0" applyFont="1" applyFill="1" applyNumberFormat="1">
      <alignment vertical="center"/>
    </xf>
    <xf numFmtId="49" fontId="104"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3" fontId="53" fillId="39" borderId="14" xfId="0" applyFont="1" applyFill="1" applyBorder="1" applyNumberFormat="1">
      <alignment horizontal="right" vertical="center"/>
      <protection locked="0"/>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9" fontId="23" fillId="37" borderId="0" xfId="0" applyFont="1" applyFill="1" applyNumberFormat="1">
      <alignment horizontal="center" vertical="center" wrapText="1"/>
    </xf>
    <xf numFmtId="49" fontId="55" fillId="0" borderId="15" xfId="0" applyFont="1" applyBorder="1" applyNumberFormat="1">
      <alignment horizontal="left" vertical="center" indent="1"/>
    </xf>
    <xf numFmtId="0" fontId="23" fillId="0" borderId="26" xfId="0" applyFont="1" applyBorder="1" applyNumberFormat="1">
      <alignment vertical="top" wrapText="1"/>
    </xf>
    <xf numFmtId="0" fontId="23" fillId="0" borderId="16"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center" vertical="center" wrapTex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49" fontId="96" fillId="0" borderId="14" xfId="0" applyFont="1" applyBorder="1" applyNumberFormat="1">
      <alignment horizontal="center" vertical="center" wrapText="1"/>
    </xf>
    <xf numFmtId="0" fontId="96" fillId="0" borderId="14" xfId="0" applyFont="1" applyBorder="1" applyNumberFormat="1">
      <alignment horizontal="center" vertical="center"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24" xfId="0" applyFont="1" applyBorder="1" applyNumberFormat="1">
      <alignment horizontal="center" vertical="top" wrapText="1"/>
    </xf>
    <xf numFmtId="49" fontId="100" fillId="0" borderId="38" xfId="0" applyFont="1" applyBorder="1" applyNumberFormat="1">
      <alignment horizontal="left" vertical="top" wrapText="1"/>
    </xf>
    <xf numFmtId="0" fontId="96" fillId="0" borderId="14" xfId="0" applyFont="1" applyBorder="1" applyNumberFormat="1">
      <alignment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96" fillId="0" borderId="14" xfId="0" applyFont="1" applyBorder="1" applyNumberFormat="1">
      <alignment horizontal="left" vertical="top" wrapText="1"/>
    </xf>
    <xf numFmtId="166" fontId="23" fillId="42" borderId="19" xfId="0" applyFont="1" applyFill="1" applyBorder="1" applyNumberFormat="1">
      <alignment horizontal="right" vertical="center" wrapText="1"/>
      <protection locked="0"/>
    </xf>
    <xf numFmtId="0" fontId="23" fillId="0" borderId="15" xfId="0" applyFont="1" applyBorder="1" applyNumberFormat="1">
      <alignment horizontal="center" vertical="center" wrapText="1"/>
    </xf>
    <xf numFmtId="0" fontId="23" fillId="0" borderId="22" xfId="0" applyFont="1" applyBorder="1" applyNumberForma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77" fillId="0" borderId="0" xfId="0" applyFont="1" applyNumberFormat="1">
      <alignment horizontal="center" vertical="center" wrapText="1"/>
    </xf>
    <xf numFmtId="4" fontId="23" fillId="42" borderId="15" xfId="0" applyFont="1" applyFill="1" applyBorder="1" applyNumberFormat="1">
      <alignment horizontal="right" vertical="center" wrapText="1"/>
      <protection locked="0"/>
    </xf>
    <xf numFmtId="166" fontId="23" fillId="42" borderId="15" xfId="0" applyFont="1" applyFill="1" applyBorder="1" applyNumberFormat="1">
      <alignment horizontal="right" vertical="center" wrapText="1"/>
      <protection locked="0"/>
    </xf>
    <xf numFmtId="166" fontId="23" fillId="38" borderId="15" xfId="0" applyFont="1" applyFill="1" applyBorder="1" applyNumberFormat="1">
      <alignment horizontal="right" vertical="center" wrapText="1"/>
    </xf>
    <xf numFmtId="4" fontId="23" fillId="42" borderId="31" xfId="0" applyFont="1" applyFill="1" applyBorder="1" applyNumberFormat="1">
      <alignment horizontal="right" vertical="center" wrapText="1"/>
      <protection locked="0"/>
    </xf>
    <xf numFmtId="49" fontId="96" fillId="34" borderId="14" xfId="0" applyFont="1" applyFill="1" applyBorder="1" applyNumberFormat="1">
      <alignment horizontal="center" vertical="top"/>
    </xf>
    <xf numFmtId="49" fontId="100" fillId="0" borderId="0" xfId="0" applyFont="1" applyNumberFormat="1">
      <alignment vertical="top"/>
    </xf>
    <xf numFmtId="49" fontId="96" fillId="0" borderId="14" xfId="0" applyFont="1" applyBorder="1" applyNumberFormat="1">
      <alignment horizontal="center" vertical="top" wrapText="1"/>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49" fontId="96" fillId="0" borderId="0" xfId="0" applyFont="1" applyNumberFormat="1">
      <alignment horizontal="center" vertical="center" wrapText="1"/>
    </xf>
    <xf numFmtId="49" fontId="96" fillId="0" borderId="0" xfId="0" applyFont="1" applyNumberFormat="1">
      <alignment horizontal="left" vertical="center" wrapText="1"/>
    </xf>
    <xf numFmtId="49" fontId="96" fillId="48" borderId="0" xfId="0" applyFont="1" applyFill="1" applyNumberFormat="1">
      <alignment horizontal="center" vertical="center" wrapText="1"/>
    </xf>
    <xf numFmtId="0" fontId="96" fillId="0" borderId="0" xfId="0" applyFont="1" applyNumberFormat="1">
      <alignment vertical="center"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0" fontId="55" fillId="0" borderId="19" xfId="0" applyFont="1" applyBorder="1" applyNumberFormat="1">
      <alignment vertical="top" wrapText="1"/>
    </xf>
    <xf numFmtId="0" fontId="55" fillId="0" borderId="38" xfId="0" applyFont="1" applyBorder="1" applyNumberFormat="1">
      <alignment horizontal="left" vertical="center" wrapText="1" indent="1"/>
    </xf>
    <xf numFmtId="0" fontId="55" fillId="0" borderId="38" xfId="0" applyFont="1" applyBorder="1" applyNumberFormat="1">
      <alignment horizontal="center" vertical="center" wrapText="1"/>
    </xf>
    <xf numFmtId="0" fontId="55" fillId="0" borderId="19" xfId="0" applyFont="1" applyBorder="1" applyNumberFormat="1">
      <alignment vertical="center" wrapText="1"/>
    </xf>
    <xf numFmtId="0" fontId="55" fillId="0" borderId="25" xfId="0" applyFont="1" applyBorder="1" applyNumberFormat="1">
      <alignment horizontal="left" vertical="center" wrapText="1" indent="1"/>
    </xf>
    <xf numFmtId="0" fontId="55" fillId="0" borderId="19" xfId="0" applyFont="1" applyBorder="1" applyNumberFormat="1">
      <alignment horizontal="left" vertical="center" wrapText="1" indent="1"/>
    </xf>
    <xf numFmtId="49" fontId="100" fillId="34" borderId="14" xfId="0" applyFont="1" applyFill="1" applyBorder="1" applyNumberFormat="1">
      <alignment horizontal="center" vertical="top" wrapText="1"/>
    </xf>
    <xf numFmtId="49" fontId="100" fillId="34" borderId="14" xfId="0" applyFont="1" applyFill="1" applyBorder="1" applyNumberFormat="1">
      <alignment horizontal="left" vertical="top" wrapText="1"/>
    </xf>
    <xf numFmtId="49" fontId="100" fillId="34" borderId="0" xfId="0" applyFont="1" applyFill="1" applyNumberFormat="1">
      <alignment horizontal="left" vertical="top" wrapText="1"/>
    </xf>
    <xf numFmtId="0" fontId="96" fillId="0" borderId="16" xfId="0" applyFont="1" applyBorder="1" applyNumberFormat="1">
      <alignment horizontal="center" vertical="center" wrapText="1"/>
    </xf>
    <xf numFmtId="0" fontId="23" fillId="0" borderId="25" xfId="0" applyFont="1" applyBorder="1" applyNumberFormat="1">
      <alignment vertical="top" wrapText="1"/>
    </xf>
    <xf numFmtId="0" fontId="23" fillId="0" borderId="25" xfId="0" applyFont="1" applyBorder="1" applyNumberFormat="1">
      <alignment vertical="top" wrapText="1"/>
    </xf>
    <xf numFmtId="0" fontId="96" fillId="0" borderId="16" xfId="0" applyFont="1" applyBorder="1" applyNumberFormat="1">
      <alignment horizontal="center" vertical="center"/>
    </xf>
    <xf numFmtId="49" fontId="55" fillId="37" borderId="14" xfId="0" applyFont="1" applyFill="1" applyBorder="1" applyNumberFormat="1">
      <alignment horizontal="center" vertical="center"/>
    </xf>
    <xf numFmtId="0" fontId="55" fillId="37" borderId="14" xfId="0" applyFont="1" applyFill="1" applyBorder="1" applyNumberFormat="1">
      <alignment horizontal="left" vertical="center" wrapText="1" indent="1"/>
    </xf>
    <xf numFmtId="0" fontId="55" fillId="37" borderId="14" xfId="0" applyFont="1" applyFill="1" applyBorder="1" applyNumberFormat="1">
      <alignment vertical="center" wrapText="1"/>
    </xf>
    <xf numFmtId="49" fontId="55" fillId="0" borderId="14" xfId="0" applyFont="1" applyBorder="1" applyNumberFormat="1">
      <alignment horizontal="center" vertical="center"/>
    </xf>
    <xf numFmtId="0" fontId="55" fillId="0" borderId="14" xfId="0" applyFont="1" applyBorder="1" applyNumberFormat="1">
      <alignment horizontal="left" vertical="center" wrapText="1" inden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2" fontId="23" fillId="0" borderId="25" xfId="0" applyFont="1" applyBorder="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23" fillId="0" borderId="25" xfId="0" applyFont="1" applyBorder="1" applyNumberFormat="1">
      <alignment horizontal="left" vertical="center" wrapText="1"/>
    </xf>
    <xf numFmtId="49" fontId="54" fillId="0" borderId="0" xfId="0" applyFont="1" applyNumberFormat="1">
      <alignment horizontal="center" vertical="center" wrapText="1"/>
    </xf>
    <xf numFmtId="0" fontId="55" fillId="0" borderId="29" xfId="0" applyFont="1" applyBorder="1" applyNumberFormat="1">
      <alignment vertical="center" wrapText="1"/>
    </xf>
    <xf numFmtId="49" fontId="34" fillId="0" borderId="16" xfId="0" applyFont="1" applyBorder="1" applyNumberFormat="1">
      <alignment horizontal="left" vertical="center" wrapText="1"/>
    </xf>
    <xf numFmtId="49" fontId="34" fillId="0" borderId="17" xfId="0" applyFont="1" applyBorder="1" applyNumberFormat="1">
      <alignment horizontal="left" vertical="center"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4" fontId="23" fillId="0" borderId="19" xfId="0" applyFont="1" applyBorder="1" applyNumberFormat="1">
      <alignment horizontal="center" vertical="center" wrapText="1"/>
    </xf>
    <xf numFmtId="4" fontId="23" fillId="0" borderId="34" xfId="0" applyFont="1" applyBorder="1" applyNumberFormat="1">
      <alignment horizontal="center" vertical="center" wrapText="1"/>
    </xf>
    <xf numFmtId="49" fontId="34" fillId="0" borderId="39" xfId="0" applyFont="1" applyBorder="1" applyNumberFormat="1">
      <alignment horizontal="left" vertical="center" wrapText="1"/>
    </xf>
    <xf numFmtId="49" fontId="34" fillId="0" borderId="32" xfId="0" applyFont="1" applyBorder="1" applyNumberFormat="1">
      <alignment horizontal="left" vertical="center" wrapText="1"/>
    </xf>
    <xf numFmtId="0" fontId="23" fillId="0" borderId="38" xfId="0" applyFont="1" applyBorder="1" applyNumberFormat="1">
      <alignment vertical="center" wrapText="1"/>
    </xf>
    <xf numFmtId="0" fontId="23" fillId="0" borderId="34" xfId="0" applyFont="1" applyBorder="1" applyNumberFormat="1">
      <alignment horizontal="left" vertical="center" wrapText="1"/>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 fontId="23" fillId="0" borderId="42"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14" xfId="0" applyFont="1" applyBorder="1" applyNumberFormat="1">
      <alignment horizontal="left" vertical="center" wrapText="1"/>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0" fontId="55" fillId="0" borderId="14" xfId="0" applyFont="1" applyBorder="1" applyNumberFormat="1">
      <alignment horizontal="left" vertical="center" indent="1"/>
    </xf>
    <xf numFmtId="49" fontId="48" fillId="0" borderId="21" xfId="0" applyFont="1" applyBorder="1" applyNumberFormat="1">
      <alignment horizontal="right" vertical="center"/>
    </xf>
    <xf numFmtId="0" fontId="23" fillId="43" borderId="14" xfId="0" applyFont="1" applyFill="1" applyBorder="1" applyNumberFormat="1">
      <alignment horizontal="left" vertical="center" wrapText="1" inden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0" fontId="66" fillId="37" borderId="0" xfId="0" applyFont="1" applyFill="1" applyNumberFormat="1">
      <alignment horizontal="left" vertical="center" wrapText="1" indent="1"/>
    </xf>
    <xf numFmtId="0" fontId="23" fillId="0" borderId="0" xfId="0" applyFont="1" applyNumberFormat="1">
      <alignment horizontal="left" vertical="center" wrapText="1" indent="1"/>
    </xf>
    <xf numFmtId="49" fontId="34" fillId="39" borderId="15" xfId="0" applyFont="1" applyFill="1" applyBorder="1" applyNumberFormat="1">
      <alignment horizontal="left" vertical="center" wrapText="1"/>
      <protection locked="0"/>
    </xf>
    <xf numFmtId="49" fontId="23" fillId="0" borderId="0" xfId="0" applyFont="1" applyNumberFormat="1">
      <alignment horizontal="center" vertical="center" wrapText="1"/>
    </xf>
    <xf numFmtId="0" fontId="23" fillId="0" borderId="21" xfId="0" applyFont="1" applyBorder="1" applyNumberFormat="1">
      <alignment vertical="center" wrapText="1"/>
    </xf>
    <xf numFmtId="0" fontId="23" fillId="0" borderId="29" xfId="0" applyFont="1" applyBorder="1" applyNumberFormat="1">
      <alignment vertical="center" wrapText="1"/>
    </xf>
    <xf numFmtId="49" fontId="23" fillId="40" borderId="43" xfId="0" applyFont="1" applyFill="1" applyBorder="1" applyNumberFormat="1">
      <alignment horizontal="center" vertical="center" wrapText="1"/>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53" fillId="0" borderId="0" xfId="0" applyFont="1" applyNumberFormat="1">
      <alignment vertical="top"/>
    </xf>
    <xf numFmtId="49" fontId="53" fillId="0" borderId="0" xfId="0" applyFont="1" applyNumberFormat="1">
      <alignment vertical="center" wrapText="1"/>
    </xf>
    <xf numFmtId="0" fontId="53" fillId="0" borderId="0" xfId="0" applyFont="1" applyNumberFormat="1">
      <alignment vertical="center" wrapText="1"/>
    </xf>
    <xf numFmtId="49" fontId="99" fillId="0" borderId="0" xfId="0" applyFont="1" applyNumberFormat="1">
      <alignment vertical="center" wrapText="1"/>
    </xf>
    <xf numFmtId="49" fontId="0" fillId="0" borderId="0" xfId="0" applyFont="1" applyNumberFormat="1">
      <alignment vertical="center" wrapText="1"/>
    </xf>
    <xf numFmtId="49" fontId="40" fillId="49" borderId="0" xfId="0" applyFont="1" applyFill="1" applyNumberFormat="1">
      <alignment horizontal="center" vertical="center"/>
    </xf>
    <xf numFmtId="0" fontId="0" fillId="50" borderId="0" xfId="0" applyFont="1" applyFill="1" applyNumberFormat="1">
      <alignment horizontal="left" vertical="center"/>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49" fontId="23" fillId="0" borderId="46" xfId="0" applyFont="1" applyBorder="1" applyNumberFormat="1">
      <alignment vertical="center"/>
    </xf>
    <xf numFmtId="49" fontId="23" fillId="0" borderId="47"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49" fontId="23" fillId="0" borderId="14" xfId="0" applyFont="1" applyBorder="1" applyNumberFormat="1">
      <alignment vertical="top"/>
    </xf>
    <xf numFmtId="49" fontId="0" fillId="0" borderId="0" xfId="0" applyFont="1" applyNumberFormat="1">
      <alignment vertical="top"/>
    </xf>
    <xf numFmtId="0" fontId="23" fillId="0" borderId="0" xfId="0" applyFont="1" applyNumberFormat="1">
      <alignment vertical="center"/>
    </xf>
    <xf numFmtId="49" fontId="23" fillId="0" borderId="16" xfId="0" applyFont="1" applyBorder="1" applyNumberFormat="1">
      <alignment vertical="top"/>
    </xf>
    <xf numFmtId="0" fontId="0" fillId="0" borderId="0" xfId="0" applyFont="1" applyNumberFormat="1">
      <alignment vertical="center"/>
    </xf>
    <xf numFmtId="0" fontId="23" fillId="0" borderId="0" xfId="0" applyFont="1" applyNumberFormat="1">
      <alignment vertical="top"/>
    </xf>
    <xf numFmtId="49" fontId="23" fillId="0" borderId="14" xfId="0" applyFont="1" applyBorder="1" applyNumberFormat="1">
      <alignment vertical="top"/>
    </xf>
    <xf numFmtId="49" fontId="0" fillId="0" borderId="16" xfId="0" applyFont="1" applyBorder="1" applyNumberFormat="1">
      <alignmen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0" xfId="0" applyFont="1" applyNumberFormat="1">
      <alignment vertical="top"/>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49" fontId="23" fillId="34" borderId="25" xfId="0" applyFont="1" applyFill="1" applyBorder="1" applyNumberFormat="1">
      <alignment vertical="top"/>
    </xf>
    <xf numFmtId="49" fontId="23" fillId="34" borderId="14" xfId="0" applyFont="1" applyFill="1" applyBorder="1" applyNumberFormat="1">
      <alignment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49" fontId="0" fillId="0" borderId="0" xfId="0" applyFont="1" applyNumberFormat="1">
      <alignment vertical="center"/>
    </xf>
    <xf numFmtId="49" fontId="40" fillId="49" borderId="16" xfId="0" applyFont="1" applyFill="1" applyBorder="1" applyNumberFormat="1">
      <alignment horizontal="right" vertical="center"/>
    </xf>
    <xf numFmtId="49" fontId="23" fillId="0" borderId="0" xfId="0" applyFont="1" applyNumberFormat="1">
      <alignment vertical="center"/>
    </xf>
    <xf numFmtId="0" fontId="0" fillId="50" borderId="0" xfId="0" applyFont="1" applyFill="1" applyNumberFormat="1">
      <alignment horizontal="right" vertical="center"/>
    </xf>
    <xf numFmtId="0" fontId="108" fillId="0" borderId="49" xfId="0" applyFont="1" applyBorder="1" applyNumberFormat="1">
      <alignment horizontal="left" vertical="center" indent="1"/>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23" fillId="37" borderId="0" xfId="0" applyFont="1" applyFill="1" applyNumberFormat="1">
      <alignment vertical="center" wrapText="1"/>
    </xf>
    <xf numFmtId="0" fontId="23" fillId="0" borderId="0" xfId="0" applyFont="1" applyNumberFormat="1">
      <alignment vertical="center" wrapText="1"/>
    </xf>
    <xf numFmtId="0" fontId="40"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36" fillId="37" borderId="41" xfId="0" applyFont="1" applyFill="1" applyBorder="1" applyNumberFormat="1">
      <alignment horizontal="center" wrapText="1"/>
    </xf>
    <xf numFmtId="49" fontId="78" fillId="0" borderId="41" xfId="0" applyFont="1" applyBorder="1" applyNumberFormat="1">
      <alignment vertical="top"/>
    </xf>
    <xf numFmtId="0" fontId="0" fillId="0" borderId="14" xfId="0" applyFont="1" applyBorder="1" applyNumberFormat="1">
      <alignment horizontal="center" vertical="center" wrapText="1"/>
    </xf>
    <xf numFmtId="0" fontId="23" fillId="0" borderId="0" xfId="0" applyFont="1" applyNumberFormat="1">
      <alignment horizontal="left" vertical="center" wrapText="1" indent="3"/>
    </xf>
    <xf numFmtId="0" fontId="23" fillId="0" borderId="0" xfId="0" applyFont="1" applyNumberFormat="1">
      <alignment horizontal="left" vertical="center" wrapText="1" indent="3"/>
    </xf>
    <xf numFmtId="0" fontId="23" fillId="0" borderId="0" xfId="0" applyFont="1" applyNumberFormat="1">
      <alignment vertical="center" wrapText="1"/>
    </xf>
    <xf numFmtId="0" fontId="40"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0" fontId="23" fillId="0" borderId="14" xfId="0" applyFont="1" applyBorder="1" applyNumberFormat="1">
      <alignment horizontal="center" vertical="center" wrapText="1"/>
    </xf>
    <xf numFmtId="0" fontId="23" fillId="0" borderId="0" xfId="0" applyFont="1" applyNumberFormat="1">
      <alignment vertical="center" wrapText="1"/>
    </xf>
    <xf numFmtId="0" fontId="23" fillId="37" borderId="41" xfId="0" applyFont="1" applyFill="1" applyBorder="1" applyNumberFormat="1">
      <alignment vertical="center" wrapText="1"/>
    </xf>
    <xf numFmtId="0" fontId="23" fillId="0" borderId="0" xfId="0" applyFont="1" applyNumberFormat="1">
      <alignment vertical="center" wrapText="1"/>
    </xf>
    <xf numFmtId="0" fontId="40"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37" borderId="41" xfId="0" applyFont="1" applyFill="1" applyBorder="1" applyNumberFormat="1">
      <alignment vertical="center" wrapText="1"/>
    </xf>
    <xf numFmtId="0" fontId="23" fillId="42" borderId="14" xfId="0" applyFont="1" applyFill="1" applyBorder="1" applyNumberFormat="1">
      <alignment horizontal="left" vertical="center" wrapText="1" indent="1"/>
      <protection locked="0"/>
    </xf>
    <xf numFmtId="49" fontId="54" fillId="49"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wrapText="1"/>
    </xf>
    <xf numFmtId="0" fontId="40" fillId="0" borderId="0" xfId="0" applyFont="1" applyNumberFormat="1">
      <alignment vertical="center" wrapText="1"/>
    </xf>
    <xf numFmtId="49" fontId="23" fillId="0" borderId="0" xfId="0" applyFont="1" applyNumberFormat="1">
      <alignment vertical="top"/>
    </xf>
    <xf numFmtId="49" fontId="109" fillId="0" borderId="18" xfId="0" applyFont="1" applyBorder="1" applyNumberFormat="1">
      <alignment vertical="top"/>
    </xf>
    <xf numFmtId="0" fontId="0" fillId="0" borderId="0" xfId="0" applyFont="1" applyNumberFormat="1">
      <alignment vertical="top"/>
    </xf>
    <xf numFmtId="0" fontId="54" fillId="0" borderId="0" xfId="0" applyFont="1" applyNumberFormat="1">
      <alignment vertical="center" wrapText="1"/>
    </xf>
    <xf numFmtId="49" fontId="34" fillId="42" borderId="14" xfId="0" applyFont="1" applyFill="1" applyBorder="1" applyNumberFormat="1">
      <alignment horizontal="left" vertical="center" wrapText="1"/>
      <protection locked="0"/>
    </xf>
    <xf numFmtId="0" fontId="23" fillId="0" borderId="16" xfId="0" applyFont="1" applyBorder="1" applyNumberFormat="1">
      <alignment horizontal="left" vertical="center"/>
    </xf>
    <xf numFmtId="0" fontId="0" fillId="0" borderId="16" xfId="0" applyFont="1" applyBorder="1" applyNumberFormat="1">
      <alignment horizontal="left" vertical="center"/>
    </xf>
    <xf numFmtId="49" fontId="34" fillId="42" borderId="14" xfId="0" applyFont="1" applyFill="1" applyBorder="1" applyNumberFormat="1">
      <alignment horizontal="left" vertical="center" wrapText="1"/>
      <protection locked="0"/>
    </xf>
    <xf numFmtId="0" fontId="23" fillId="37" borderId="28" xfId="0" applyFont="1" applyFill="1" applyBorder="1" applyNumberFormat="1">
      <alignment horizontal="right" vertical="center" wrapText="1" inden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49" fontId="48" fillId="40" borderId="17" xfId="0" applyFont="1" applyFill="1" applyBorder="1" applyNumberFormat="1">
      <alignment horizontal="left" vertical="center" indent="1"/>
    </xf>
    <xf numFmtId="4" fontId="23" fillId="42" borderId="33" xfId="0" applyFont="1" applyFill="1" applyBorder="1" applyNumberFormat="1">
      <alignment horizontal="right" vertical="center" wrapText="1"/>
      <protection locked="0"/>
    </xf>
    <xf numFmtId="0" fontId="23" fillId="37" borderId="0" xfId="0" applyFont="1" applyFill="1" applyNumberFormat="1">
      <alignment vertical="center" wrapText="1"/>
    </xf>
    <xf numFmtId="0" fontId="23" fillId="0" borderId="40" xfId="0" applyFont="1" applyBorder="1" applyNumberFormat="1">
      <alignment vertical="center" wrapText="1"/>
    </xf>
    <xf numFmtId="0" fontId="23" fillId="0" borderId="0" xfId="0" applyFont="1" applyNumberFormat="1">
      <alignment vertical="center"/>
    </xf>
    <xf numFmtId="0" fontId="23" fillId="0" borderId="0" xfId="0" applyFont="1" applyNumberFormat="1">
      <alignment vertical="center" wrapTex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99" fillId="40" borderId="45" xfId="0" applyFont="1" applyFill="1" applyBorder="1" applyNumberFormat="1">
      <alignment horizontal="center" vertical="center"/>
    </xf>
    <xf numFmtId="49" fontId="110" fillId="40" borderId="45" xfId="0" applyFont="1" applyFill="1" applyBorder="1" applyNumberFormat="1">
      <alignment horizontal="left" vertical="center" indent="1"/>
    </xf>
    <xf numFmtId="0" fontId="53" fillId="43" borderId="14" xfId="0" applyFont="1" applyFill="1" applyBorder="1" applyNumberFormat="1">
      <alignment horizontal="left" vertical="center" wrapText="1"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0" fontId="23" fillId="40" borderId="55" xfId="0" applyFont="1" applyFill="1" applyBorder="1" applyNumberFormat="1">
      <alignment vertical="center" wrapText="1"/>
    </xf>
    <xf numFmtId="0" fontId="23" fillId="37" borderId="41" xfId="0" applyFont="1" applyFill="1" applyBorder="1" applyNumberFormat="1">
      <alignment vertical="center" wrapTex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6" xfId="0" applyFont="1" applyBorder="1" applyNumberFormat="1">
      <alignment vertical="center" wrapText="1"/>
    </xf>
    <xf numFmtId="0" fontId="23" fillId="0" borderId="57" xfId="0" applyFont="1" applyBorder="1" applyNumberFormat="1">
      <alignment vertical="center" wrapText="1"/>
    </xf>
    <xf numFmtId="0" fontId="23" fillId="43" borderId="14" xfId="0" applyFont="1" applyFill="1" applyBorder="1" applyNumberFormat="1">
      <alignment horizontal="left" vertical="center" wrapText="1" indent="1"/>
    </xf>
    <xf numFmtId="0" fontId="0" fillId="40" borderId="52" xfId="0" applyFont="1" applyFill="1" applyBorder="1" applyNumberFormat="1">
      <alignment horizontal="left" vertical="center"/>
    </xf>
    <xf numFmtId="0" fontId="23" fillId="37" borderId="14" xfId="0" applyFont="1" applyFill="1" applyBorder="1" applyNumberFormat="1">
      <alignment horizontal="center" vertical="center" wrapText="1"/>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23" fillId="0" borderId="58" xfId="0" applyFont="1" applyBorder="1" applyNumberFormat="1">
      <alignment horizontal="center" vertical="center"/>
    </xf>
    <xf numFmtId="0" fontId="23" fillId="0" borderId="58" xfId="0" applyFont="1" applyBorder="1" applyNumberFormat="1">
      <alignment horizontal="right" vertical="center"/>
    </xf>
    <xf numFmtId="0" fontId="23" fillId="0" borderId="58"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9"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0" fontId="23" fillId="50" borderId="0" xfId="0" applyFont="1" applyFill="1" applyNumberFormat="1">
      <alignment horizontal="left" vertical="center"/>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pplyNumberFormat="1">
      <alignment horizontal="left" vertical="center" wrapText="1"/>
    </xf>
    <xf numFmtId="49" fontId="0" fillId="0" borderId="14" xfId="0" applyFont="1" applyBorder="1" applyNumberFormat="1">
      <alignment horizontal="center" vertical="center" wrapText="1"/>
    </xf>
    <xf numFmtId="49" fontId="0" fillId="0" borderId="14" xfId="0" applyFont="1" applyBorder="1" applyNumberFormat="1">
      <alignment horizontal="center" vertical="center"/>
    </xf>
    <xf numFmtId="0" fontId="23" fillId="37" borderId="21" xfId="0" applyFont="1" applyFill="1" applyBorder="1" applyNumberFormat="1">
      <alignment vertical="center" wrapText="1"/>
    </xf>
    <xf numFmtId="49" fontId="55" fillId="0" borderId="0" xfId="0" applyFont="1" applyNumberFormat="1">
      <alignment vertical="top"/>
    </xf>
    <xf numFmtId="0" fontId="55" fillId="0" borderId="41" xfId="0" applyFont="1" applyBorder="1" applyNumberFormat="1">
      <alignment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0" fillId="38" borderId="14" xfId="0" applyFont="1" applyFill="1" applyBorder="1" applyNumberFormat="1">
      <alignment horizontal="center" vertical="center"/>
    </xf>
    <xf numFmtId="49" fontId="23" fillId="0" borderId="24" xfId="0" applyFont="1" applyBorder="1" applyNumberFormat="1">
      <alignment vertical="top"/>
    </xf>
    <xf numFmtId="0" fontId="23" fillId="0" borderId="24" xfId="0" applyFont="1" applyBorder="1" applyNumberFormat="1">
      <alignment vertical="center" wrapText="1"/>
    </xf>
    <xf numFmtId="4" fontId="0" fillId="39" borderId="14" xfId="0" applyFont="1" applyFill="1" applyBorder="1" applyNumberFormat="1">
      <alignment horizontal="right" vertical="center" wrapText="1"/>
      <protection locked="0"/>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0" fontId="23" fillId="0" borderId="40" xfId="0" applyFont="1" applyBorder="1" applyNumberFormat="1">
      <alignment vertical="center"/>
    </xf>
    <xf numFmtId="49" fontId="48" fillId="40" borderId="17" xfId="0" applyFont="1" applyFill="1" applyBorder="1" applyNumberFormat="1">
      <alignment horizontal="left" vertical="center" indent="1"/>
    </xf>
    <xf numFmtId="49" fontId="23" fillId="42" borderId="19" xfId="0" applyFont="1" applyFill="1" applyBorder="1" applyNumberFormat="1">
      <alignment horizontal="left" vertical="center" wrapText="1" indent="1"/>
      <protection locked="0"/>
    </xf>
    <xf numFmtId="0" fontId="22" fillId="0" borderId="0" xfId="0" applyFont="1" applyNumberFormat="1">
      <alignment vertical="center" wrapText="1"/>
    </xf>
    <xf numFmtId="0" fontId="23" fillId="37" borderId="29" xfId="0" applyFont="1" applyFill="1" applyBorder="1" applyNumberFormat="1">
      <alignment vertical="center" wrapText="1"/>
    </xf>
    <xf numFmtId="0" fontId="55" fillId="37" borderId="21" xfId="0" applyFont="1" applyFill="1" applyBorder="1" applyNumberFormat="1">
      <alignment horizontal="center" vertical="center" wrapText="1"/>
    </xf>
    <xf numFmtId="49" fontId="77" fillId="0" borderId="0" xfId="0" applyFont="1" applyNumberFormat="1">
      <alignment vertical="center" wrapText="1"/>
    </xf>
    <xf numFmtId="0" fontId="111" fillId="37" borderId="0" xfId="0" applyFont="1" applyFill="1" applyNumberFormat="1">
      <alignment vertical="center" wrapText="1"/>
    </xf>
    <xf numFmtId="0" fontId="23" fillId="0" borderId="0" xfId="0" applyFont="1" applyNumberFormat="1">
      <alignment vertical="center"/>
    </xf>
    <xf numFmtId="49" fontId="55" fillId="37" borderId="0" xfId="0" applyFont="1" applyFill="1" applyNumberFormat="1">
      <alignment horizontal="center" vertical="center" wrapText="1"/>
    </xf>
    <xf numFmtId="0" fontId="23" fillId="0" borderId="0" xfId="0" applyFont="1" applyNumberFormat="1">
      <alignment horizontal="left" vertical="center" wrapText="1"/>
    </xf>
    <xf numFmtId="0" fontId="55" fillId="0" borderId="0" xfId="0" applyFont="1" applyNumberFormat="1">
      <alignment vertical="center"/>
    </xf>
    <xf numFmtId="0" fontId="23" fillId="0" borderId="0" xfId="0" applyFont="1" applyNumberFormat="1">
      <alignment horizontal="left" vertical="center" wrapText="1" indent="1"/>
    </xf>
    <xf numFmtId="0" fontId="23" fillId="0" borderId="0" xfId="0" applyFont="1" applyNumberFormat="1">
      <alignment horizontal="right" vertical="top" wrapText="1"/>
    </xf>
    <xf numFmtId="0" fontId="112" fillId="37" borderId="0" xfId="0" applyFont="1" applyFill="1" applyNumberFormat="1">
      <alignment vertical="center" wrapText="1"/>
    </xf>
    <xf numFmtId="49"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164" fontId="23" fillId="39" borderId="14" xfId="0" applyFont="1" applyFill="1" applyBorder="1" applyNumberFormat="1">
      <alignment horizontal="right" vertical="center" wrapText="1"/>
      <protection locked="0"/>
    </xf>
    <xf numFmtId="0" fontId="53" fillId="0" borderId="14" xfId="0" applyFont="1" applyBorder="1" applyNumberFormat="1">
      <alignment vertical="top" wrapText="1"/>
    </xf>
    <xf numFmtId="0" fontId="23" fillId="43" borderId="14" xfId="0" applyFont="1" applyFill="1" applyBorder="1" applyNumberFormat="1">
      <alignment horizontal="left" vertical="center" wrapText="1" indent="6"/>
      <protection locked="0"/>
    </xf>
    <xf numFmtId="0" fontId="23" fillId="0" borderId="0" xfId="0" applyFont="1" applyNumberFormat="1">
      <alignment vertical="center"/>
    </xf>
    <xf numFmtId="0" fontId="113" fillId="0" borderId="0" xfId="0" applyFont="1" applyNumberFormat="1">
      <alignment vertical="center"/>
    </xf>
    <xf numFmtId="0" fontId="113" fillId="0" borderId="0" xfId="0" applyFont="1" applyNumberFormat="1">
      <alignment vertical="center"/>
    </xf>
    <xf numFmtId="0" fontId="23" fillId="0" borderId="0" xfId="0" applyFont="1" applyNumberFormat="1">
      <alignment vertical="center"/>
    </xf>
    <xf numFmtId="0" fontId="23" fillId="0" borderId="0" xfId="0" applyFont="1" applyNumberFormat="1">
      <alignment vertical="center"/>
    </xf>
    <xf numFmtId="0" fontId="113" fillId="0" borderId="0" xfId="0" applyFont="1" applyNumberFormat="1">
      <alignment vertical="center"/>
    </xf>
    <xf numFmtId="0" fontId="23" fillId="0" borderId="0" xfId="0" applyFont="1" applyNumberFormat="1">
      <alignment vertical="center"/>
    </xf>
    <xf numFmtId="0" fontId="23" fillId="0" borderId="0" xfId="0" applyFont="1" applyNumberFormat="1">
      <alignment vertical="center"/>
    </xf>
    <xf numFmtId="0" fontId="23" fillId="0" borderId="0" xfId="0" applyFont="1" applyNumberFormat="1">
      <alignment horizontal="left" vertical="center" indent="1"/>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114" fillId="40" borderId="17" xfId="0" applyFont="1" applyFill="1" applyBorder="1" applyNumberFormat="1">
      <alignment horizontal="left" vertical="center"/>
    </xf>
    <xf numFmtId="0" fontId="23" fillId="37" borderId="0" xfId="0" applyFont="1" applyFill="1" applyNumberFormat="1">
      <alignment horizontal="left" vertical="center" wrapText="1"/>
    </xf>
    <xf numFmtId="0" fontId="0" fillId="0" borderId="0" xfId="0" applyFont="1" applyNumberFormat="1">
      <alignment horizontal="left" vertical="center"/>
    </xf>
    <xf numFmtId="49" fontId="85" fillId="37" borderId="21" xfId="0" applyFont="1" applyFill="1" applyBorder="1" applyNumberFormat="1">
      <alignment horizontal="left" vertical="center" wrapText="1"/>
    </xf>
    <xf numFmtId="49" fontId="78" fillId="40" borderId="16" xfId="0" applyFont="1" applyFill="1" applyBorder="1" applyNumberFormat="1">
      <alignment horizontal="left" vertical="center"/>
    </xf>
    <xf numFmtId="49" fontId="106" fillId="40" borderId="16" xfId="0" applyFont="1" applyFill="1" applyBorder="1" applyNumberFormat="1">
      <alignment horizontal="left" vertical="center"/>
    </xf>
    <xf numFmtId="49" fontId="72" fillId="40" borderId="16" xfId="0" applyFont="1" applyFill="1" applyBorder="1" applyNumberFormat="1">
      <alignment horizontal="left" vertical="top"/>
    </xf>
    <xf numFmtId="0" fontId="0" fillId="50" borderId="0" xfId="0" applyFont="1" applyFill="1" applyNumberFormat="1">
      <alignment horizontal="right" vertical="center"/>
    </xf>
    <xf numFmtId="0" fontId="55" fillId="0" borderId="14" xfId="0" applyFont="1" applyBorder="1" applyNumberFormat="1">
      <alignment horizontal="center" vertical="center"/>
    </xf>
    <xf numFmtId="0" fontId="0" fillId="0" borderId="0" xfId="0" applyFont="1" applyNumberFormat="1">
      <alignment vertical="center"/>
    </xf>
    <xf numFmtId="0" fontId="23" fillId="0" borderId="14" xfId="0" applyFont="1" applyBorder="1" applyNumberFormat="1">
      <alignment horizontal="center" vertical="center" wrapText="1"/>
    </xf>
    <xf numFmtId="0" fontId="0" fillId="0" borderId="0" xfId="0" applyFont="1" applyNumberFormat="1">
      <alignment horizontal="left" vertical="top" wrapText="1"/>
    </xf>
    <xf numFmtId="49" fontId="23" fillId="0" borderId="0" xfId="0" applyFont="1" applyNumberFormat="1">
      <alignment vertical="center" wrapText="1"/>
    </xf>
    <xf numFmtId="0" fontId="23" fillId="0" borderId="0" xfId="0" applyFont="1" applyNumberFormat="1">
      <alignment horizontal="right" vertical="center" wrapText="1"/>
    </xf>
    <xf numFmtId="0" fontId="23" fillId="0" borderId="0" xfId="0" applyFont="1" applyNumberFormat="1">
      <alignment horizontal="left" vertical="top" wrapText="1"/>
    </xf>
    <xf numFmtId="0" fontId="85" fillId="37" borderId="21" xfId="0" applyFont="1" applyFill="1" applyBorder="1" applyNumberFormat="1">
      <alignment horizontal="center"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horizontal="left" vertical="center" wrapText="1"/>
    </xf>
    <xf numFmtId="49" fontId="23" fillId="0" borderId="14" xfId="0" applyFont="1" applyBorder="1" applyNumberFormat="1">
      <alignment horizontal="left" vertical="center" wrapText="1"/>
    </xf>
    <xf numFmtId="0" fontId="59" fillId="50" borderId="0" xfId="0" applyFont="1" applyFill="1" applyNumberFormat="1">
      <alignment horizontal="left" vertical="center"/>
    </xf>
    <xf numFmtId="49" fontId="23" fillId="0" borderId="22"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49" fontId="23" fillId="0" borderId="0" xfId="0" applyFont="1" applyNumberFormat="1">
      <alignmen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3" fillId="0" borderId="19" xfId="0" applyFont="1" applyBorder="1" applyNumberFormat="1">
      <alignment vertical="top" wrapText="1"/>
    </xf>
    <xf numFmtId="0" fontId="0" fillId="0" borderId="0" xfId="0" applyFont="1" applyNumberFormat="1">
      <alignment vertical="center"/>
    </xf>
    <xf numFmtId="0" fontId="23" fillId="37" borderId="14" xfId="0" applyFont="1" applyFill="1" applyBorder="1" applyNumberFormat="1">
      <alignment horizontal="left" vertical="center" wrapText="1"/>
    </xf>
    <xf numFmtId="0" fontId="23" fillId="0" borderId="0" xfId="0" applyFont="1" applyNumberFormat="1">
      <alignment horizontal="center" vertical="center"/>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0" fontId="0" fillId="0" borderId="14" xfId="0" applyFont="1" applyBorder="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0" fontId="0" fillId="0" borderId="0" xfId="0" applyFont="1" applyNumberFormat="1">
      <alignment vertical="center"/>
    </xf>
    <xf numFmtId="0" fontId="23" fillId="0" borderId="0" xfId="0" applyFont="1" applyNumberFormat="1">
      <alignment horizontal="center" vertical="center" wrapText="1"/>
    </xf>
    <xf numFmtId="49" fontId="23" fillId="0" borderId="0" xfId="0" applyFont="1" applyNumberFormat="1">
      <alignment vertical="center" wrapText="1"/>
    </xf>
    <xf numFmtId="0" fontId="54" fillId="0" borderId="0" xfId="0" applyFont="1" applyNumberFormat="1">
      <alignment horizontal="center" vertical="center" wrapText="1"/>
    </xf>
    <xf numFmtId="0" fontId="23" fillId="37" borderId="14" xfId="0" applyFont="1" applyFill="1" applyBorder="1" applyNumberFormat="1">
      <alignment horizontal="center" vertical="center" wrapText="1"/>
    </xf>
    <xf numFmtId="0" fontId="55" fillId="0" borderId="0" xfId="0" applyFont="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horizontal="left" vertical="top" wrapText="1"/>
    </xf>
    <xf numFmtId="0" fontId="0" fillId="0" borderId="15"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9"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55" fillId="0" borderId="0" xfId="0" applyFont="1" applyNumberFormat="1">
      <alignment horizontal="center" vertical="center"/>
    </xf>
    <xf numFmtId="0" fontId="23" fillId="0" borderId="0" xfId="0" applyFont="1" applyNumberFormat="1">
      <alignment horizontal="right" vertical="center" wrapText="1"/>
    </xf>
    <xf numFmtId="0" fontId="85" fillId="37" borderId="0" xfId="0" applyFont="1" applyFill="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left" vertical="center" indent="1"/>
    </xf>
    <xf numFmtId="49" fontId="112" fillId="0" borderId="0" xfId="0" applyFont="1" applyNumberFormat="1">
      <alignment vertical="top"/>
    </xf>
    <xf numFmtId="49" fontId="23" fillId="0" borderId="14" xfId="0" applyFont="1" applyBorder="1" applyNumberFormat="1">
      <alignment vertical="center" wrapText="1"/>
    </xf>
    <xf numFmtId="0" fontId="55" fillId="0" borderId="0" xfId="0" applyFont="1" applyNumberFormat="1">
      <alignment horizontal="center" vertical="center"/>
    </xf>
    <xf numFmtId="0" fontId="23" fillId="43" borderId="14" xfId="0" applyFont="1" applyFill="1" applyBorder="1" applyNumberFormat="1">
      <alignment horizontal="left" vertical="center" wrapText="1" indent="6"/>
    </xf>
    <xf numFmtId="4" fontId="23" fillId="0" borderId="19" xfId="0" applyFont="1" applyBorder="1" applyNumberFormat="1">
      <alignment horizontal="right" vertical="center" wrapText="1"/>
    </xf>
    <xf numFmtId="4" fontId="23" fillId="0" borderId="25" xfId="0" applyFont="1" applyBorder="1" applyNumberFormat="1">
      <alignment horizontal="right" vertical="center" wrapText="1"/>
    </xf>
    <xf numFmtId="0" fontId="0" fillId="0" borderId="0" xfId="0" applyFont="1" applyNumberFormat="1">
      <alignment vertical="center"/>
    </xf>
    <xf numFmtId="49" fontId="23" fillId="0" borderId="0" xfId="0" applyFont="1" applyNumberFormat="1">
      <alignment vertical="center" wrapText="1"/>
    </xf>
    <xf numFmtId="0" fontId="23" fillId="0" borderId="19"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center"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horizontal="left" vertical="center" wrapText="1"/>
    </xf>
    <xf numFmtId="49" fontId="23" fillId="0" borderId="14" xfId="0" applyFont="1" applyBorder="1" applyNumberFormat="1">
      <alignment horizontal="left" vertical="center" wrapText="1"/>
    </xf>
    <xf numFmtId="4" fontId="54" fillId="0" borderId="14" xfId="0" applyFont="1" applyBorder="1" applyNumberFormat="1">
      <alignment horizontal="right" vertical="center" wrapText="1"/>
    </xf>
    <xf numFmtId="164" fontId="54" fillId="0" borderId="14" xfId="0" applyFont="1" applyBorder="1" applyNumberFormat="1">
      <alignment horizontal="right" vertical="center" wrapText="1"/>
    </xf>
    <xf numFmtId="49" fontId="54" fillId="0" borderId="0" xfId="0" applyFont="1" applyNumberFormat="1">
      <alignment vertical="center" wrapText="1"/>
    </xf>
    <xf numFmtId="0" fontId="54" fillId="0" borderId="0" xfId="0" applyFont="1" applyNumberFormat="1">
      <alignment horizontal="left" vertical="center" indent="1"/>
    </xf>
    <xf numFmtId="0" fontId="54" fillId="0" borderId="0" xfId="0" applyFont="1" applyNumberFormat="1">
      <alignment horizontal="center" vertical="center"/>
    </xf>
    <xf numFmtId="0" fontId="54" fillId="0" borderId="0" xfId="0" applyFont="1" applyNumberFormat="1">
      <alignment horizontal="left" vertical="center" wrapText="1"/>
    </xf>
    <xf numFmtId="0" fontId="54" fillId="0" borderId="0" xfId="0" applyFont="1" applyNumberFormat="1">
      <alignment vertical="center" wrapText="1"/>
    </xf>
    <xf numFmtId="49" fontId="54" fillId="0" borderId="14" xfId="0" applyFont="1" applyBorder="1" applyNumberFormat="1">
      <alignment vertical="center" wrapText="1"/>
    </xf>
    <xf numFmtId="0" fontId="54" fillId="0" borderId="0" xfId="0" applyFont="1" applyNumberFormat="1">
      <alignment vertical="center"/>
    </xf>
    <xf numFmtId="0" fontId="54" fillId="0" borderId="0" xfId="0" applyFont="1" applyNumberFormat="1">
      <alignment horizontal="center" vertical="center"/>
    </xf>
    <xf numFmtId="0" fontId="54" fillId="0" borderId="0" xfId="0" applyFont="1" applyNumberFormat="1">
      <alignment vertical="center"/>
    </xf>
    <xf numFmtId="0" fontId="74" fillId="0" borderId="0" xfId="0" applyFont="1" applyNumberFormat="1">
      <alignment vertical="center" wrapText="1"/>
    </xf>
    <xf numFmtId="0" fontId="0" fillId="0" borderId="17" xfId="0" applyFont="1" applyBorder="1" applyNumberFormat="1">
      <alignment vertical="center"/>
    </xf>
    <xf numFmtId="0" fontId="55" fillId="0" borderId="14" xfId="0" applyFont="1" applyBorder="1" applyNumberFormat="1">
      <alignment horizontal="center" vertical="center" wrapText="1"/>
    </xf>
    <xf numFmtId="0" fontId="77" fillId="0" borderId="0" xfId="0" applyFont="1" applyNumberFormat="1">
      <alignment horizontal="left" vertical="center" indent="1"/>
    </xf>
    <xf numFmtId="0" fontId="77" fillId="0" borderId="0" xfId="0" applyFont="1" applyNumberFormat="1">
      <alignment horizontal="left" vertical="center" indent="1"/>
    </xf>
    <xf numFmtId="0" fontId="55" fillId="0" borderId="14" xfId="0" applyFont="1" applyBorder="1" applyNumberFormat="1">
      <alignment vertical="center" wrapText="1"/>
    </xf>
    <xf numFmtId="0" fontId="77" fillId="0" borderId="0" xfId="0" applyFont="1" applyNumberFormat="1">
      <alignment horizontal="center" vertical="center"/>
    </xf>
    <xf numFmtId="0" fontId="77" fillId="0" borderId="0" xfId="0" applyFont="1" applyNumberFormat="1">
      <alignment horizontal="left" vertical="center" wrapText="1"/>
    </xf>
    <xf numFmtId="49" fontId="77" fillId="0" borderId="0" xfId="0" applyFont="1" applyNumberFormat="1">
      <alignment horizontal="left" vertical="center"/>
    </xf>
    <xf numFmtId="0" fontId="23" fillId="0" borderId="0" xfId="0" applyFont="1" applyNumberFormat="1">
      <alignment horizontal="center" vertical="center"/>
    </xf>
    <xf numFmtId="0" fontId="77" fillId="0" borderId="0" xfId="0" applyFont="1" applyNumberFormat="1">
      <alignment horizontal="center" vertical="center"/>
    </xf>
    <xf numFmtId="4" fontId="23" fillId="0" borderId="15" xfId="0" applyFont="1" applyBorder="1" applyNumberFormat="1">
      <alignment horizontal="righ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 fontId="23" fillId="0" borderId="38" xfId="0" applyFont="1" applyBorder="1" applyNumberFormat="1">
      <alignment horizontal="right" vertical="center" wrapText="1"/>
    </xf>
    <xf numFmtId="0" fontId="23" fillId="39" borderId="14" xfId="0" applyFont="1" applyFill="1" applyBorder="1" applyNumberFormat="1">
      <alignment horizontal="left" vertical="center" wrapText="1" indent="7"/>
      <protection locked="0"/>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 fontId="55" fillId="40" borderId="15" xfId="0" applyFont="1" applyFill="1" applyBorder="1" applyNumberFormat="1">
      <alignment horizontal="center" vertical="center" wrapText="1"/>
    </xf>
    <xf numFmtId="164" fontId="23" fillId="40" borderId="15" xfId="0" applyFont="1" applyFill="1" applyBorder="1" applyNumberFormat="1">
      <alignment horizontal="right" vertical="center" wrapText="1"/>
    </xf>
    <xf numFmtId="0" fontId="23" fillId="43" borderId="14" xfId="0" applyFont="1" applyFill="1" applyBorder="1" applyNumberFormat="1">
      <alignment horizontal="left" vertical="center" wrapText="1" indent="1"/>
    </xf>
    <xf numFmtId="0" fontId="55" fillId="0" borderId="14" xfId="0" applyFont="1" applyBorder="1" applyNumberFormat="1">
      <alignment horizontal="left" vertical="center" wrapText="1" indent="5"/>
    </xf>
    <xf numFmtId="49" fontId="77" fillId="0" borderId="26" xfId="0" applyFont="1" applyBorder="1" applyNumberFormat="1">
      <alignment vertical="top"/>
    </xf>
    <xf numFmtId="49" fontId="55" fillId="0" borderId="26" xfId="0" applyFont="1" applyBorder="1" applyNumberFormat="1">
      <alignment vertical="top"/>
    </xf>
    <xf numFmtId="0" fontId="23" fillId="0" borderId="14" xfId="0" applyFont="1" applyBorder="1" applyNumberFormat="1">
      <alignment horizontal="left" vertical="center" wrapText="1" indent="1"/>
    </xf>
    <xf numFmtId="4" fontId="55" fillId="0" borderId="14" xfId="0" applyFont="1" applyBorder="1" applyNumberFormat="1">
      <alignment horizontal="right" vertical="center" wrapText="1"/>
    </xf>
    <xf numFmtId="164" fontId="55" fillId="0" borderId="14" xfId="0" applyFont="1" applyBorder="1" applyNumberFormat="1">
      <alignment horizontal="right" vertical="center" wrapText="1"/>
    </xf>
    <xf numFmtId="164" fontId="23" fillId="39" borderId="16" xfId="0" applyFont="1" applyFill="1" applyBorder="1" applyNumberFormat="1">
      <alignment horizontal="right" vertical="center" wrapText="1"/>
      <protection locked="0"/>
    </xf>
    <xf numFmtId="4" fontId="55" fillId="0" borderId="16" xfId="0" applyFont="1" applyBorder="1" applyNumberFormat="1">
      <alignment horizontal="center" vertical="center" wrapText="1"/>
    </xf>
    <xf numFmtId="4" fontId="23" fillId="39" borderId="15" xfId="0" applyFont="1" applyFill="1" applyBorder="1" applyNumberFormat="1">
      <alignment horizontal="right" vertical="center" wrapText="1"/>
      <protection locked="0"/>
    </xf>
    <xf numFmtId="49" fontId="23" fillId="40" borderId="29" xfId="0" applyFont="1" applyFill="1" applyBorder="1" applyNumberFormat="1">
      <alignment horizontal="center" vertical="center" wrapText="1"/>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61" fillId="0" borderId="0" xfId="0" applyFont="1" applyNumberFormat="1">
      <alignment vertical="center" wrapText="1"/>
    </xf>
    <xf numFmtId="0" fontId="55" fillId="0" borderId="0" xfId="0" applyFont="1" applyNumberFormat="1">
      <alignment vertical="center"/>
    </xf>
    <xf numFmtId="0" fontId="56" fillId="0" borderId="0" xfId="0" applyFont="1" applyNumberFormat="1">
      <alignment vertical="center"/>
    </xf>
    <xf numFmtId="0" fontId="55"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23"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pplyNumberFormat="1">
      <alignment horizontal="left" vertical="center" wrapText="1"/>
    </xf>
    <xf numFmtId="0" fontId="55" fillId="0" borderId="0" xfId="0" applyFont="1" applyNumberFormat="1">
      <alignment horizontal="center" vertical="center"/>
    </xf>
    <xf numFmtId="49" fontId="23" fillId="0" borderId="0" xfId="0" applyFont="1" applyNumberFormat="1">
      <alignment horizontal="center" vertical="top"/>
    </xf>
    <xf numFmtId="49" fontId="40" fillId="0" borderId="0" xfId="0" applyFont="1" applyNumberFormat="1">
      <alignment horizontal="center" vertical="center"/>
    </xf>
    <xf numFmtId="0" fontId="0" fillId="0" borderId="0" xfId="0" applyFont="1" applyNumberFormat="1">
      <alignment horizontal="left" vertical="center"/>
    </xf>
    <xf numFmtId="0" fontId="59"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48" fillId="40" borderId="31" xfId="0" applyFont="1" applyFill="1" applyBorder="1" applyNumberFormat="1">
      <alignment horizontal="left" vertical="center"/>
    </xf>
    <xf numFmtId="49" fontId="55" fillId="0" borderId="16" xfId="0" applyFont="1" applyBorder="1" applyNumberFormat="1">
      <alignment horizontal="left"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0" fontId="0" fillId="0" borderId="0" xfId="0" applyFont="1" applyNumberFormat="1">
      <alignment vertical="center"/>
    </xf>
    <xf numFmtId="0" fontId="115" fillId="0" borderId="0" xfId="0" applyFont="1" applyNumberFormat="1">
      <alignment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vertical="center" wrapText="1"/>
    </xf>
    <xf numFmtId="0" fontId="54" fillId="0" borderId="0" xfId="0" applyFont="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55" fillId="0" borderId="0" xfId="0" applyFont="1" applyNumberFormat="1">
      <alignment horizontal="center" vertical="center" wrapText="1"/>
    </xf>
    <xf numFmtId="0" fontId="85" fillId="37" borderId="21" xfId="0" applyFont="1" applyFill="1" applyBorder="1" applyNumberFormat="1">
      <alignment horizontal="center" vertical="center" wrapText="1"/>
    </xf>
    <xf numFmtId="0" fontId="23" fillId="0" borderId="19" xfId="0" applyFont="1" applyBorder="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pplyNumberFormat="1">
      <alignment horizontal="left" vertical="center" wrapText="1"/>
    </xf>
    <xf numFmtId="0" fontId="55" fillId="0" borderId="0" xfId="0" applyFont="1" applyNumberFormat="1">
      <alignment horizontal="center" vertical="center"/>
    </xf>
    <xf numFmtId="49" fontId="23" fillId="43" borderId="14"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49" fontId="23" fillId="37" borderId="14" xfId="0" applyFont="1" applyFill="1" applyBorder="1" applyNumberFormat="1">
      <alignment horizontal="center" vertical="center" wrapText="1"/>
    </xf>
    <xf numFmtId="0" fontId="55" fillId="0" borderId="0" xfId="0" applyFont="1" applyNumberFormat="1">
      <alignment horizontal="center" vertical="center"/>
    </xf>
    <xf numFmtId="0" fontId="23" fillId="37" borderId="14" xfId="0" applyFont="1" applyFill="1" applyBorder="1" applyNumberFormat="1">
      <alignment horizontal="left" vertical="center" wrapText="1"/>
    </xf>
    <xf numFmtId="49" fontId="23" fillId="42" borderId="14" xfId="0" applyFont="1" applyFill="1" applyBorder="1" applyNumberFormat="1">
      <alignment horizontal="left" vertical="center" wrapText="1" indent="1"/>
      <protection locked="0"/>
    </xf>
    <xf numFmtId="0" fontId="0" fillId="0" borderId="0" xfId="0" applyFont="1" applyNumberFormat="1">
      <alignment vertical="center"/>
    </xf>
    <xf numFmtId="0" fontId="23" fillId="0" borderId="0" xfId="0" applyFont="1" applyNumberFormat="1">
      <alignment horizontal="center" vertical="center" wrapText="1"/>
    </xf>
    <xf numFmtId="49" fontId="23" fillId="43" borderId="14" xfId="0" applyFont="1" applyFill="1" applyBorder="1" applyNumberFormat="1">
      <alignment horizontal="center"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vertical="center" wrapText="1"/>
    </xf>
    <xf numFmtId="49" fontId="23" fillId="37" borderId="14" xfId="0" applyFont="1" applyFill="1" applyBorder="1" applyNumberFormat="1">
      <alignment horizontal="center" vertical="center" wrapText="1"/>
    </xf>
    <xf numFmtId="0" fontId="55" fillId="37" borderId="0" xfId="0" applyFont="1" applyFill="1" applyNumberFormat="1">
      <alignment horizontal="center" vertical="center" wrapText="1"/>
    </xf>
    <xf numFmtId="0" fontId="0" fillId="37" borderId="1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0" fontId="54" fillId="0" borderId="0" xfId="0" applyFont="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55" fillId="0" borderId="0" xfId="0" applyFont="1" applyNumberFormat="1">
      <alignment horizontal="center" vertical="center" wrapText="1"/>
    </xf>
    <xf numFmtId="0" fontId="85" fillId="37" borderId="21" xfId="0" applyFont="1" applyFill="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43" borderId="14" xfId="0" applyFont="1" applyFill="1" applyBorder="1" applyNumberFormat="1">
      <alignment horizontal="left" vertical="center" wrapText="1"/>
    </xf>
    <xf numFmtId="49" fontId="23" fillId="42" borderId="14" xfId="0" applyFont="1" applyFill="1" applyBorder="1" applyNumberFormat="1">
      <alignment horizontal="left" vertical="center" wrapText="1" indent="1"/>
      <protection locked="0"/>
    </xf>
    <xf numFmtId="0" fontId="23" fillId="37" borderId="14" xfId="0" applyFont="1" applyFill="1" applyBorder="1" applyNumberFormat="1">
      <alignment horizontal="left" vertical="center" wrapText="1"/>
    </xf>
    <xf numFmtId="0" fontId="55" fillId="0" borderId="0" xfId="0" applyFont="1" applyNumberFormat="1">
      <alignment horizontal="center" vertical="center"/>
    </xf>
    <xf numFmtId="0" fontId="45" fillId="0" borderId="0" xfId="0" applyFont="1" applyNumberFormat="1">
      <alignment horizontal="center" vertical="center" wrapText="1"/>
    </xf>
    <xf numFmtId="164" fontId="23" fillId="40" borderId="17" xfId="0" applyFont="1" applyFill="1" applyBorder="1" applyNumberFormat="1">
      <alignment horizontal="righ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49" fontId="48" fillId="40" borderId="29" xfId="0" applyFont="1" applyFill="1" applyBorder="1" applyNumberFormat="1">
      <alignment horizontal="left" vertical="center"/>
    </xf>
    <xf numFmtId="0" fontId="116"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0" xfId="0" applyFont="1" applyNumberFormat="1">
      <alignment horizontal="left" vertical="center" wrapText="1" indent="1"/>
    </xf>
    <xf numFmtId="49" fontId="23" fillId="40" borderId="16" xfId="0" applyFont="1" applyFill="1" applyBorder="1" applyNumberFormat="1">
      <alignment horizontal="center" vertical="center" wrapText="1"/>
    </xf>
    <xf numFmtId="0" fontId="55" fillId="0" borderId="26" xfId="0" applyFont="1" applyBorder="1" applyNumberFormat="1">
      <alignment horizontal="left" vertical="center" wrapText="1" indent="1"/>
    </xf>
    <xf numFmtId="0" fontId="54" fillId="0" borderId="0" xfId="0" applyFont="1" applyNumberFormat="1">
      <alignment horizontal="left" vertical="center"/>
    </xf>
    <xf numFmtId="49" fontId="54" fillId="0" borderId="0" xfId="0" applyFont="1" applyNumberFormat="1">
      <alignment horizontal="left" vertical="center"/>
    </xf>
    <xf numFmtId="0" fontId="54" fillId="0" borderId="0" xfId="0" applyFont="1" applyNumberFormat="1">
      <alignment horizontal="left" vertical="center"/>
    </xf>
    <xf numFmtId="0" fontId="74" fillId="0" borderId="0" xfId="0" applyFont="1" applyNumberFormat="1">
      <alignment horizontal="left" vertical="center"/>
    </xf>
    <xf numFmtId="0" fontId="55" fillId="0" borderId="0" xfId="0" applyFont="1" applyNumberFormat="1">
      <alignment horizontal="left" vertical="center"/>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23" fillId="0" borderId="21" xfId="0" applyFont="1" applyBorder="1" applyNumberFormat="1">
      <alignment horizontal="left" vertical="center" wrapText="1"/>
    </xf>
    <xf numFmtId="0" fontId="45" fillId="0" borderId="0" xfId="0" applyFont="1" applyNumberFormat="1">
      <alignment horizontal="center" vertical="center" wrapText="1"/>
    </xf>
    <xf numFmtId="0" fontId="45" fillId="37" borderId="0" xfId="0" applyFont="1" applyFill="1" applyNumberFormat="1">
      <alignment horizontal="center" vertical="center" wrapText="1"/>
    </xf>
    <xf numFmtId="49" fontId="54" fillId="0" borderId="0" xfId="0" applyFont="1" applyNumberFormat="1">
      <alignment horizontal="left" vertical="center"/>
    </xf>
    <xf numFmtId="49" fontId="54" fillId="0" borderId="0" xfId="0" applyFont="1" applyNumberFormat="1">
      <alignment horizontal="left" vertical="center"/>
    </xf>
    <xf numFmtId="49" fontId="54" fillId="0" borderId="0" xfId="0" applyFont="1" applyNumberFormat="1">
      <alignment horizontal="left" vertical="top"/>
    </xf>
    <xf numFmtId="49" fontId="23" fillId="37" borderId="14" xfId="0" applyFont="1" applyFill="1" applyBorder="1" applyNumberFormat="1">
      <alignment horizontal="center" vertical="center"/>
    </xf>
    <xf numFmtId="0" fontId="23" fillId="0" borderId="14" xfId="0" applyFont="1" applyBorder="1" applyNumberFormat="1">
      <alignment horizontal="center" vertical="center" wrapText="1"/>
    </xf>
    <xf numFmtId="0" fontId="23" fillId="37" borderId="14" xfId="0" applyFont="1" applyFill="1" applyBorder="1" applyNumberFormat="1">
      <alignment horizontal="left" vertical="center" wrapText="1" indent="1"/>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indent="1"/>
    </xf>
    <xf numFmtId="0" fontId="23" fillId="0" borderId="14" xfId="0" applyFont="1" applyBorder="1" applyNumberFormat="1">
      <alignment vertical="center" wrapText="1"/>
    </xf>
    <xf numFmtId="49" fontId="23" fillId="42" borderId="14" xfId="0" applyFont="1" applyFill="1" applyBorder="1" applyNumberFormat="1">
      <alignment horizontal="left" vertical="center" wrapText="1"/>
      <protection locked="0"/>
    </xf>
    <xf numFmtId="0" fontId="23" fillId="37" borderId="14" xfId="0" applyFont="1" applyFill="1" applyBorder="1" applyNumberFormat="1">
      <alignment horizontal="left" vertical="center" wrapText="1"/>
    </xf>
    <xf numFmtId="0" fontId="55" fillId="37" borderId="14" xfId="0" applyFont="1" applyFill="1" applyBorder="1" applyNumberFormat="1">
      <alignment horizontal="center" vertical="center"/>
    </xf>
    <xf numFmtId="0" fontId="77" fillId="37" borderId="0" xfId="0" applyFont="1" applyFill="1" applyNumberFormat="1">
      <alignment vertical="center" wrapText="1"/>
    </xf>
    <xf numFmtId="0" fontId="72" fillId="37" borderId="0" xfId="0" applyFont="1" applyFill="1" applyNumberFormat="1"/>
    <xf numFmtId="49" fontId="23" fillId="39" borderId="14" xfId="0" applyFont="1" applyFill="1" applyBorder="1" applyNumberFormat="1">
      <alignment horizontal="left" vertical="center" wrapText="1"/>
      <protection locked="0"/>
    </xf>
    <xf numFmtId="0" fontId="89" fillId="37" borderId="0" xfId="0" applyFont="1" applyFill="1" applyNumberFormat="1"/>
    <xf numFmtId="0" fontId="73" fillId="37" borderId="0" xfId="0" applyFont="1" applyFill="1" applyNumberFormat="1"/>
    <xf numFmtId="14" fontId="23" fillId="42" borderId="25" xfId="0" applyFont="1" applyFill="1" applyBorder="1" applyNumberFormat="1">
      <alignment horizontal="left" vertical="center" wrapText="1" indent="1"/>
      <protection locked="0"/>
    </xf>
    <xf numFmtId="0" fontId="117" fillId="0" borderId="0" xfId="0" applyFont="1" applyNumberFormat="1">
      <alignment vertical="center"/>
    </xf>
    <xf numFmtId="0" fontId="117" fillId="0" borderId="0" xfId="0" applyFont="1" applyNumberFormat="1">
      <alignment vertical="center" wrapText="1"/>
    </xf>
    <xf numFmtId="165" fontId="23" fillId="0" borderId="25" xfId="0" applyFont="1" applyBorder="1" applyNumberFormat="1">
      <alignment horizontal="center" vertical="center" wrapText="1"/>
    </xf>
    <xf numFmtId="14" fontId="23" fillId="42" borderId="14" xfId="0" applyFont="1" applyFill="1" applyBorder="1" applyNumberFormat="1">
      <alignment horizontal="left" vertical="center" wrapText="1" indent="1"/>
      <protection locked="0"/>
    </xf>
    <xf numFmtId="0" fontId="23" fillId="38" borderId="25" xfId="0" applyFont="1" applyFill="1" applyBorder="1" applyNumberFormat="1">
      <alignment horizontal="left" vertical="center" wrapText="1" indent="1"/>
    </xf>
    <xf numFmtId="165" fontId="23" fillId="0" borderId="19" xfId="0" applyFont="1" applyBorder="1" applyNumberFormat="1">
      <alignment horizontal="center" vertical="center" wrapText="1"/>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34" fillId="40" borderId="29" xfId="0" applyFont="1" applyFill="1" applyBorder="1" applyNumberFormat="1">
      <alignment horizontal="left"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xf>
    <xf numFmtId="0" fontId="50" fillId="0" borderId="0" xfId="0" applyFont="1" applyNumberFormat="1">
      <alignment horizontal="center" vertical="center" wrapText="1"/>
    </xf>
    <xf numFmtId="14" fontId="23" fillId="43" borderId="14" xfId="0" applyFont="1" applyFill="1" applyBorder="1" applyNumberFormat="1">
      <alignment horizontal="left" vertical="center" wrapText="1"/>
    </xf>
    <xf numFmtId="165" fontId="23" fillId="0" borderId="39" xfId="0" applyFont="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54" fillId="37" borderId="0" xfId="0" applyFont="1" applyFill="1" applyNumberFormat="1"/>
    <xf numFmtId="0" fontId="23" fillId="0" borderId="17" xfId="0" applyFont="1" applyBorder="1" applyNumberFormat="1">
      <alignment horizontal="right" vertical="center" wrapText="1" indent="1"/>
    </xf>
    <xf numFmtId="0" fontId="23" fillId="38" borderId="16" xfId="0" applyFont="1" applyFill="1" applyBorder="1" applyNumberFormat="1">
      <alignment horizontal="left" vertical="top" wrapText="1"/>
    </xf>
    <xf numFmtId="49" fontId="55" fillId="0" borderId="0" xfId="0" applyFont="1" applyNumberFormat="1">
      <alignment horizontal="center" vertical="center"/>
    </xf>
    <xf numFmtId="49" fontId="72" fillId="0" borderId="0" xfId="0" applyFont="1" applyNumberFormat="1">
      <alignment vertical="top"/>
    </xf>
    <xf numFmtId="0" fontId="50" fillId="0" borderId="0" xfId="0" applyFont="1" applyNumberFormat="1">
      <alignment vertical="center"/>
    </xf>
    <xf numFmtId="0" fontId="23" fillId="0" borderId="38"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49" fontId="23" fillId="0" borderId="38" xfId="0" applyFont="1" applyBorder="1" applyNumberFormat="1">
      <alignment horizontal="left" vertical="center" wrapText="1"/>
    </xf>
    <xf numFmtId="49" fontId="23" fillId="0" borderId="38" xfId="0" applyFont="1" applyBorder="1" applyNumberFormat="1">
      <alignment horizontal="center" vertical="center" wrapText="1"/>
    </xf>
    <xf numFmtId="49" fontId="23" fillId="0" borderId="19" xfId="0" applyFont="1" applyBorder="1" applyNumberFormat="1">
      <alignment horizontal="center" vertical="center" wrapText="1"/>
    </xf>
    <xf numFmtId="0" fontId="23" fillId="0" borderId="38" xfId="0" applyFont="1" applyBorder="1" applyNumberFormat="1">
      <alignment horizontal="left" vertical="center" wrapText="1"/>
    </xf>
    <xf numFmtId="49" fontId="23" fillId="0" borderId="38" xfId="0" applyFont="1" applyBorder="1" applyNumberFormat="1">
      <alignment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0" borderId="38" xfId="0" applyFont="1" applyBorder="1" applyNumberFormat="1">
      <alignment horizontal="left" vertical="center"/>
    </xf>
    <xf numFmtId="0" fontId="48" fillId="40" borderId="39" xfId="0" applyFont="1" applyFill="1" applyBorder="1" applyNumberFormat="1">
      <alignment horizontal="left" vertical="center"/>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43" borderId="19" xfId="0" applyFont="1" applyFill="1" applyBorder="1" applyNumberFormat="1">
      <alignment vertical="center" wrapText="1"/>
    </xf>
    <xf numFmtId="0" fontId="23" fillId="0" borderId="39" xfId="0" applyFont="1" applyBorder="1" applyNumberFormat="1">
      <alignment horizontal="center" vertical="center" wrapText="1"/>
    </xf>
    <xf numFmtId="49" fontId="0" fillId="0" borderId="0" xfId="0" applyFont="1" applyNumberFormat="1">
      <alignment vertical="top"/>
    </xf>
    <xf numFmtId="49" fontId="54" fillId="0" borderId="0" xfId="0" applyFont="1" applyNumberFormat="1">
      <alignment horizontal="center" vertical="center"/>
    </xf>
    <xf numFmtId="0" fontId="118" fillId="0" borderId="0" xfId="0" applyFont="1" applyNumberFormat="1">
      <alignment vertical="center" wrapText="1"/>
    </xf>
    <xf numFmtId="0" fontId="119" fillId="0" borderId="0" xfId="0" applyFont="1" applyNumberFormat="1">
      <alignment vertical="center" wrapText="1"/>
    </xf>
    <xf numFmtId="0" fontId="23" fillId="0" borderId="19" xfId="0" applyFont="1" applyBorder="1" applyNumberFormat="1">
      <alignment horizontal="center" vertical="center" wrapText="1"/>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0" fontId="23" fillId="0" borderId="19" xfId="0" applyFont="1" applyBorder="1" applyNumberFormat="1">
      <alignment horizontal="left" vertical="center" wrapText="1"/>
    </xf>
    <xf numFmtId="0" fontId="23" fillId="0" borderId="0" xfId="0" applyFont="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0" fontId="48" fillId="0" borderId="0" xfId="0" applyFont="1" applyNumberFormat="1">
      <alignment vertical="center"/>
    </xf>
    <xf numFmtId="49" fontId="72" fillId="0" borderId="32" xfId="0" applyFont="1" applyBorder="1" applyNumberFormat="1">
      <alignment vertical="top"/>
    </xf>
    <xf numFmtId="49" fontId="23" fillId="0" borderId="39" xfId="0" applyFont="1" applyBorder="1" applyNumberFormat="1">
      <alignment vertical="center" wrapText="1"/>
    </xf>
    <xf numFmtId="49" fontId="23" fillId="0" borderId="24" xfId="0" applyFont="1" applyBorder="1" applyNumberFormat="1">
      <alignment vertical="center" wrapText="1"/>
    </xf>
    <xf numFmtId="0" fontId="48" fillId="0" borderId="24" xfId="0" applyFont="1" applyBorder="1" applyNumberFormat="1">
      <alignment horizontal="left" vertical="center"/>
    </xf>
    <xf numFmtId="49" fontId="72" fillId="0" borderId="29" xfId="0" applyFont="1" applyBorder="1" applyNumberFormat="1">
      <alignment vertical="top"/>
    </xf>
    <xf numFmtId="49" fontId="23" fillId="0" borderId="38" xfId="0" applyFont="1" applyBorder="1" applyNumberFormat="1">
      <alignment horizontal="center" vertical="center" wrapText="1"/>
    </xf>
    <xf numFmtId="0" fontId="48" fillId="40" borderId="39" xfId="0" applyFont="1" applyFill="1" applyBorder="1" applyNumberFormat="1">
      <alignment vertical="center"/>
    </xf>
    <xf numFmtId="49" fontId="0" fillId="0" borderId="14" xfId="0" applyFont="1" applyBorder="1" applyNumberFormat="1">
      <alignment horizontal="left" vertical="center" wrapText="1" indent="1"/>
    </xf>
    <xf numFmtId="49" fontId="0" fillId="0" borderId="0" xfId="0" applyFont="1" applyNumberFormat="1">
      <alignment vertical="top"/>
    </xf>
    <xf numFmtId="0" fontId="23" fillId="0" borderId="0" xfId="0" applyFont="1" applyNumberFormat="1">
      <alignment vertical="center" wrapText="1"/>
    </xf>
    <xf numFmtId="0" fontId="40" fillId="0" borderId="0" xfId="0" applyFont="1" applyNumberFormat="1">
      <alignment vertical="center" wrapText="1"/>
    </xf>
    <xf numFmtId="0" fontId="50" fillId="0" borderId="0" xfId="0" applyFont="1" applyNumberFormat="1">
      <alignment vertical="center" wrapText="1"/>
    </xf>
    <xf numFmtId="0" fontId="23" fillId="0" borderId="0" xfId="0" applyFont="1" applyNumberFormat="1">
      <alignment horizontal="left" vertical="center" wrapText="1"/>
    </xf>
    <xf numFmtId="0" fontId="63" fillId="0" borderId="0" xfId="0" applyFont="1" applyNumberFormat="1">
      <alignment vertical="center" wrapText="1"/>
    </xf>
    <xf numFmtId="0" fontId="65" fillId="0" borderId="0" xfId="0" applyFont="1" applyNumberFormat="1">
      <alignment vertical="center" wrapText="1"/>
    </xf>
    <xf numFmtId="0" fontId="93" fillId="0" borderId="0" xfId="0" applyFont="1" applyNumberFormat="1">
      <alignment vertical="center" wrapText="1"/>
    </xf>
    <xf numFmtId="0" fontId="55" fillId="0" borderId="0" xfId="0" applyFont="1" applyNumberFormat="1">
      <alignment vertical="center" wrapText="1"/>
    </xf>
    <xf numFmtId="0" fontId="69" fillId="0" borderId="0" xfId="0" applyFont="1" applyNumberFormat="1">
      <alignment vertical="center" wrapText="1"/>
    </xf>
    <xf numFmtId="49" fontId="23" fillId="0" borderId="14" xfId="0" applyFont="1" applyBorder="1" applyNumberFormat="1">
      <alignment horizontal="center" vertical="center" wrapText="1"/>
    </xf>
    <xf numFmtId="0" fontId="45" fillId="37" borderId="14" xfId="0" applyFont="1" applyFill="1" applyBorder="1" applyNumberFormat="1">
      <alignment horizontal="center"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49" fontId="23" fillId="0" borderId="14" xfId="0" applyFont="1" applyBorder="1" applyNumberFormat="1">
      <alignment horizontal="center" vertical="center" wrapText="1"/>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center"/>
    </xf>
    <xf numFmtId="0" fontId="45" fillId="37" borderId="14" xfId="0" applyFont="1" applyFill="1" applyBorder="1" applyNumberFormat="1">
      <alignment horizontal="center" vertical="center" wrapText="1"/>
    </xf>
    <xf numFmtId="0" fontId="54" fillId="0" borderId="24" xfId="0" applyFont="1" applyBorder="1" applyNumberFormat="1">
      <alignment vertical="center"/>
    </xf>
    <xf numFmtId="0" fontId="54" fillId="0" borderId="24" xfId="0" applyFont="1" applyBorder="1" applyNumberFormat="1">
      <alignment vertical="center"/>
    </xf>
    <xf numFmtId="0" fontId="23" fillId="0" borderId="19" xfId="0" applyFont="1" applyBorder="1" applyNumberFormat="1">
      <alignment horizontal="left" vertical="center" wrapText="1" indent="1"/>
    </xf>
    <xf numFmtId="49" fontId="23" fillId="0" borderId="60"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0" xfId="0" applyFont="1" applyNumberFormat="1">
      <alignment vertical="center" wrapText="1"/>
    </xf>
    <xf numFmtId="0" fontId="40" fillId="0" borderId="0" xfId="0" applyFont="1" applyNumberFormat="1">
      <alignment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wrapText="1"/>
    </xf>
    <xf numFmtId="0" fontId="55" fillId="0" borderId="0" xfId="0" applyFont="1" applyNumberFormat="1">
      <alignment vertical="center" wrapText="1"/>
    </xf>
    <xf numFmtId="0" fontId="23" fillId="0" borderId="14" xfId="0" applyFont="1" applyBorder="1" applyNumberFormat="1">
      <alignment horizontal="center"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59" fillId="0" borderId="0" xfId="0" applyFont="1" applyNumberFormat="1">
      <alignment vertical="center"/>
    </xf>
    <xf numFmtId="0" fontId="77" fillId="0" borderId="0" xfId="0" applyFont="1" applyNumberFormat="1">
      <alignment vertical="center" wrapText="1"/>
    </xf>
    <xf numFmtId="0" fontId="55" fillId="0" borderId="0" xfId="0" applyFont="1" applyNumberFormat="1">
      <alignment vertical="center" wrapText="1"/>
    </xf>
    <xf numFmtId="0" fontId="23" fillId="0" borderId="15"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0" xfId="0" applyFont="1" applyNumberFormat="1">
      <alignment horizontal="left" vertical="top"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0" fontId="23" fillId="0" borderId="14" xfId="0" applyFont="1" applyBorder="1" applyNumberFormat="1">
      <alignment horizontal="left" vertical="center" wrapText="1" indent="2"/>
    </xf>
    <xf numFmtId="0" fontId="55" fillId="0" borderId="19"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4"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4" xfId="0" applyFont="1" applyBorder="1" applyNumberFormat="1">
      <alignment horizontal="center" vertical="center" wrapText="1"/>
    </xf>
    <xf numFmtId="49" fontId="0" fillId="0" borderId="14" xfId="0" applyFont="1" applyBorder="1" applyNumberFormat="1">
      <alignment vertical="center" wrapText="1"/>
    </xf>
    <xf numFmtId="0" fontId="55" fillId="0" borderId="16" xfId="0" applyFont="1" applyBorder="1" applyNumberFormat="1">
      <alignment vertical="center" wrapText="1"/>
    </xf>
    <xf numFmtId="0" fontId="55" fillId="0" borderId="16" xfId="0" applyFont="1" applyBorder="1" applyNumberFormat="1">
      <alignment horizontal="left" vertical="top" wrapText="1"/>
    </xf>
    <xf numFmtId="49" fontId="23" fillId="0" borderId="61" xfId="0" applyFont="1" applyBorder="1" applyNumberFormat="1">
      <alignment horizontal="center" vertical="center" wrapText="1"/>
    </xf>
    <xf numFmtId="0" fontId="23" fillId="0" borderId="19" xfId="0" applyFont="1" applyBorder="1" applyNumberFormat="1">
      <alignment horizontal="left" vertical="center" wrapText="1"/>
    </xf>
    <xf numFmtId="49" fontId="48" fillId="40" borderId="21" xfId="0" applyFont="1" applyFill="1" applyBorder="1" applyNumberFormat="1">
      <alignment horizontal="left" vertical="center" indent="2"/>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0" xfId="0" applyFont="1" applyNumberFormat="1">
      <alignment vertical="center" wrapText="1"/>
    </xf>
    <xf numFmtId="0" fontId="0"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0" fillId="0" borderId="14" xfId="0" applyFont="1" applyBorder="1" applyNumberFormat="1">
      <alignment horizontal="left" vertical="center" wrapText="1" indent="1"/>
    </xf>
    <xf numFmtId="49" fontId="0" fillId="37" borderId="14" xfId="0" applyFont="1" applyFill="1" applyBorder="1" applyNumberFormat="1">
      <alignment horizontal="center" vertical="center" wrapText="1"/>
    </xf>
    <xf numFmtId="49" fontId="23" fillId="43" borderId="14" xfId="0" applyFont="1" applyFill="1" applyBorder="1" applyNumberFormat="1">
      <alignment horizontal="left" vertical="center" wrapText="1"/>
    </xf>
    <xf numFmtId="49" fontId="23" fillId="0" borderId="62"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0" fontId="23" fillId="0" borderId="0" xfId="0" applyFont="1" applyNumberFormat="1">
      <alignment horizontal="right" vertical="top" wrapText="1"/>
    </xf>
    <xf numFmtId="49" fontId="0" fillId="42" borderId="14" xfId="0" applyFont="1" applyFill="1" applyBorder="1" applyNumberFormat="1">
      <alignment horizontal="left" vertical="center" wrapText="1" indent="1"/>
      <protection locked="0"/>
    </xf>
    <xf numFmtId="49" fontId="54" fillId="0" borderId="0" xfId="0" applyFont="1" applyNumberFormat="1">
      <alignment vertical="top"/>
    </xf>
    <xf numFmtId="49"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37" borderId="0" xfId="0" applyFont="1" applyFill="1" applyNumberFormat="1"/>
    <xf numFmtId="0" fontId="23" fillId="0" borderId="0" xfId="0" applyFont="1" applyNumberFormat="1">
      <alignment vertical="top" wrapText="1"/>
    </xf>
    <xf numFmtId="0" fontId="45" fillId="37" borderId="0" xfId="0" applyFont="1" applyFill="1" applyNumberFormat="1">
      <alignment horizontal="center" vertical="center" wrapText="1"/>
    </xf>
    <xf numFmtId="0" fontId="0" fillId="37" borderId="25"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40" fillId="49" borderId="0" xfId="0" applyFont="1" applyFill="1" applyNumberFormat="1">
      <alignment horizontal="center" vertical="center"/>
    </xf>
    <xf numFmtId="0" fontId="0" fillId="50" borderId="0" xfId="0" applyFont="1" applyFill="1" applyNumberFormat="1">
      <alignment horizontal="left" vertical="center"/>
    </xf>
    <xf numFmtId="49" fontId="0" fillId="0" borderId="0" xfId="0" applyFont="1" applyNumberFormat="1">
      <alignment vertical="center"/>
    </xf>
    <xf numFmtId="0" fontId="0" fillId="50" borderId="0" xfId="0" applyFont="1" applyFill="1" applyNumberFormat="1">
      <alignment horizontal="right" vertical="center"/>
    </xf>
    <xf numFmtId="0" fontId="59" fillId="50" borderId="0" xfId="0" applyFont="1" applyFill="1" applyNumberFormat="1">
      <alignment horizontal="left" vertical="center"/>
    </xf>
    <xf numFmtId="0" fontId="0" fillId="0" borderId="0" xfId="0" applyFont="1" applyNumberFormat="1">
      <alignment horizontal="right" vertical="top"/>
    </xf>
    <xf numFmtId="0" fontId="0" fillId="50" borderId="12" xfId="0" applyFont="1" applyFill="1" applyBorder="1" applyNumberFormat="1">
      <alignment horizontal="center"/>
    </xf>
    <xf numFmtId="0" fontId="0" fillId="0" borderId="12" xfId="0" applyFont="1" applyBorder="1" applyNumberFormat="1">
      <alignment horizontal="center"/>
    </xf>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38" fillId="0" borderId="0" xfId="0" applyFont="1" applyNumberFormat="1"/>
    <xf numFmtId="0" fontId="107" fillId="0" borderId="0" xfId="0" applyFont="1" applyNumberFormat="1">
      <alignment horizontal="left" vertical="center" wrapText="1"/>
    </xf>
    <xf numFmtId="49" fontId="122" fillId="0" borderId="0" xfId="0" applyFont="1" applyNumberFormat="1">
      <alignment wrapText="1"/>
    </xf>
    <xf numFmtId="0" fontId="22" fillId="0" borderId="0" xfId="0" applyFont="1" applyNumberFormat="1">
      <alignment horizontal="left" vertical="top" wrapText="1"/>
    </xf>
    <xf numFmtId="49" fontId="23" fillId="0" borderId="0" xfId="0" applyFont="1" applyNumberFormat="1">
      <alignment vertical="top" wrapText="1"/>
    </xf>
    <xf numFmtId="0" fontId="71" fillId="0" borderId="0" xfId="0" applyFont="1" applyNumberFormat="1">
      <alignment wrapTex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3" xfId="0" applyFont="1" applyFill="1" applyBorder="1" applyNumberFormat="1">
      <alignment horizontal="center" vertical="center" wrapText="1"/>
    </xf>
    <xf numFmtId="0" fontId="0" fillId="55" borderId="63" xfId="0" applyFont="1" applyFill="1" applyBorder="1" applyNumberFormat="1">
      <alignment horizontal="center" vertical="center" wrapText="1"/>
    </xf>
    <xf numFmtId="0" fontId="0" fillId="38" borderId="63" xfId="0" applyFont="1" applyFill="1" applyBorder="1" applyNumberFormat="1">
      <alignment horizontal="center" vertical="center" wrapText="1"/>
    </xf>
    <xf numFmtId="0" fontId="0" fillId="42" borderId="63" xfId="0" applyFont="1" applyFill="1" applyBorder="1" applyNumberFormat="1">
      <alignment horizontal="center" vertical="center" wrapText="1"/>
    </xf>
    <xf numFmtId="0" fontId="123" fillId="0" borderId="40" xfId="0" applyFont="1" applyBorder="1" applyNumberFormat="1">
      <alignment horizontal="left" vertical="center" wrapText="1"/>
    </xf>
    <xf numFmtId="0" fontId="123" fillId="0" borderId="64" xfId="0" applyFont="1" applyBorder="1" applyNumberFormat="1">
      <alignment horizontal="left" vertical="center" wrapText="1"/>
    </xf>
    <xf numFmtId="0" fontId="125" fillId="0" borderId="0" xfId="0" applyFont="1" applyNumberFormat="1"/>
    <xf numFmtId="0" fontId="125" fillId="0" borderId="40" xfId="0" applyFont="1" applyBorder="1" applyNumberFormat="1">
      <alignment wrapText="1"/>
    </xf>
    <xf numFmtId="0" fontId="71" fillId="0" borderId="65"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0" fontId="44" fillId="0" borderId="26" xfId="0" applyFont="1" applyBorder="1" applyNumberFormat="1">
      <alignment horizontal="center" vertical="center" wrapText="1"/>
    </xf>
    <xf numFmtId="49" fontId="23" fillId="0" borderId="15" xfId="0" applyFont="1" applyBorder="1" applyNumberFormat="1">
      <alignment horizontal="center" vertical="center" wrapText="1"/>
    </xf>
    <xf numFmtId="49" fontId="126" fillId="0" borderId="0" xfId="0" applyFont="1" applyNumberFormat="1">
      <alignment horizontal="center" vertical="center" wrapText="1"/>
    </xf>
    <xf numFmtId="49" fontId="23" fillId="50" borderId="0" xfId="0" applyFont="1" applyFill="1" applyNumberFormat="1">
      <alignment horizontal="center" vertical="center"/>
    </xf>
    <xf numFmtId="167" fontId="0" fillId="42" borderId="14" xfId="0" applyFont="1" applyFill="1" applyBorder="1" applyNumberFormat="1">
      <alignment horizontal="left" vertical="center" wrapText="1" indent="1"/>
      <protection locked="0"/>
    </xf>
    <xf numFmtId="167" fontId="0" fillId="0" borderId="14" xfId="0" applyFont="1" applyBorder="1" applyNumberFormat="1">
      <alignment horizontal="left" vertical="center" wrapText="1" indent="1"/>
    </xf>
    <xf numFmtId="167" fontId="0" fillId="42" borderId="14" xfId="0" applyFont="1" applyFill="1" applyBorder="1" applyNumberFormat="1">
      <alignment horizontal="center" vertical="center" wrapText="1"/>
      <protection locked="0"/>
    </xf>
    <xf numFmtId="167" fontId="55" fillId="0" borderId="0" xfId="0" applyFont="1" applyNumberFormat="1">
      <alignment horizontal="center" vertical="center" wrapText="1"/>
    </xf>
    <xf numFmtId="167" fontId="55" fillId="0" borderId="14" xfId="0" applyFont="1" applyBorder="1" applyNumberFormat="1">
      <alignment horizontal="center" vertical="center" wrapText="1"/>
    </xf>
    <xf numFmtId="167" fontId="0" fillId="42" borderId="14" xfId="0" applyFont="1" applyFill="1" applyBorder="1" applyNumberFormat="1">
      <alignment horizontal="left" vertical="center" wrapText="1"/>
      <protection locked="0"/>
    </xf>
    <xf numFmtId="167" fontId="0" fillId="39" borderId="14" xfId="0" applyFont="1" applyFill="1" applyBorder="1" applyNumberFormat="1">
      <alignment horizontal="left" vertical="center" wrapText="1" indent="1"/>
      <protection locked="0"/>
    </xf>
    <xf numFmtId="167" fontId="0" fillId="42" borderId="15" xfId="0" applyFont="1" applyFill="1" applyBorder="1" applyNumberFormat="1">
      <alignment horizontal="left" vertical="center" wrapText="1"/>
      <protection locked="0"/>
    </xf>
    <xf numFmtId="0" fontId="23" fillId="0" borderId="0" xfId="0" applyFont="1" applyNumberFormat="1">
      <alignment horizontal="left" vertical="top" indent="1"/>
    </xf>
    <xf numFmtId="0" fontId="23" fillId="38" borderId="32" xfId="0" applyFont="1" applyFill="1" applyBorder="1" applyNumberFormat="1">
      <alignment horizontal="center" vertical="top"/>
    </xf>
    <xf numFmtId="0" fontId="0" fillId="0" borderId="36" xfId="0" applyFont="1" applyBorder="1" applyNumberFormat="1">
      <alignment horizontal="center" vertical="center"/>
    </xf>
    <xf numFmtId="0" fontId="0" fillId="0" borderId="35" xfId="0" applyFont="1" applyBorder="1" applyNumberFormat="1">
      <alignment horizontal="center" vertical="center"/>
    </xf>
    <xf numFmtId="0" fontId="23" fillId="38" borderId="32" xfId="0" applyFont="1" applyFill="1" applyBorder="1" applyNumberFormat="1">
      <alignment horizontal="left" vertical="top"/>
    </xf>
    <xf numFmtId="0" fontId="23" fillId="0" borderId="14" xfId="0" applyFont="1" applyBorder="1" applyNumberFormat="1">
      <alignment horizontal="left" vertical="top"/>
    </xf>
    <xf numFmtId="49" fontId="23" fillId="0" borderId="0" xfId="0" applyFont="1" applyNumberFormat="1">
      <alignment horizontal="left" vertical="top"/>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48" fillId="0" borderId="38" xfId="0" applyFont="1" applyBorder="1" applyNumberFormat="1">
      <alignment horizontal="left" vertical="center"/>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14" fontId="23" fillId="43" borderId="38" xfId="0" applyFont="1" applyFill="1" applyBorder="1" applyNumberFormat="1">
      <alignment horizontal="left" vertical="center" wrapText="1" indent="1"/>
    </xf>
    <xf numFmtId="49" fontId="23" fillId="43" borderId="0" xfId="0" applyFont="1" applyFill="1" applyNumberFormat="1">
      <alignment horizontal="center" vertical="center" wrapText="1"/>
    </xf>
    <xf numFmtId="0" fontId="23" fillId="0" borderId="14" xfId="0" applyFont="1" applyBorder="1" applyNumberFormat="1">
      <alignment horizontal="center" vertical="center" wrapText="1"/>
    </xf>
    <xf numFmtId="0" fontId="0" fillId="37" borderId="14" xfId="0" applyFont="1" applyFill="1" applyBorder="1" applyNumberFormat="1">
      <alignment vertical="top" wrapText="1"/>
    </xf>
    <xf numFmtId="0" fontId="54" fillId="0" borderId="14" xfId="0" applyFont="1" applyBorder="1" applyNumberFormat="1">
      <alignment vertical="top" wrapText="1"/>
    </xf>
    <xf numFmtId="49" fontId="23" fillId="43" borderId="19" xfId="0" applyFont="1" applyFill="1" applyBorder="1" applyNumberFormat="1">
      <alignment vertical="center" wrapTex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0" fontId="0" fillId="42" borderId="14" xfId="0" applyFont="1" applyFill="1" applyBorder="1" applyNumberFormat="1">
      <alignment horizontal="left" vertical="center" wrapText="1" indent="1"/>
      <protection locked="0"/>
    </xf>
    <xf numFmtId="0" fontId="0" fillId="0" borderId="15" xfId="0" applyFont="1" applyBorder="1" applyNumberFormat="1">
      <alignment horizontal="center" vertical="center" wrapText="1"/>
    </xf>
    <xf numFmtId="0" fontId="23" fillId="0" borderId="14" xfId="0" applyFont="1" applyBorder="1" applyNumberFormat="1">
      <alignment horizontal="lef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49" fontId="23" fillId="0" borderId="0" xfId="0" applyFont="1" applyNumberFormat="1">
      <alignment horizontal="left" vertical="center" indent="1"/>
    </xf>
    <xf numFmtId="167" fontId="0" fillId="42" borderId="16" xfId="0" applyFont="1" applyFill="1" applyBorder="1" applyNumberFormat="1">
      <alignment horizontal="left" vertical="center" wrapText="1"/>
      <protection locked="0"/>
    </xf>
    <xf numFmtId="167" fontId="0" fillId="0" borderId="13" xfId="0" applyFont="1" applyBorder="1" applyNumberFormat="1">
      <alignment horizontal="left" vertical="center" wrapText="1" indent="1"/>
    </xf>
    <xf numFmtId="49" fontId="23" fillId="37" borderId="28" xfId="0" applyFont="1" applyFill="1" applyBorder="1" applyNumberFormat="1">
      <alignment horizontal="right" vertical="center" wrapText="1" indent="1"/>
    </xf>
    <xf numFmtId="49" fontId="54" fillId="0" borderId="0" xfId="0" applyFont="1" applyNumberFormat="1">
      <alignment vertical="center" wrapText="1"/>
    </xf>
    <xf numFmtId="49" fontId="0" fillId="39"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23" fillId="0" borderId="0" xfId="0" applyFont="1" applyNumberFormat="1">
      <alignment vertical="top" wrapText="1"/>
    </xf>
    <xf numFmtId="49" fontId="23" fillId="0" borderId="0" xfId="0" applyFont="1" applyNumberFormat="1">
      <alignment vertical="top"/>
    </xf>
    <xf numFmtId="49" fontId="23" fillId="0" borderId="0" xfId="0" applyFont="1" applyNumberFormat="1">
      <alignment vertical="top"/>
    </xf>
    <xf numFmtId="49" fontId="23" fillId="0" borderId="14" xfId="0" applyFont="1" applyBorder="1" applyNumberFormat="1">
      <alignment horizontal="center" vertical="center" wrapText="1"/>
    </xf>
    <xf numFmtId="49" fontId="23" fillId="0" borderId="21" xfId="0" applyFont="1" applyBorder="1" applyNumberFormat="1">
      <alignment horizontal="center" vertical="center" wrapText="1"/>
    </xf>
    <xf numFmtId="0" fontId="23" fillId="43" borderId="38" xfId="0" applyFont="1" applyFill="1" applyBorder="1" applyNumberFormat="1">
      <alignment horizontal="center" vertical="top" wrapText="1"/>
    </xf>
    <xf numFmtId="49" fontId="23"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43" borderId="38" xfId="0" applyFont="1" applyFill="1" applyBorder="1" applyNumberFormat="1">
      <alignment horizontal="center" vertical="center" wrapText="1"/>
    </xf>
    <xf numFmtId="0" fontId="48" fillId="0" borderId="0" xfId="0" applyFont="1" applyNumberFormat="1">
      <alignment horizontal="left" vertical="center"/>
    </xf>
    <xf numFmtId="49" fontId="23" fillId="0" borderId="21" xfId="0" applyFont="1" applyBorder="1" applyNumberFormat="1">
      <alignment horizontal="left" vertical="center" wrapText="1"/>
    </xf>
    <xf numFmtId="49" fontId="23" fillId="0" borderId="0" xfId="0" applyFont="1" applyNumberFormat="1">
      <alignment horizontal="left" vertical="center" wrapText="1"/>
    </xf>
    <xf numFmtId="49" fontId="23"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0" fontId="53" fillId="0" borderId="14" xfId="0" applyFont="1" applyBorder="1" applyNumberFormat="1">
      <alignment horizontal="center" vertical="center"/>
    </xf>
    <xf numFmtId="49" fontId="0" fillId="42" borderId="14" xfId="0" applyFont="1" applyFill="1" applyBorder="1" applyNumberFormat="1">
      <alignment horizontal="left" vertical="center" wrapText="1"/>
      <protection locked="0"/>
    </xf>
    <xf numFmtId="0" fontId="54" fillId="0" borderId="0" xfId="0" applyFont="1" applyNumberFormat="1">
      <alignment horizontal="center" vertical="top"/>
    </xf>
    <xf numFmtId="49" fontId="23" fillId="0" borderId="38" xfId="0" applyFont="1" applyBorder="1" applyNumberFormat="1">
      <alignment horizontal="center" vertical="top" wrapText="1"/>
    </xf>
    <xf numFmtId="0" fontId="23" fillId="0" borderId="14" xfId="0" applyFont="1" applyBorder="1" applyNumberFormat="1">
      <alignment horizontal="left" vertical="center" wrapText="1"/>
    </xf>
    <xf numFmtId="0" fontId="44" fillId="0" borderId="14" xfId="0" applyFont="1" applyBorder="1" applyNumberFormat="1">
      <alignment horizontal="center" vertical="center" wrapText="1"/>
    </xf>
    <xf numFmtId="49" fontId="48" fillId="40" borderId="53" xfId="0" applyFont="1" applyFill="1" applyBorder="1" applyNumberFormat="1">
      <alignment horizontal="left" vertical="center" indent="1"/>
    </xf>
    <xf numFmtId="49" fontId="23" fillId="39" borderId="14" xfId="0" applyFont="1" applyFill="1" applyBorder="1" applyNumberFormat="1">
      <alignment horizontal="left" vertical="center" wrapText="1"/>
      <protection locked="0"/>
    </xf>
    <xf numFmtId="49" fontId="55" fillId="0" borderId="14" xfId="0" applyFont="1" applyBorder="1" applyNumberFormat="1">
      <alignment horizontal="center" vertical="center" wrapText="1"/>
    </xf>
    <xf numFmtId="167"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0" fontId="23" fillId="0" borderId="14" xfId="0" applyFont="1" applyBorder="1" applyNumberFormat="1">
      <alignment horizontal="center" vertical="center" wrapText="1"/>
    </xf>
    <xf numFmtId="0" fontId="54" fillId="0" borderId="0" xfId="0" applyFont="1" applyNumberFormat="1">
      <alignment horizontal="center" vertical="center" wrapText="1"/>
    </xf>
    <xf numFmtId="0" fontId="0" fillId="0" borderId="14" xfId="0" applyFont="1" applyBorder="1" applyNumberFormat="1">
      <alignment horizontal="left" vertical="center" wrapText="1"/>
    </xf>
    <xf numFmtId="0" fontId="23" fillId="0" borderId="38" xfId="0" applyFont="1" applyBorder="1" applyNumberFormat="1">
      <alignment horizontal="center" vertical="center" wrapText="1"/>
    </xf>
    <xf numFmtId="0" fontId="23" fillId="37" borderId="16" xfId="0" applyFont="1" applyFill="1" applyBorder="1" applyNumberFormat="1">
      <alignment horizontal="center" vertical="center" wrapText="1"/>
    </xf>
    <xf numFmtId="49" fontId="0"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3" borderId="16" xfId="0" applyFont="1" applyFill="1" applyBorder="1" applyNumberFormat="1">
      <alignment horizontal="left" vertical="center" wrapText="1"/>
    </xf>
    <xf numFmtId="0" fontId="23" fillId="0" borderId="25" xfId="0" applyFont="1" applyBorder="1" applyNumberFormat="1">
      <alignment horizontal="center" vertical="center" wrapText="1"/>
    </xf>
    <xf numFmtId="0" fontId="53" fillId="0" borderId="15" xfId="0" applyFont="1" applyBorder="1" applyNumberFormat="1">
      <alignment horizontal="center" vertical="center"/>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0" fontId="45" fillId="0" borderId="0" xfId="0" applyFont="1" applyNumberFormat="1">
      <alignment horizontal="center" vertical="center" wrapText="1"/>
    </xf>
    <xf numFmtId="0" fontId="50" fillId="0" borderId="0" xfId="0" applyFont="1" applyNumberFormat="1">
      <alignment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vertical="top"/>
    </xf>
    <xf numFmtId="49" fontId="23" fillId="0" borderId="0" xfId="0" applyFont="1" applyNumberFormat="1">
      <alignment vertical="top"/>
    </xf>
    <xf numFmtId="0" fontId="45" fillId="37" borderId="0" xfId="0" applyFont="1" applyFill="1" applyNumberFormat="1">
      <alignment vertical="top" wrapText="1"/>
    </xf>
    <xf numFmtId="49" fontId="127" fillId="42" borderId="14" xfId="0" applyFont="1" applyFill="1" applyBorder="1" applyNumberFormat="1">
      <alignment horizontal="left" vertical="center" wrapText="1"/>
      <protection locked="0"/>
    </xf>
    <xf numFmtId="49" fontId="45" fillId="0" borderId="0" xfId="0" applyFont="1" applyNumberFormat="1">
      <alignment horizontal="center" vertical="center" wrapText="1"/>
    </xf>
    <xf numFmtId="0" fontId="45" fillId="0" borderId="26" xfId="0" applyFont="1" applyBorder="1" applyNumberFormat="1">
      <alignment horizontal="center" vertical="center" wrapText="1"/>
    </xf>
    <xf numFmtId="49" fontId="128" fillId="0" borderId="0" xfId="0" applyFont="1" applyNumberFormat="1">
      <alignment horizontal="center" vertical="top" wrapText="1"/>
    </xf>
    <xf numFmtId="49" fontId="0" fillId="38" borderId="38" xfId="0" applyFont="1" applyFill="1" applyBorder="1" applyNumberFormat="1">
      <alignment vertical="top"/>
    </xf>
    <xf numFmtId="49" fontId="0" fillId="0" borderId="38" xfId="0" applyFont="1" applyBorder="1" applyNumberFormat="1">
      <alignment vertical="top"/>
    </xf>
    <xf numFmtId="49" fontId="0" fillId="42" borderId="38" xfId="0" applyFont="1" applyFill="1" applyBorder="1" applyNumberFormat="1">
      <alignment vertical="top"/>
      <protection locked="0"/>
    </xf>
    <xf numFmtId="49" fontId="0" fillId="42" borderId="19" xfId="0" applyFont="1" applyFill="1" applyBorder="1" applyNumberFormat="1">
      <alignment vertical="top"/>
      <protection locked="0"/>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49" fontId="0" fillId="0" borderId="0" xfId="0" applyFont="1" applyNumberFormat="1">
      <alignment vertical="top"/>
    </xf>
    <xf numFmtId="49" fontId="0" fillId="0" borderId="21" xfId="0" applyFont="1" applyBorder="1" applyNumberFormat="1">
      <alignment vertical="top"/>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45" fillId="0" borderId="0" xfId="0" applyFont="1" applyNumberFormat="1">
      <alignment horizontal="center" vertical="center" wrapText="1"/>
    </xf>
    <xf numFmtId="49" fontId="0" fillId="42" borderId="14"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40" borderId="17" xfId="0" applyFont="1" applyFill="1" applyBorder="1" applyNumberFormat="1">
      <alignment vertical="center"/>
    </xf>
    <xf numFmtId="49" fontId="0" fillId="0" borderId="38" xfId="0" applyFont="1" applyBorder="1" applyNumberFormat="1">
      <alignment horizontal="left" vertical="top"/>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0" fillId="43" borderId="38" xfId="0" applyFont="1" applyFill="1" applyBorder="1" applyNumberFormat="1">
      <alignment horizontal="left" vertical="center" wrapText="1"/>
      <protection locked="0"/>
    </xf>
    <xf numFmtId="49" fontId="0" fillId="0" borderId="0" xfId="0" applyFont="1" applyNumberFormat="1">
      <alignment vertical="top"/>
    </xf>
    <xf numFmtId="49" fontId="0" fillId="39" borderId="38" xfId="0" applyFont="1" applyFill="1" applyBorder="1" applyNumberFormat="1">
      <alignment vertical="top"/>
      <protection locked="0"/>
    </xf>
    <xf numFmtId="49" fontId="0" fillId="0" borderId="21" xfId="0" applyFont="1" applyBorder="1" applyNumberFormat="1">
      <alignment horizontal="left" vertical="center" wrapText="1"/>
    </xf>
    <xf numFmtId="0" fontId="0" fillId="0" borderId="0" xfId="0" applyFont="1" applyNumberFormat="1">
      <alignment vertical="center"/>
    </xf>
    <xf numFmtId="0" fontId="0" fillId="0" borderId="29" xfId="0" applyFont="1" applyBorder="1" applyNumberFormat="1">
      <alignment vertical="center"/>
    </xf>
    <xf numFmtId="49" fontId="45" fillId="0" borderId="38" xfId="0" applyFont="1" applyBorder="1" applyNumberFormat="1">
      <alignment vertical="center" wrapText="1"/>
    </xf>
    <xf numFmtId="49" fontId="45" fillId="0" borderId="38" xfId="0" applyFont="1" applyBorder="1" applyNumberFormat="1">
      <alignment horizontal="center" vertical="center" wrapText="1"/>
    </xf>
    <xf numFmtId="49" fontId="45" fillId="0" borderId="21" xfId="0" applyFont="1" applyBorder="1" applyNumberFormat="1">
      <alignment vertical="center" wrapText="1"/>
    </xf>
    <xf numFmtId="49" fontId="45" fillId="0" borderId="0" xfId="0" applyFont="1" applyNumberFormat="1">
      <alignment vertical="center" wrapText="1"/>
    </xf>
    <xf numFmtId="49" fontId="45" fillId="0" borderId="0" xfId="0" applyFont="1" applyNumberFormat="1">
      <alignment horizontal="center" vertical="center" wrapText="1"/>
    </xf>
    <xf numFmtId="0" fontId="23" fillId="37" borderId="25" xfId="0" applyFont="1" applyFill="1" applyBorder="1" applyNumberFormat="1">
      <alignment horizontal="center" vertical="center" wrapText="1"/>
    </xf>
    <xf numFmtId="0" fontId="23" fillId="0" borderId="38" xfId="0" applyFont="1" applyBorder="1" applyNumberFormat="1">
      <alignment horizontal="left" vertical="top" wrapText="1"/>
    </xf>
    <xf numFmtId="0" fontId="0" fillId="0" borderId="15" xfId="0" applyFont="1" applyBorder="1" applyNumberFormat="1">
      <alignment horizontal="center" vertical="center" wrapText="1"/>
    </xf>
    <xf numFmtId="4" fontId="0" fillId="42" borderId="15" xfId="0" applyFont="1" applyFill="1" applyBorder="1" applyNumberFormat="1">
      <alignment horizontal="right" vertical="center" wrapText="1"/>
      <protection locked="0"/>
    </xf>
    <xf numFmtId="0" fontId="0" fillId="0" borderId="15" xfId="0" applyFont="1" applyBorder="1" applyNumberFormat="1">
      <alignment horizontal="center" vertical="center" wrapText="1"/>
    </xf>
    <xf numFmtId="0" fontId="23" fillId="43" borderId="14" xfId="0" applyFont="1" applyFill="1" applyBorder="1" applyNumberFormat="1">
      <alignment horizontal="left" vertical="center" wrapText="1"/>
    </xf>
    <xf numFmtId="49" fontId="0" fillId="37" borderId="19" xfId="0" applyFont="1" applyFill="1" applyBorder="1" applyNumberFormat="1">
      <alignment horizontal="center" vertical="center" wrapText="1"/>
    </xf>
    <xf numFmtId="0" fontId="0" fillId="0" borderId="25" xfId="0" applyFont="1" applyBorder="1" applyNumberFormat="1">
      <alignment horizontal="center" vertical="center" wrapText="1"/>
    </xf>
    <xf numFmtId="0" fontId="23" fillId="43" borderId="16" xfId="0" applyFont="1" applyFill="1" applyBorder="1" applyNumberFormat="1">
      <alignment horizontal="left" vertical="center" wrapText="1"/>
    </xf>
    <xf numFmtId="49" fontId="0" fillId="0" borderId="14" xfId="0" applyFont="1" applyBorder="1" applyNumberFormat="1">
      <alignment horizontal="center" vertical="center" wrapText="1"/>
    </xf>
    <xf numFmtId="49" fontId="53" fillId="56" borderId="0" xfId="0" applyFont="1" applyFill="1" applyNumberFormat="1">
      <alignment vertical="center" wrapText="1"/>
    </xf>
    <xf numFmtId="0" fontId="54" fillId="0" borderId="0" xfId="0" applyFont="1" applyNumberFormat="1">
      <alignment vertical="top" wrapText="1"/>
    </xf>
    <xf numFmtId="49" fontId="40" fillId="0" borderId="0" xfId="0" applyFont="1" applyNumberFormat="1">
      <alignment horizontal="center" vertical="top" wrapText="1"/>
    </xf>
    <xf numFmtId="49" fontId="23" fillId="0" borderId="0" xfId="0" applyFont="1" applyNumberFormat="1">
      <alignment horizontal="center" vertical="top" wrapText="1"/>
    </xf>
    <xf numFmtId="49" fontId="23" fillId="37" borderId="0" xfId="0" applyFont="1" applyFill="1" applyNumberFormat="1">
      <alignment horizontal="center" vertical="top" wrapText="1"/>
    </xf>
    <xf numFmtId="0" fontId="0" fillId="0" borderId="38"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left" vertical="center" wrapText="1"/>
    </xf>
    <xf numFmtId="0" fontId="23" fillId="0" borderId="14" xfId="0" applyFont="1" applyBorder="1" applyNumberFormat="1">
      <alignment horizontal="center" vertical="center" wrapText="1"/>
    </xf>
    <xf numFmtId="0" fontId="54" fillId="0" borderId="0" xfId="0" applyFont="1" applyNumberFormat="1">
      <alignment horizontal="center" vertical="center" wrapText="1"/>
    </xf>
    <xf numFmtId="0" fontId="54" fillId="0" borderId="14" xfId="0" applyFont="1" applyBorder="1" applyNumberFormat="1">
      <alignment horizontal="center" vertical="center" wrapText="1"/>
    </xf>
    <xf numFmtId="0" fontId="23" fillId="42" borderId="14" xfId="0" applyFont="1" applyFill="1" applyBorder="1" applyNumberFormat="1">
      <alignment horizontal="center" vertical="center" wrapText="1"/>
      <protection locked="0"/>
    </xf>
    <xf numFmtId="49" fontId="23" fillId="38" borderId="14" xfId="0" applyFont="1" applyFill="1" applyBorder="1" applyNumberFormat="1">
      <alignment horizontal="center" vertical="center" wrapText="1"/>
    </xf>
    <xf numFmtId="0" fontId="0" fillId="0" borderId="14" xfId="0" applyFont="1" applyBorder="1" applyNumberFormat="1">
      <alignment horizontal="left" vertical="top" wrapText="1"/>
    </xf>
    <xf numFmtId="14" fontId="23" fillId="43" borderId="14" xfId="0" applyFont="1" applyFill="1" applyBorder="1" applyNumberFormat="1">
      <alignment horizontal="left" vertical="center" wrapText="1" indent="1"/>
    </xf>
    <xf numFmtId="49" fontId="32" fillId="0" borderId="14" xfId="0" applyFont="1" applyBorder="1" applyNumberFormat="1">
      <alignment horizontal="left" vertical="center" wrapText="1" indent="1"/>
    </xf>
    <xf numFmtId="0" fontId="23" fillId="0" borderId="16" xfId="0" applyFont="1" applyBorder="1" applyNumberFormat="1">
      <alignment horizontal="center" vertical="center" wrapText="1"/>
    </xf>
    <xf numFmtId="49" fontId="23" fillId="0" borderId="14" xfId="0" applyFont="1" applyBorder="1" applyNumberFormat="1">
      <alignment horizontal="center" vertical="center" wrapText="1"/>
    </xf>
    <xf numFmtId="0" fontId="23" fillId="0" borderId="25" xfId="0" applyFont="1" applyBorder="1" applyNumberFormat="1">
      <alignment horizontal="left" vertical="center" wrapText="1" inden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165" fontId="23" fillId="0" borderId="25" xfId="0" applyFont="1" applyBorder="1" applyNumberFormat="1">
      <alignment horizontal="center" vertical="center" wrapText="1"/>
    </xf>
    <xf numFmtId="0" fontId="23" fillId="0" borderId="0" xfId="0" applyFont="1" applyNumberFormat="1">
      <alignment horizontal="right" vertical="center" wrapText="1"/>
    </xf>
    <xf numFmtId="0" fontId="23" fillId="37" borderId="14" xfId="0" applyFont="1" applyFill="1" applyBorder="1" applyNumberFormat="1">
      <alignment vertical="top" wrapText="1"/>
    </xf>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49" fontId="0" fillId="40" borderId="31" xfId="0" applyFont="1" applyFill="1" applyBorder="1" applyNumberFormat="1">
      <alignment horizontal="right" vertical="center" wrapText="1"/>
    </xf>
    <xf numFmtId="0" fontId="23" fillId="0" borderId="0" xfId="0" applyFont="1" applyNumberFormat="1">
      <alignment horizontal="left" vertical="center" wrapText="1"/>
    </xf>
    <xf numFmtId="0" fontId="0" fillId="50" borderId="0" xfId="0" applyFont="1" applyFill="1" applyNumberFormat="1">
      <alignment horizontal="right" vertical="top" wrapText="1"/>
    </xf>
    <xf numFmtId="0" fontId="23" fillId="0" borderId="0" xfId="0" applyFont="1" applyNumberFormat="1">
      <alignment horizontal="left" vertical="top" wrapText="1"/>
    </xf>
    <xf numFmtId="14" fontId="23" fillId="0" borderId="25" xfId="0" applyFont="1" applyBorder="1" applyNumberFormat="1">
      <alignment horizontal="left" vertical="center" wrapText="1" indent="1"/>
    </xf>
    <xf numFmtId="0" fontId="23" fillId="0" borderId="14"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38" borderId="14" xfId="0" applyFont="1" applyFill="1" applyBorder="1" applyNumberFormat="1">
      <alignment horizontal="left" vertical="center" wrapText="1"/>
    </xf>
    <xf numFmtId="165"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55" fillId="0" borderId="0" xfId="0" applyFont="1" applyNumberFormat="1">
      <alignment horizontal="center" vertical="center" wrapText="1"/>
    </xf>
    <xf numFmtId="49" fontId="23" fillId="42" borderId="14" xfId="0" applyFont="1" applyFill="1" applyBorder="1" applyNumberFormat="1">
      <alignment horizontal="left" vertical="center" wrapText="1"/>
      <protection locked="0"/>
    </xf>
    <xf numFmtId="0" fontId="23" fillId="37" borderId="38" xfId="0" applyFont="1" applyFill="1" applyBorder="1" applyNumberFormat="1">
      <alignment vertical="center" wrapText="1"/>
    </xf>
    <xf numFmtId="165" fontId="53" fillId="0" borderId="21" xfId="0" applyFont="1" applyBorder="1" applyNumberFormat="1">
      <alignment horizontal="center" vertical="center" wrapText="1"/>
    </xf>
    <xf numFmtId="165" fontId="53" fillId="0" borderId="22" xfId="0" applyFont="1" applyBorder="1" applyNumberFormat="1">
      <alignment horizontal="center" vertical="center" wrapText="1"/>
    </xf>
    <xf numFmtId="168" fontId="23" fillId="42" borderId="14" xfId="0" applyFont="1" applyFill="1" applyBorder="1" applyNumberFormat="1">
      <alignment horizontal="left" vertical="center" wrapText="1" indent="1"/>
      <protection locked="0"/>
    </xf>
    <xf numFmtId="167" fontId="0" fillId="42" borderId="17" xfId="0" applyFont="1" applyFill="1" applyBorder="1" applyNumberFormat="1">
      <alignment horizontal="left" vertical="center" wrapText="1" indent="1"/>
      <protection locked="0"/>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34" fillId="40" borderId="31" xfId="0" applyFont="1" applyFill="1" applyBorder="1" applyNumberFormat="1">
      <alignment horizontal="left" vertical="center" wrapText="1"/>
    </xf>
    <xf numFmtId="0" fontId="23" fillId="42" borderId="14" xfId="0" applyFont="1" applyFill="1" applyBorder="1" applyNumberFormat="1">
      <alignment horizontal="left" vertical="top" wrapText="1" indent="1"/>
      <protection locked="0"/>
    </xf>
    <xf numFmtId="0" fontId="23" fillId="0" borderId="17" xfId="0" applyFont="1" applyBorder="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0" xfId="73" applyFont="1" applyNumberFormat="1">
      <alignment horizontal="center" vertical="center" wrapText="1"/>
    </xf>
    <xf numFmtId="0" fontId="44" fillId="0" borderId="0" xfId="73" applyFont="1" applyNumberFormat="1">
      <alignment horizontal="center" vertical="center" wrapText="1"/>
    </xf>
    <xf numFmtId="0" fontId="44" fillId="0" borderId="0" xfId="73" applyFont="1" applyNumberFormat="1">
      <alignment horizontal="center" vertical="center" wrapText="1"/>
    </xf>
    <xf numFmtId="0" fontId="44" fillId="0" borderId="0" xfId="73" applyFont="1" applyNumberFormat="1">
      <alignment horizontal="center" vertical="center" wrapText="1"/>
    </xf>
    <xf numFmtId="0" fontId="44" fillId="0" borderId="14" xfId="73" applyFont="1" applyBorder="1" applyNumberFormat="1">
      <alignment horizontal="center" vertical="center" wrapText="1"/>
    </xf>
    <xf numFmtId="0" fontId="23" fillId="0" borderId="14" xfId="0" applyFont="1" applyBorder="1" applyNumberFormat="1">
      <alignment horizontal="left" vertical="top"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14" xfId="0" applyFont="1" applyBorder="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0"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0" fontId="23" fillId="38" borderId="17" xfId="0" applyFont="1" applyFill="1" applyBorder="1" applyNumberFormat="1">
      <alignment horizontal="left" vertical="center" wrapText="1"/>
    </xf>
    <xf numFmtId="0" fontId="23" fillId="0" borderId="0" xfId="0" applyFont="1" applyNumberFormat="1">
      <alignment horizontal="left" vertical="top" wrapText="1"/>
    </xf>
    <xf numFmtId="0" fontId="55" fillId="0" borderId="0" xfId="0" applyFont="1" applyNumberFormat="1">
      <alignment horizontal="center" vertical="center" wrapText="1"/>
    </xf>
    <xf numFmtId="167" fontId="0" fillId="42" borderId="14" xfId="0" applyFont="1" applyFill="1" applyBorder="1" applyNumberFormat="1">
      <alignment horizontal="center" vertical="center" wrapText="1"/>
      <protection locked="0"/>
    </xf>
    <xf numFmtId="0" fontId="85" fillId="37" borderId="21" xfId="0" applyFont="1" applyFill="1" applyBorder="1" applyNumberFormat="1">
      <alignment horizontal="center"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37" borderId="25" xfId="0" applyFont="1" applyFill="1" applyBorder="1" applyNumberFormat="1">
      <alignment horizontal="center" vertical="center" wrapText="1"/>
    </xf>
    <xf numFmtId="0" fontId="55" fillId="0" borderId="17" xfId="0" applyFont="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23" fillId="37" borderId="19" xfId="0" applyFont="1" applyFill="1" applyBorder="1" applyNumberFormat="1">
      <alignment horizontal="left" vertical="center" wrapText="1"/>
    </xf>
    <xf numFmtId="4" fontId="23" fillId="42" borderId="14" xfId="0" applyFont="1" applyFill="1" applyBorder="1" applyNumberFormat="1">
      <alignment horizontal="left" vertical="center" wrapText="1" indent="1"/>
      <protection locked="0"/>
    </xf>
    <xf numFmtId="49" fontId="23" fillId="39" borderId="19" xfId="0" applyFont="1" applyFill="1" applyBorder="1" applyNumberFormat="1">
      <alignment horizontal="left" vertical="center" wrapText="1" indent="6"/>
      <protection locked="0"/>
    </xf>
    <xf numFmtId="49" fontId="23" fillId="0" borderId="0" xfId="0" applyFont="1" applyNumberFormat="1">
      <alignment vertical="center" wrapText="1"/>
    </xf>
    <xf numFmtId="49" fontId="55" fillId="0" borderId="14" xfId="0" applyFont="1" applyBorder="1" applyNumberFormat="1">
      <alignment horizontal="center" vertical="center" wrapText="1"/>
    </xf>
    <xf numFmtId="49" fontId="23" fillId="0" borderId="14" xfId="0" applyFont="1" applyBorder="1" applyNumberFormat="1">
      <alignment horizontal="left" vertical="center" wrapText="1"/>
    </xf>
    <xf numFmtId="0" fontId="23" fillId="37" borderId="31" xfId="0" applyFont="1" applyFill="1" applyBorder="1" applyNumberFormat="1">
      <alignment horizontal="center" vertical="center" wrapText="1"/>
    </xf>
    <xf numFmtId="0" fontId="54" fillId="0" borderId="0" xfId="0" applyFont="1" applyNumberFormat="1">
      <alignment horizontal="center" vertical="center" wrapText="1"/>
    </xf>
    <xf numFmtId="0" fontId="23" fillId="0" borderId="0" xfId="0" applyFont="1" applyNumberFormat="1">
      <alignment horizontal="right" vertical="center" wrapText="1"/>
    </xf>
    <xf numFmtId="49" fontId="23" fillId="43" borderId="17" xfId="0" applyFont="1" applyFill="1" applyBorder="1" applyNumberFormat="1">
      <alignment horizontal="center"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23" fillId="0" borderId="0" xfId="0" applyFont="1" applyNumberFormat="1">
      <alignment horizontal="left" vertical="center" indent="1"/>
    </xf>
    <xf numFmtId="49" fontId="23" fillId="0" borderId="0" xfId="0" applyFont="1" applyNumberFormat="1">
      <alignment horizontal="left" vertical="center"/>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7" borderId="0" xfId="0" applyFont="1" applyFill="1" applyNumberFormat="1">
      <alignment vertical="center" wrapText="1"/>
    </xf>
    <xf numFmtId="0" fontId="85" fillId="37" borderId="21"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49" fontId="23" fillId="39" borderId="14" xfId="0" applyFont="1" applyFill="1" applyBorder="1" applyNumberFormat="1">
      <alignment horizontal="left" vertical="center" indent="1"/>
      <protection locked="0"/>
    </xf>
    <xf numFmtId="49" fontId="23" fillId="37" borderId="14" xfId="0" applyFont="1" applyFill="1" applyBorder="1" applyNumberFormat="1">
      <alignment horizontal="center" vertical="center" wrapText="1"/>
    </xf>
    <xf numFmtId="0" fontId="22" fillId="48" borderId="63" xfId="0" applyFont="1" applyFill="1" applyBorder="1" applyNumberFormat="1">
      <alignment horizontal="right" vertical="center" wrapText="1" indent="1"/>
    </xf>
    <xf numFmtId="0" fontId="22" fillId="48" borderId="66" xfId="0" applyFont="1" applyFill="1" applyBorder="1" applyNumberFormat="1">
      <alignment horizontal="right" vertical="center" wrapText="1" indent="1"/>
    </xf>
    <xf numFmtId="0" fontId="22" fillId="48" borderId="40" xfId="0" applyFont="1" applyFill="1" applyBorder="1" applyNumberFormat="1">
      <alignment horizontal="right" vertical="center" wrapText="1" indent="1"/>
    </xf>
    <xf numFmtId="0" fontId="22" fillId="48" borderId="0" xfId="0" applyFont="1" applyFill="1" applyNumberFormat="1">
      <alignment horizontal="right" vertical="center" wrapText="1" indent="1"/>
    </xf>
    <xf numFmtId="0" fontId="125" fillId="0" borderId="0" xfId="0" applyFont="1" applyNumberFormat="1">
      <alignment vertical="center" wrapText="1"/>
    </xf>
    <xf numFmtId="0" fontId="22" fillId="48" borderId="67" xfId="0" applyFont="1" applyFill="1" applyBorder="1" applyNumberFormat="1">
      <alignment horizontal="right" vertical="center" wrapText="1" indent="1"/>
    </xf>
    <xf numFmtId="0" fontId="22" fillId="48" borderId="65"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125" fillId="0" borderId="0" xfId="0" applyFont="1" applyNumberFormat="1">
      <alignment vertical="top" wrapText="1"/>
    </xf>
    <xf numFmtId="49" fontId="71" fillId="0" borderId="0" xfId="0" applyFont="1" applyNumberFormat="1">
      <alignment vertical="top" wrapText="1"/>
    </xf>
    <xf numFmtId="0" fontId="107" fillId="0" borderId="0" xfId="0" applyFont="1" applyNumberFormat="1">
      <alignment vertical="center" wrapText="1"/>
    </xf>
    <xf numFmtId="0" fontId="107" fillId="0" borderId="0" xfId="0" applyFont="1" applyNumberFormat="1">
      <alignment vertical="center"/>
    </xf>
    <xf numFmtId="0" fontId="22" fillId="57" borderId="68" xfId="0" applyFont="1" applyFill="1" applyBorder="1" applyNumberFormat="1">
      <alignment horizontal="center" vertical="center" wrapText="1"/>
    </xf>
    <xf numFmtId="0" fontId="22" fillId="57" borderId="69" xfId="0" applyFont="1" applyFill="1" applyBorder="1" applyNumberFormat="1">
      <alignment horizontal="center" vertical="center" wrapText="1"/>
    </xf>
    <xf numFmtId="0" fontId="22" fillId="57" borderId="70" xfId="0" applyFont="1" applyFill="1" applyBorder="1" applyNumberFormat="1">
      <alignment horizontal="center" vertical="center" wrapText="1"/>
    </xf>
    <xf numFmtId="0" fontId="125" fillId="0" borderId="40" xfId="0" applyFont="1" applyBorder="1" applyNumberFormat="1">
      <alignment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101" fillId="0" borderId="0" xfId="0" applyFont="1" applyNumberFormat="1">
      <alignment horizontal="left" vertical="center" wrapText="1"/>
    </xf>
    <xf numFmtId="14" fontId="98" fillId="0" borderId="14" xfId="0" applyFont="1" applyBorder="1" applyNumberFormat="1">
      <alignment horizontal="center" vertical="center" wrapText="1"/>
    </xf>
    <xf numFmtId="0" fontId="23" fillId="0" borderId="0" xfId="0" applyFont="1" applyNumberFormat="1">
      <alignment horizontal="center" vertical="center" wrapText="1"/>
    </xf>
    <xf numFmtId="0" fontId="23" fillId="0" borderId="17" xfId="0" applyFont="1" applyBorder="1" applyNumberFormat="1">
      <alignment horizontal="left" vertical="center" wrapText="1" inden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23" fillId="0" borderId="0" xfId="0" applyFont="1" applyNumberFormat="1">
      <alignment horizontal="center" vertical="center" wrapText="1"/>
    </xf>
    <xf numFmtId="0" fontId="23" fillId="44" borderId="0" xfId="0" applyFont="1" applyFill="1" applyNumberFormat="1">
      <alignment horizontal="center"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80"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0" fontId="23" fillId="43" borderId="25"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5" xfId="0" applyFont="1" applyBorder="1" applyNumberFormat="1">
      <alignment horizontal="center" vertical="center" wrapText="1"/>
    </xf>
    <xf numFmtId="0" fontId="23" fillId="0" borderId="75" xfId="0" applyFont="1" applyBorder="1" applyNumberFormat="1">
      <alignment horizontal="center"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0" fontId="0" fillId="0" borderId="21"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21" xfId="0" applyFont="1" applyBorder="1" applyNumberFormat="1">
      <alignment horizontal="left" vertical="center" wrapText="1"/>
    </xf>
    <xf numFmtId="0" fontId="0" fillId="0" borderId="14" xfId="0" applyFont="1" applyBorder="1" applyNumberFormat="1">
      <alignment horizontal="center" vertical="top"/>
    </xf>
    <xf numFmtId="49" fontId="0" fillId="0" borderId="14" xfId="0" applyFont="1" applyBorder="1" applyNumberFormat="1">
      <alignment vertical="top"/>
    </xf>
    <xf numFmtId="0" fontId="23" fillId="0" borderId="14" xfId="0" applyFont="1" applyBorder="1" applyNumberFormat="1">
      <alignment horizontal="left" vertical="top" wrapText="1"/>
    </xf>
    <xf numFmtId="49" fontId="0" fillId="0" borderId="14" xfId="0" applyFont="1" applyBorder="1" applyNumberFormat="1">
      <alignment horizontal="left" vertical="top"/>
    </xf>
    <xf numFmtId="0" fontId="23" fillId="43" borderId="19" xfId="0" applyFont="1" applyFill="1" applyBorder="1" applyNumberFormat="1">
      <alignment horizontal="center" vertical="top" wrapText="1"/>
    </xf>
    <xf numFmtId="0" fontId="23" fillId="43" borderId="38" xfId="0" applyFont="1" applyFill="1" applyBorder="1" applyNumberFormat="1">
      <alignment horizontal="center" vertical="top" wrapText="1"/>
    </xf>
    <xf numFmtId="0" fontId="23" fillId="43" borderId="25"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4" xfId="0" applyFont="1" applyBorder="1" applyNumberFormat="1">
      <alignment horizontal="center" vertical="center"/>
    </xf>
    <xf numFmtId="0" fontId="0" fillId="0" borderId="21" xfId="0" applyFont="1" applyBorder="1" applyNumberFormat="1">
      <alignment horizontal="center" vertical="center"/>
    </xf>
    <xf numFmtId="0" fontId="0" fillId="0" borderId="0" xfId="0" applyFont="1" applyNumberFormat="1">
      <alignment horizontal="center" vertical="center"/>
    </xf>
    <xf numFmtId="49" fontId="23" fillId="0" borderId="21" xfId="0" applyFont="1" applyBorder="1" applyNumberFormat="1">
      <alignment horizontal="left" vertical="center" wrapText="1"/>
    </xf>
    <xf numFmtId="49" fontId="23" fillId="0" borderId="0" xfId="0" applyFont="1" applyNumberFormat="1">
      <alignment horizontal="left" vertical="center" wrapText="1"/>
    </xf>
    <xf numFmtId="49" fontId="0" fillId="0" borderId="0" xfId="0" applyFont="1" applyNumberFormat="1">
      <alignment horizontal="left" vertical="top"/>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9" xfId="0" applyFont="1" applyBorder="1" applyNumberFormat="1">
      <alignment horizontal="center" vertical="top"/>
    </xf>
    <xf numFmtId="0" fontId="0" fillId="0" borderId="38" xfId="0" applyFont="1" applyBorder="1" applyNumberFormat="1">
      <alignment horizontal="center" vertical="top"/>
    </xf>
    <xf numFmtId="0" fontId="0" fillId="0" borderId="25" xfId="0" applyFont="1" applyBorder="1" applyNumberFormat="1">
      <alignment horizontal="center" vertical="top"/>
    </xf>
    <xf numFmtId="0" fontId="23" fillId="0" borderId="19" xfId="0" applyFont="1" applyBorder="1" applyNumberFormat="1">
      <alignment horizontal="left" vertical="top" wrapText="1"/>
    </xf>
    <xf numFmtId="0" fontId="23" fillId="0" borderId="38" xfId="0" applyFont="1" applyBorder="1" applyNumberFormat="1">
      <alignment horizontal="left" vertical="top" wrapText="1"/>
    </xf>
    <xf numFmtId="0" fontId="23" fillId="0" borderId="25" xfId="0" applyFont="1" applyBorder="1" applyNumberFormat="1">
      <alignment horizontal="left" vertical="top" wrapText="1"/>
    </xf>
    <xf numFmtId="49" fontId="55" fillId="37" borderId="29" xfId="0" applyFont="1" applyFill="1" applyBorder="1" applyNumberFormat="1">
      <alignment horizontal="center"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23" fillId="0" borderId="29" xfId="0" applyFont="1" applyBorder="1" applyNumberFormat="1">
      <alignment horizontal="left" vertical="center" indent="1"/>
    </xf>
    <xf numFmtId="0" fontId="0" fillId="0" borderId="14" xfId="0" applyFont="1" applyBorder="1" applyNumberFormat="1">
      <alignment horizontal="center" vertical="center" wrapText="1"/>
    </xf>
    <xf numFmtId="0" fontId="23" fillId="0" borderId="21" xfId="0" applyFont="1" applyBorder="1" applyNumberFormat="1">
      <alignment horizontal="left" vertical="center" wrapText="1" inden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49" fontId="23" fillId="0" borderId="14" xfId="0" applyFont="1" applyBorder="1" applyNumberFormat="1">
      <alignment horizontal="center" vertical="center"/>
    </xf>
    <xf numFmtId="49" fontId="23" fillId="0" borderId="19" xfId="0" applyFont="1" applyBorder="1" applyNumberFormat="1">
      <alignment horizontal="center" vertical="center"/>
    </xf>
    <xf numFmtId="0" fontId="23" fillId="0" borderId="14" xfId="0" applyFont="1" applyBorder="1" applyNumberFormat="1">
      <alignment horizontal="left" vertical="center" wrapText="1"/>
    </xf>
    <xf numFmtId="0" fontId="23" fillId="0" borderId="19" xfId="0" applyFont="1" applyBorder="1" applyNumberFormat="1">
      <alignment horizontal="left" vertical="center" wrapText="1"/>
    </xf>
    <xf numFmtId="0" fontId="23" fillId="0" borderId="39" xfId="0" applyFont="1" applyBorder="1" applyNumberFormat="1">
      <alignment horizontal="left" vertical="center" wrapText="1"/>
    </xf>
    <xf numFmtId="49" fontId="23" fillId="43" borderId="19" xfId="0" applyFont="1" applyFill="1" applyBorder="1" applyNumberFormat="1">
      <alignment horizontal="center" vertical="center" wrapText="1"/>
    </xf>
    <xf numFmtId="49" fontId="23" fillId="43" borderId="38" xfId="0" applyFont="1" applyFill="1" applyBorder="1" applyNumberFormat="1">
      <alignment horizontal="center" vertical="center" wrapText="1"/>
    </xf>
    <xf numFmtId="0" fontId="23" fillId="0" borderId="21" xfId="0" applyFont="1" applyBorder="1" applyNumberFormat="1">
      <alignment horizontal="center" vertical="center"/>
    </xf>
    <xf numFmtId="0" fontId="23" fillId="0" borderId="0" xfId="0" applyFont="1" applyNumberFormat="1">
      <alignment horizontal="center" vertical="center"/>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0" fontId="23" fillId="0" borderId="16" xfId="0" applyFont="1" applyBorder="1" applyNumberFormat="1">
      <alignment horizontal="left" vertical="center" wrapText="1"/>
    </xf>
    <xf numFmtId="0" fontId="23" fillId="0" borderId="29" xfId="0" applyFont="1" applyBorder="1" applyNumberFormat="1">
      <alignment horizontal="left" vertical="center" wrapText="1" indent="1"/>
    </xf>
    <xf numFmtId="49" fontId="23" fillId="37" borderId="0" xfId="0" applyFont="1" applyFill="1" applyNumberFormat="1">
      <alignment horizontal="center" vertical="center" wrapText="1"/>
    </xf>
    <xf numFmtId="0" fontId="53" fillId="0" borderId="0" xfId="0" applyFont="1" applyNumberFormat="1">
      <alignment horizontal="right" vertical="top"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53" fillId="0" borderId="0" xfId="0" applyFont="1" applyNumberFormat="1">
      <alignment horizontal="left" vertical="top" wrapText="1" indent="1"/>
    </xf>
    <xf numFmtId="0" fontId="98" fillId="37" borderId="0" xfId="0" applyFont="1" applyFill="1" applyNumberFormat="1">
      <alignment horizontal="left"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37" borderId="19" xfId="0" applyFont="1" applyFill="1" applyBorder="1" applyNumberFormat="1">
      <alignment horizontal="left" vertical="top" wrapText="1"/>
    </xf>
    <xf numFmtId="0" fontId="23" fillId="37" borderId="38" xfId="0" applyFont="1" applyFill="1" applyBorder="1" applyNumberFormat="1">
      <alignment horizontal="left" vertical="top" wrapText="1"/>
    </xf>
    <xf numFmtId="0" fontId="23" fillId="37" borderId="25" xfId="0" applyFont="1" applyFill="1" applyBorder="1" applyNumberFormat="1">
      <alignment horizontal="left" vertical="top" wrapText="1"/>
    </xf>
    <xf numFmtId="0" fontId="23" fillId="37" borderId="26" xfId="0" applyFont="1" applyFill="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9" xfId="0" applyFont="1" applyBorder="1" applyNumberFormat="1">
      <alignment horizontal="left" vertical="top" wrapText="1"/>
    </xf>
    <xf numFmtId="0" fontId="0" fillId="0" borderId="25" xfId="0" applyFont="1" applyBorder="1" applyNumberFormat="1">
      <alignment horizontal="left" vertical="top"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54" fillId="0" borderId="0" xfId="0" applyFont="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3" fillId="0" borderId="21" xfId="0" applyFont="1" applyBorder="1" applyNumberFormat="1">
      <alignment horizontal="left" vertical="top" wrapText="1" indent="1"/>
    </xf>
    <xf numFmtId="49" fontId="0" fillId="0" borderId="39" xfId="0" applyFont="1" applyBorder="1" applyNumberFormat="1">
      <alignment horizontal="center" vertical="center" wrapText="1"/>
    </xf>
    <xf numFmtId="49" fontId="0" fillId="0" borderId="32" xfId="0" applyFont="1" applyBorder="1" applyNumberFormat="1">
      <alignment horizontal="center" vertical="center" wrapText="1"/>
    </xf>
    <xf numFmtId="0" fontId="23" fillId="43" borderId="21" xfId="0" applyFont="1" applyFill="1" applyBorder="1" applyNumberFormat="1">
      <alignment horizontal="left" vertical="center" wrapText="1"/>
    </xf>
    <xf numFmtId="0" fontId="23" fillId="43" borderId="29" xfId="0" applyFont="1" applyFill="1" applyBorder="1" applyNumberFormat="1">
      <alignment horizontal="left" vertical="center" wrapText="1"/>
    </xf>
    <xf numFmtId="0" fontId="23" fillId="0" borderId="25" xfId="0" applyFont="1" applyBorder="1" applyNumberFormat="1">
      <alignment horizontal="center"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0" fillId="0" borderId="38" xfId="0" applyFont="1" applyBorder="1" applyNumberFormat="1">
      <alignment horizontal="left" vertical="top" wrapText="1"/>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0" fillId="37" borderId="14" xfId="0" applyFont="1" applyFill="1" applyBorder="1" applyNumberFormat="1">
      <alignment horizontal="right" vertical="center" wrapText="1" indent="1"/>
    </xf>
    <xf numFmtId="167" fontId="23" fillId="38" borderId="14" xfId="0" applyFont="1" applyFill="1" applyBorder="1" applyNumberFormat="1">
      <alignment horizontal="left" vertical="center" wrapText="1" indent="1"/>
    </xf>
    <xf numFmtId="0" fontId="23" fillId="38" borderId="14" xfId="0" applyFont="1" applyFill="1" applyBorder="1" applyNumberFormat="1">
      <alignment horizontal="left" vertical="center" wrapText="1" indent="1"/>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49" fontId="54" fillId="0" borderId="14" xfId="0" applyFont="1" applyBorder="1" applyNumberFormat="1">
      <alignment horizontal="center" vertical="center" wrapText="1"/>
    </xf>
    <xf numFmtId="167" fontId="54" fillId="0" borderId="14" xfId="0" applyFont="1" applyBorder="1" applyNumberFormat="1">
      <alignment horizontal="center" vertical="center" wrapText="1"/>
    </xf>
    <xf numFmtId="0" fontId="23" fillId="0" borderId="0" xfId="0" applyFont="1" applyNumberFormat="1">
      <alignment horizontal="left" vertical="top" wrapText="1"/>
    </xf>
    <xf numFmtId="0" fontId="54" fillId="0" borderId="14" xfId="0" applyFont="1" applyBorder="1" applyNumberFormat="1">
      <alignment horizontal="center" vertical="center"/>
    </xf>
    <xf numFmtId="0" fontId="54" fillId="0" borderId="16" xfId="0" applyFont="1" applyBorder="1" applyNumberFormat="1">
      <alignment horizontal="center" vertical="center"/>
    </xf>
    <xf numFmtId="0" fontId="54" fillId="0" borderId="14" xfId="0" applyFont="1" applyBorder="1" applyNumberFormat="1">
      <alignment horizontal="center" vertical="center" wrapText="1"/>
    </xf>
    <xf numFmtId="0" fontId="54" fillId="0" borderId="16" xfId="0" applyFont="1" applyBorder="1" applyNumberFormat="1">
      <alignment horizontal="center" vertical="center" wrapText="1"/>
    </xf>
    <xf numFmtId="0" fontId="55" fillId="0" borderId="0" xfId="0" applyFont="1" applyNumberFormat="1">
      <alignment horizontal="center" vertical="center" wrapText="1"/>
    </xf>
    <xf numFmtId="167"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167" fontId="0" fillId="42" borderId="19" xfId="0" applyFont="1" applyFill="1" applyBorder="1" applyNumberFormat="1">
      <alignment horizontal="center" vertical="center" wrapText="1"/>
      <protection locked="0"/>
    </xf>
    <xf numFmtId="49" fontId="0" fillId="42" borderId="25" xfId="0" applyFont="1" applyFill="1" applyBorder="1" applyNumberFormat="1">
      <alignment horizontal="center" vertical="center" wrapText="1"/>
      <protection locked="0"/>
    </xf>
    <xf numFmtId="0" fontId="54" fillId="0" borderId="19" xfId="0" applyFont="1" applyBorder="1" applyNumberFormat="1">
      <alignment horizontal="center" vertical="center" wrapText="1"/>
    </xf>
    <xf numFmtId="0" fontId="54" fillId="0" borderId="25"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23" fillId="37" borderId="38"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49" fontId="48" fillId="40" borderId="38" xfId="0" applyFont="1" applyFill="1" applyBorder="1" applyNumberFormat="1">
      <alignment horizontal="center" vertical="center" textRotation="90" wrapText="1"/>
    </xf>
    <xf numFmtId="49" fontId="48" fillId="40" borderId="25" xfId="0" applyFont="1" applyFill="1" applyBorder="1" applyNumberFormat="1">
      <alignment horizontal="center" vertical="center" textRotation="90" wrapText="1"/>
    </xf>
    <xf numFmtId="0" fontId="23" fillId="0" borderId="19" xfId="0" applyFont="1" applyBorder="1" applyNumberFormat="1">
      <alignment horizontal="center" vertical="center" wrapText="1"/>
    </xf>
    <xf numFmtId="0" fontId="23" fillId="0" borderId="25" xfId="0" applyFont="1" applyBorder="1" applyNumberFormat="1">
      <alignment horizontal="center" vertical="center" wrapText="1"/>
    </xf>
    <xf numFmtId="0" fontId="53" fillId="0" borderId="19" xfId="0" applyFont="1" applyBorder="1" applyNumberFormat="1">
      <alignment horizontal="left" vertical="top" wrapText="1"/>
    </xf>
    <xf numFmtId="0" fontId="53" fillId="0" borderId="38" xfId="0" applyFont="1" applyBorder="1" applyNumberFormat="1">
      <alignment horizontal="left" vertical="top" wrapText="1"/>
    </xf>
    <xf numFmtId="0" fontId="53" fillId="0" borderId="25" xfId="0" applyFont="1" applyBorder="1" applyNumberFormat="1">
      <alignment horizontal="left" vertical="top" wrapText="1"/>
    </xf>
    <xf numFmtId="0" fontId="23" fillId="0" borderId="21" xfId="0" applyFont="1" applyBorder="1" applyNumberFormat="1">
      <alignment horizontal="left" vertical="top" wrapText="1" indent="1"/>
    </xf>
    <xf numFmtId="0" fontId="23" fillId="0" borderId="29" xfId="0" applyFont="1" applyBorder="1" applyNumberFormat="1">
      <alignment horizontal="left" vertical="center" wrapText="1" inden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0" fontId="55" fillId="0" borderId="19" xfId="0" applyFont="1" applyBorder="1" applyNumberFormat="1">
      <alignment horizontal="center" vertical="center" wrapText="1"/>
    </xf>
    <xf numFmtId="0" fontId="55" fillId="0" borderId="25"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32" xfId="0" applyFont="1" applyBorder="1" applyNumberFormat="1">
      <alignment horizontal="center" vertical="center" wrapText="1"/>
    </xf>
    <xf numFmtId="0" fontId="0" fillId="37" borderId="21" xfId="0" applyFont="1" applyFill="1" applyBorder="1" applyNumberFormat="1">
      <alignment horizontal="center" vertical="center" wrapText="1"/>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0" fillId="0" borderId="0" xfId="0" applyFont="1" applyNumberFormat="1">
      <alignment horizontal="left" vertical="top" wrapText="1"/>
    </xf>
    <xf numFmtId="0" fontId="23" fillId="0" borderId="21" xfId="0" applyFont="1" applyBorder="1" applyNumberFormat="1">
      <alignment horizontal="left" vertical="center" wrapText="1" indent="1"/>
    </xf>
    <xf numFmtId="49" fontId="0" fillId="42" borderId="14" xfId="0" applyFont="1" applyFill="1" applyBorder="1" applyNumberFormat="1">
      <alignment horizontal="center" vertical="center" wrapText="1"/>
      <protection locked="0"/>
    </xf>
    <xf numFmtId="0" fontId="23"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0" fontId="23" fillId="43" borderId="22" xfId="0" applyFont="1" applyFill="1" applyBorder="1" applyNumberFormat="1">
      <alignment horizontal="left" vertical="center" wrapText="1"/>
    </xf>
    <xf numFmtId="49" fontId="23" fillId="0" borderId="14" xfId="0" applyFont="1" applyBorder="1" applyNumberFormat="1">
      <alignment horizontal="left" vertical="center" wrapText="1" inden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45" fillId="0" borderId="14" xfId="0" applyFont="1" applyBorder="1" applyNumberFormat="1">
      <alignment horizontal="center" vertical="center" wrapText="1"/>
    </xf>
    <xf numFmtId="49" fontId="23" fillId="42" borderId="19" xfId="0" applyFont="1" applyFill="1" applyBorder="1" applyNumberFormat="1">
      <alignment horizontal="left" vertical="center" wrapText="1" indent="6"/>
      <protection locked="0"/>
    </xf>
    <xf numFmtId="49" fontId="23" fillId="42" borderId="38" xfId="0" applyFont="1" applyFill="1" applyBorder="1" applyNumberFormat="1">
      <alignment horizontal="left" vertical="center" wrapText="1" indent="6"/>
      <protection locked="0"/>
    </xf>
    <xf numFmtId="49" fontId="23" fillId="42" borderId="25" xfId="0" applyFont="1" applyFill="1" applyBorder="1" applyNumberFormat="1">
      <alignment horizontal="left" vertical="center" wrapText="1" indent="6"/>
      <protection locked="0"/>
    </xf>
    <xf numFmtId="0" fontId="23" fillId="37" borderId="19" xfId="0" applyFont="1" applyFill="1" applyBorder="1" applyNumberFormat="1">
      <alignment horizontal="left" vertical="center" wrapText="1"/>
    </xf>
    <xf numFmtId="0" fontId="23" fillId="37" borderId="38" xfId="0" applyFont="1" applyFill="1" applyBorder="1" applyNumberFormat="1">
      <alignment horizontal="left" vertical="center" wrapText="1"/>
    </xf>
    <xf numFmtId="0" fontId="23" fillId="37" borderId="25" xfId="0" applyFont="1" applyFill="1" applyBorder="1" applyNumberFormat="1">
      <alignment horizontal="left" vertical="center" wrapText="1"/>
    </xf>
    <xf numFmtId="0" fontId="55" fillId="0" borderId="26" xfId="0" applyFont="1" applyBorder="1" applyNumberFormat="1">
      <alignment horizontal="center" vertical="top" wrapText="1"/>
    </xf>
    <xf numFmtId="0" fontId="0" fillId="37" borderId="26"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49" fontId="23" fillId="43" borderId="14" xfId="0" applyFont="1" applyFill="1" applyBorder="1" applyNumberFormat="1">
      <alignment horizontal="left" vertical="center" wrapText="1" inden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0" fontId="53" fillId="0" borderId="14" xfId="0" applyFont="1" applyBorder="1" applyNumberFormat="1">
      <alignment horizontal="left" vertical="top" wrapText="1"/>
    </xf>
    <xf numFmtId="0" fontId="23" fillId="42" borderId="15" xfId="0" applyFont="1" applyFill="1" applyBorder="1" applyNumberFormat="1">
      <alignment horizontal="center" vertical="center" wrapTex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left" vertical="center" wrapText="1" indent="1"/>
      <protection locked="0"/>
    </xf>
    <xf numFmtId="49" fontId="23" fillId="39" borderId="19" xfId="0" applyFont="1" applyFill="1" applyBorder="1" applyNumberFormat="1">
      <alignment horizontal="left" vertical="center" wrapText="1" indent="6"/>
      <protection locked="0"/>
    </xf>
    <xf numFmtId="49" fontId="23" fillId="39" borderId="38" xfId="0" applyFont="1" applyFill="1" applyBorder="1" applyNumberFormat="1">
      <alignment horizontal="left" vertical="center" wrapText="1" indent="6"/>
      <protection locked="0"/>
    </xf>
    <xf numFmtId="49" fontId="23" fillId="39" borderId="25" xfId="0" applyFont="1" applyFill="1" applyBorder="1" applyNumberFormat="1">
      <alignment horizontal="left" vertical="center" wrapText="1" indent="6"/>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43" borderId="31" xfId="0" applyFont="1" applyFill="1" applyBorder="1" applyNumberFormat="1">
      <alignment horizontal="center" vertical="center" wrapText="1"/>
    </xf>
    <xf numFmtId="0" fontId="55" fillId="0" borderId="21" xfId="0" applyFont="1" applyBorder="1" applyNumberFormat="1">
      <alignment horizontal="left" vertical="center" wrapText="1"/>
    </xf>
    <xf numFmtId="49"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96" fillId="48" borderId="0" xfId="0" applyFont="1" applyFill="1" applyNumberFormat="1">
      <alignment horizontal="center" vertical="center" textRotation="90"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49" fontId="55" fillId="0" borderId="19" xfId="0" applyFont="1" applyBorder="1" applyNumberFormat="1">
      <alignment horizontal="center" vertical="center" wrapText="1"/>
    </xf>
    <xf numFmtId="49" fontId="55" fillId="0" borderId="38" xfId="0" applyFont="1" applyBorder="1" applyNumberFormat="1">
      <alignment horizontal="center" vertical="center" wrapText="1"/>
    </xf>
    <xf numFmtId="49" fontId="55" fillId="0" borderId="25" xfId="0" applyFont="1" applyBorder="1" applyNumberFormat="1">
      <alignment horizontal="center" vertical="center" wrapText="1"/>
    </xf>
    <xf numFmtId="0" fontId="0" fillId="38" borderId="14" xfId="0" applyFont="1" applyFill="1" applyBorder="1" applyNumberFormat="1">
      <alignment horizontal="left" vertical="center" wrapText="1" indent="1"/>
    </xf>
    <xf numFmtId="0" fontId="53" fillId="0" borderId="0" xfId="0" applyFont="1" applyNumberFormat="1">
      <alignment horizontal="left" vertical="top" wrapText="1"/>
    </xf>
    <xf numFmtId="0" fontId="23" fillId="0" borderId="25" xfId="0" applyFont="1" applyBorder="1" applyNumberFormat="1">
      <alignment horizontal="left" vertical="center" wrapText="1"/>
    </xf>
    <xf numFmtId="0" fontId="55" fillId="0" borderId="0" xfId="0" applyFont="1" applyNumberFormat="1">
      <alignment horizontal="center" vertical="center" wrapText="1"/>
    </xf>
    <xf numFmtId="0" fontId="54" fillId="0" borderId="0" xfId="0" applyFont="1" applyNumberFormat="1">
      <alignment horizontal="center" vertical="top"/>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49" fontId="23" fillId="58" borderId="0" xfId="0" applyFont="1" applyFill="1" applyNumberFormat="1">
      <alignment horizontal="center" vertical="center" textRotation="90" wrapText="1"/>
    </xf>
    <xf numFmtId="0" fontId="23" fillId="0" borderId="0" xfId="0" applyFont="1" applyNumberFormat="1">
      <alignment horizontal="left" vertical="top" wrapText="1"/>
    </xf>
    <xf numFmtId="49" fontId="23" fillId="0" borderId="0" xfId="0" applyFont="1" applyNumberFormat="1">
      <alignment vertical="center" wrapText="1"/>
    </xf>
    <xf numFmtId="0" fontId="44" fillId="0" borderId="26" xfId="0" applyFont="1" applyBorder="1" applyNumberFormat="1">
      <alignment horizontal="center" vertical="center"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49" fontId="0" fillId="0" borderId="14" xfId="0" applyFont="1" applyBorder="1" applyNumberFormat="1">
      <alignment horizontal="center" vertical="center" wrapText="1"/>
    </xf>
    <xf numFmtId="49" fontId="23" fillId="0" borderId="16" xfId="0" applyFont="1" applyBorder="1" applyNumberFormat="1">
      <alignment horizontal="center" vertical="center" wrapText="1"/>
    </xf>
    <xf numFmtId="49" fontId="55" fillId="0" borderId="14" xfId="0" applyFont="1" applyBorder="1" applyNumberFormat="1">
      <alignment horizontal="center" vertical="center" wrapText="1"/>
    </xf>
    <xf numFmtId="49" fontId="23" fillId="0" borderId="14" xfId="0" applyFont="1" applyBorder="1" applyNumberFormat="1">
      <alignment horizontal="lef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0" borderId="14" xfId="0" applyFont="1" applyBorder="1" applyNumberFormat="1">
      <alignment horizontal="center" vertical="center" wrapText="1"/>
    </xf>
    <xf numFmtId="0" fontId="23" fillId="0" borderId="0" xfId="0" applyFont="1" applyNumberFormat="1">
      <alignment horizontal="lef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63" xfId="0" applyFont="1" applyBorder="1" applyNumberFormat="1">
      <alignment horizontal="center" vertical="center"/>
    </xf>
    <xf numFmtId="0" fontId="23" fillId="0" borderId="64" xfId="0" applyFont="1" applyBorder="1" applyNumberFormat="1">
      <alignment horizontal="center" vertical="center"/>
    </xf>
    <xf numFmtId="0" fontId="23" fillId="0" borderId="66" xfId="0" applyFont="1" applyBorder="1" applyNumberFormat="1">
      <alignment horizontal="center" vertical="center"/>
    </xf>
    <xf numFmtId="0" fontId="23" fillId="0" borderId="76" xfId="0" applyFont="1" applyBorder="1" applyNumberFormat="1">
      <alignment horizontal="center" vertical="center"/>
    </xf>
    <xf numFmtId="0" fontId="23" fillId="0" borderId="45" xfId="0" applyFont="1" applyBorder="1" applyNumberFormat="1">
      <alignment horizontal="center" vertical="center"/>
    </xf>
    <xf numFmtId="49" fontId="0" fillId="0" borderId="14" xfId="0" applyFont="1" applyBorder="1" applyNumberFormat="1">
      <alignment vertical="center" wrapText="1"/>
    </xf>
    <xf numFmtId="49" fontId="0" fillId="0" borderId="14" xfId="0" applyFont="1" applyBorder="1" applyNumberFormat="1">
      <alignment horizontal="left" vertical="center" wrapText="1"/>
    </xf>
    <xf numFmtId="49" fontId="0" fillId="0" borderId="19" xfId="0" applyFont="1" applyBorder="1" applyNumberFormat="1">
      <alignment horizontal="center" vertical="center" wrapText="1"/>
    </xf>
    <xf numFmtId="49" fontId="0" fillId="0" borderId="38" xfId="0" applyFont="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14" xfId="0" applyFont="1" applyBorder="1" applyNumberFormat="1">
      <alignment horizontal="center" vertical="center"/>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16"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34" borderId="29"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0" fontId="23" fillId="0" borderId="22" xfId="0" applyFont="1" applyBorder="1" applyNumberFormat="1">
      <alignment horizontal="left" vertical="top"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14" xfId="0" applyFont="1" applyFill="1" applyBorder="1" applyNumberFormat="1">
      <alignment horizontal="center" vertical="center"/>
    </xf>
    <xf numFmtId="0" fontId="0"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23" fillId="0" borderId="17" xfId="0" applyFont="1" applyBorder="1" applyNumberFormat="1">
      <alignment horizontal="left" vertical="top" wrapText="1" indent="1"/>
    </xf>
    <xf numFmtId="0" fontId="47" fillId="37" borderId="0" xfId="0" applyFont="1" applyFill="1" applyNumberFormat="1">
      <alignment horizontal="center" vertical="top" wrapText="1"/>
    </xf>
    <xf numFmtId="49" fontId="44" fillId="37" borderId="21"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0" fillId="38" borderId="16" xfId="0" applyFont="1" applyFill="1" applyBorder="1" applyNumberFormat="1">
      <alignment horizontal="left" vertical="center" wrapText="1" indent="1"/>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0" fillId="37" borderId="19" xfId="0" applyFont="1" applyFill="1" applyBorder="1" applyNumberFormat="1">
      <alignment horizontal="left" vertical="top" wrapText="1"/>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4"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4" fontId="23" fillId="0" borderId="38" xfId="0" applyFont="1" applyBorder="1" applyNumberFormat="1">
      <alignment horizontal="center" vertical="center" wrapText="1"/>
    </xf>
    <xf numFmtId="0" fontId="23" fillId="0" borderId="31" xfId="0" applyFont="1" applyBorder="1" applyNumberFormat="1">
      <alignment horizontal="left" vertical="top" wrapText="1"/>
    </xf>
    <xf numFmtId="165" fontId="23" fillId="0" borderId="19" xfId="0" applyFont="1" applyBorder="1" applyNumberFormat="1">
      <alignment horizontal="center" vertical="center" wrapText="1"/>
    </xf>
    <xf numFmtId="165" fontId="23" fillId="0" borderId="25"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7" xfId="0" applyFont="1" applyBorder="1" applyNumberFormat="1">
      <alignment horizontal="center" vertical="center" wrapText="1"/>
    </xf>
    <xf numFmtId="165" fontId="23" fillId="0" borderId="15" xfId="0" applyFont="1" applyBorder="1" applyNumberFormat="1">
      <alignment horizontal="center" vertical="center" wrapText="1"/>
    </xf>
    <xf numFmtId="49" fontId="23" fillId="0" borderId="14" xfId="0" applyFont="1" applyBorder="1" applyNumberFormat="1">
      <alignment horizontal="left" vertical="top" wrapText="1"/>
    </xf>
    <xf numFmtId="49" fontId="129" fillId="0" borderId="14" xfId="0" applyFont="1" applyBorder="1" applyNumberFormat="1">
      <alignment horizontal="left" vertical="top" wrapText="1"/>
    </xf>
    <xf numFmtId="0" fontId="23" fillId="0" borderId="17" xfId="0" applyFont="1" applyBorder="1" applyNumberFormat="1">
      <alignment horizontal="left" vertical="center" wrapText="1"/>
    </xf>
    <xf numFmtId="165" fontId="23" fillId="0" borderId="38" xfId="0" applyFont="1" applyBorder="1" applyNumberFormat="1">
      <alignment horizontal="center" vertical="center" wrapText="1"/>
    </xf>
    <xf numFmtId="165" fontId="23" fillId="0" borderId="14" xfId="0" applyFont="1" applyBorder="1" applyNumberFormat="1">
      <alignment horizontal="center" vertical="center" wrapText="1"/>
    </xf>
    <xf numFmtId="165" fontId="53" fillId="0" borderId="21" xfId="0" applyFont="1" applyBorder="1" applyNumberFormat="1">
      <alignment horizontal="center" vertical="center" wrapText="1"/>
    </xf>
    <xf numFmtId="49" fontId="23" fillId="43" borderId="32" xfId="0" applyFont="1" applyFill="1" applyBorder="1" applyNumberFormat="1">
      <alignment horizontal="left" vertical="center" wrapText="1"/>
    </xf>
    <xf numFmtId="49" fontId="23" fillId="43" borderId="25" xfId="0" applyFont="1" applyFill="1" applyBorder="1" applyNumberFormat="1">
      <alignment horizontal="left" vertical="center" wrapText="1"/>
    </xf>
    <xf numFmtId="0" fontId="23" fillId="38" borderId="14" xfId="0" applyFont="1" applyFill="1" applyBorder="1" applyNumberFormat="1">
      <alignment horizontal="left" vertical="center" wrapTex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0" borderId="0" xfId="0" applyFont="1" applyNumberFormat="1">
      <alignment horizontal="left" vertical="top" wrapText="1"/>
    </xf>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49" fontId="23" fillId="0" borderId="0" xfId="0" applyFont="1" applyNumberFormat="1">
      <alignment horizontal="left" vertical="top" wrapText="1"/>
    </xf>
    <xf numFmtId="49" fontId="0" fillId="0" borderId="17" xfId="0" applyFont="1" applyBorder="1" applyNumberFormat="1">
      <alignment horizontal="left" vertical="center" inden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49" fontId="23" fillId="43" borderId="25" xfId="0" applyFont="1" applyFill="1" applyBorder="1" applyNumberFormat="1">
      <alignment horizontal="center" vertical="top" wrapText="1"/>
    </xf>
    <xf numFmtId="167" fontId="0" fillId="42" borderId="14" xfId="0" applyFont="1" applyFill="1" applyBorder="1" applyNumberFormat="1">
      <alignment horizontal="center" vertical="top" wrapText="1"/>
      <protection locked="0"/>
    </xf>
    <xf numFmtId="49" fontId="0" fillId="42" borderId="14" xfId="0" applyFont="1" applyFill="1" applyBorder="1" applyNumberFormat="1">
      <alignment horizontal="center" vertical="top" wrapText="1"/>
      <protection locked="0"/>
    </xf>
    <xf numFmtId="167" fontId="0" fillId="39"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3" borderId="19" xfId="0" applyFont="1" applyFill="1" applyBorder="1" applyNumberFormat="1">
      <alignment horizontal="left" vertical="center" wrapText="1" indent="1"/>
    </xf>
    <xf numFmtId="49" fontId="23" fillId="43" borderId="38" xfId="0" applyFont="1" applyFill="1" applyBorder="1" applyNumberFormat="1">
      <alignment horizontal="left" vertical="center" wrapText="1" indent="1"/>
    </xf>
    <xf numFmtId="49" fontId="23" fillId="43" borderId="25"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28" fillId="0" borderId="14" xfId="0" applyFont="1" applyBorder="1" applyNumberFormat="1">
      <alignment horizontal="center" vertical="center" wrapText="1"/>
    </xf>
    <xf numFmtId="0" fontId="53" fillId="0" borderId="14" xfId="0" applyFont="1" applyBorder="1" applyNumberFormat="1">
      <alignment horizontal="center" vertical="center"/>
    </xf>
    <xf numFmtId="49" fontId="23" fillId="38" borderId="14" xfId="0" applyFont="1" applyFill="1" applyBorder="1" applyNumberFormat="1">
      <alignment horizontal="left" vertical="center" wrapText="1"/>
    </xf>
    <xf numFmtId="0" fontId="0" fillId="0" borderId="14" xfId="0" applyFont="1" applyBorder="1" applyNumberFormat="1">
      <alignment horizontal="center" vertical="center"/>
    </xf>
    <xf numFmtId="49" fontId="0" fillId="0" borderId="14" xfId="0" applyFont="1" applyBorder="1" applyNumberFormat="1">
      <alignment vertical="top"/>
    </xf>
    <xf numFmtId="49" fontId="23" fillId="42" borderId="14" xfId="0" applyFont="1" applyFill="1" applyBorder="1" applyNumberFormat="1">
      <alignment horizontal="left" vertical="top" wrapText="1"/>
      <protection locked="0"/>
    </xf>
    <xf numFmtId="49" fontId="23" fillId="0" borderId="15" xfId="0" applyFont="1" applyBorder="1" applyNumberFormat="1">
      <alignment horizontal="center" vertical="center" wrapText="1"/>
    </xf>
    <xf numFmtId="0" fontId="23" fillId="39" borderId="14" xfId="0" applyFont="1" applyFill="1" applyBorder="1" applyNumberFormat="1">
      <alignment horizontal="left" vertical="top" wrapText="1"/>
      <protection locked="0"/>
    </xf>
    <xf numFmtId="49" fontId="0" fillId="42" borderId="14" xfId="0" applyFont="1" applyFill="1" applyBorder="1" applyNumberFormat="1">
      <alignment horizontal="left" vertical="center" wrapText="1"/>
      <protection locked="0"/>
    </xf>
    <xf numFmtId="0" fontId="23" fillId="43" borderId="14" xfId="0" applyFont="1" applyFill="1" applyBorder="1" applyNumberFormat="1">
      <alignment horizontal="left" vertical="top" wrapText="1"/>
    </xf>
    <xf numFmtId="49" fontId="0" fillId="43" borderId="14" xfId="0" applyFont="1" applyFill="1" applyBorder="1" applyNumberFormat="1">
      <alignment horizontal="left" vertical="top"/>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49" fontId="23" fillId="0" borderId="25" xfId="0" applyFont="1" applyBorder="1" applyNumberFormat="1">
      <alignment horizontal="center" vertical="center" wrapText="1"/>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45" fillId="0" borderId="19" xfId="0" applyFont="1" applyBorder="1" applyNumberFormat="1">
      <alignment horizontal="center" vertical="top" wrapText="1"/>
    </xf>
    <xf numFmtId="49" fontId="23" fillId="0" borderId="38" xfId="0" applyFont="1" applyBorder="1" applyNumberFormat="1">
      <alignment horizontal="center" vertical="top" wrapText="1"/>
    </xf>
    <xf numFmtId="49" fontId="23" fillId="0" borderId="25"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0" fontId="0" fillId="0" borderId="14" xfId="0" applyFont="1" applyBorder="1" applyNumberFormat="1">
      <alignment horizontal="center" vertical="center" wrapText="1"/>
    </xf>
    <xf numFmtId="0" fontId="0" fillId="0" borderId="21"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4" xfId="0" applyFont="1" applyBorder="1" applyNumberFormat="1">
      <alignment horizontal="left" vertical="top"/>
    </xf>
    <xf numFmtId="0" fontId="0" fillId="43" borderId="14" xfId="0" applyFont="1" applyFill="1" applyBorder="1" applyNumberFormat="1">
      <alignment horizontal="left" vertical="center" wrapText="1"/>
      <protection locked="0"/>
    </xf>
    <xf numFmtId="49" fontId="0" fillId="43"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49" fontId="0" fillId="39" borderId="14" xfId="0" applyFont="1" applyFill="1" applyBorder="1" applyNumberFormat="1">
      <alignment horizontal="left" vertical="top"/>
      <protection locked="0"/>
    </xf>
    <xf numFmtId="0" fontId="0" fillId="0" borderId="21" xfId="0" applyFont="1" applyBorder="1" applyNumberFormat="1">
      <alignment horizontal="center" vertical="center"/>
    </xf>
    <xf numFmtId="0" fontId="0" fillId="0" borderId="0" xfId="0" applyFont="1" applyNumberFormat="1">
      <alignment horizontal="center" vertical="center"/>
    </xf>
    <xf numFmtId="49" fontId="0" fillId="0" borderId="21" xfId="0" applyFont="1" applyBorder="1" applyNumberFormat="1">
      <alignment horizontal="left" vertical="center" wrapText="1"/>
    </xf>
    <xf numFmtId="14" fontId="86" fillId="0" borderId="19" xfId="0" applyFont="1" applyBorder="1" applyNumberFormat="1">
      <alignment horizontal="center" vertical="center" wrapText="1"/>
    </xf>
    <xf numFmtId="14" fontId="86" fillId="0" borderId="38" xfId="0" applyFont="1" applyBorder="1" applyNumberFormat="1">
      <alignment horizontal="center" vertical="center" wrapText="1"/>
    </xf>
    <xf numFmtId="0" fontId="80" fillId="0" borderId="14" xfId="0" applyFont="1" applyBorder="1" applyNumberFormat="1">
      <alignment horizontal="left" vertical="center" wrapText="1" indent="1"/>
    </xf>
    <xf numFmtId="0" fontId="80" fillId="0" borderId="14" xfId="0" applyFont="1" applyBorder="1" applyNumberFormat="1">
      <alignment horizontal="left" vertical="top" indent="1"/>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4" xfId="0" applyFont="1" applyBorder="1" applyNumberFormat="1">
      <alignment horizontal="center" vertical="center"/>
    </xf>
    <xf numFmtId="49" fontId="0" fillId="0" borderId="0" xfId="0" applyFont="1" applyNumberFormat="1">
      <alignment horizontal="left" vertical="top"/>
    </xf>
    <xf numFmtId="49" fontId="23" fillId="43" borderId="14" xfId="0" applyFont="1" applyFill="1" applyBorder="1" applyNumberFormat="1">
      <alignment horizontal="center" vertical="top" wrapText="1"/>
    </xf>
    <xf numFmtId="49" fontId="23" fillId="43" borderId="16" xfId="0" applyFont="1" applyFill="1" applyBorder="1" applyNumberFormat="1">
      <alignment horizontal="center" vertical="top" wrapText="1"/>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49" fontId="23" fillId="43" borderId="16" xfId="0" applyFont="1" applyFill="1" applyBorder="1" applyNumberFormat="1">
      <alignment horizontal="center" vertical="center" wrapText="1"/>
    </xf>
    <xf numFmtId="49" fontId="48" fillId="40" borderId="53" xfId="0" applyFont="1" applyFill="1" applyBorder="1" applyNumberFormat="1">
      <alignment horizontal="left" vertical="center" indent="1"/>
    </xf>
    <xf numFmtId="49" fontId="23" fillId="38" borderId="14" xfId="0" applyFont="1" applyFill="1" applyBorder="1" applyNumberFormat="1">
      <alignment horizontal="center" vertical="center" wrapText="1"/>
    </xf>
    <xf numFmtId="49" fontId="23" fillId="38" borderId="77" xfId="0" applyFont="1" applyFill="1" applyBorder="1" applyNumberFormat="1">
      <alignment horizontal="center" vertical="center" wrapText="1"/>
    </xf>
    <xf numFmtId="3" fontId="23" fillId="42" borderId="14" xfId="0" applyFont="1" applyFill="1" applyBorder="1" applyNumberFormat="1">
      <alignment horizontal="center" vertical="center" wrapText="1"/>
      <protection locked="0"/>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128" fillId="0" borderId="15" xfId="0" applyFont="1" applyBorder="1" applyNumberFormat="1">
      <alignment horizontal="center" vertical="center" wrapText="1"/>
    </xf>
    <xf numFmtId="0" fontId="23" fillId="43" borderId="19" xfId="0" applyFont="1" applyFill="1" applyBorder="1" applyNumberFormat="1">
      <alignment horizontal="left" vertical="center" wrapText="1"/>
    </xf>
    <xf numFmtId="0" fontId="23" fillId="43" borderId="38" xfId="0" applyFont="1" applyFill="1" applyBorder="1" applyNumberFormat="1">
      <alignment horizontal="left" vertical="center" wrapText="1"/>
    </xf>
    <xf numFmtId="49" fontId="23" fillId="43" borderId="19" xfId="0" applyFont="1" applyFill="1" applyBorder="1" applyNumberFormat="1">
      <alignment horizontal="left" vertical="center" wrapText="1"/>
    </xf>
    <xf numFmtId="49" fontId="23" fillId="0" borderId="38" xfId="0" applyFont="1" applyBorder="1" applyNumberFormat="1">
      <alignment horizontal="center" vertical="center"/>
    </xf>
    <xf numFmtId="0" fontId="23" fillId="0" borderId="26" xfId="0" applyFont="1" applyBorder="1" applyNumberFormat="1">
      <alignment horizontal="center" vertical="center"/>
    </xf>
    <xf numFmtId="49" fontId="23" fillId="39" borderId="19" xfId="0" applyFont="1" applyFill="1" applyBorder="1" applyNumberFormat="1">
      <alignment horizontal="left" vertical="center" wrapText="1"/>
      <protection locked="0"/>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100" fillId="0" borderId="14" xfId="0" applyFont="1" applyBorder="1" applyNumberFormat="1">
      <alignment horizontal="center" vertical="top" wrapText="1"/>
    </xf>
    <xf numFmtId="0" fontId="100" fillId="34" borderId="14" xfId="0" applyFont="1" applyFill="1" applyBorder="1" applyNumberFormat="1">
      <alignment horizontal="center" vertical="center" wrapText="1"/>
    </xf>
    <xf numFmtId="49" fontId="100" fillId="0" borderId="39"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25" xfId="0" applyFont="1" applyBorder="1" applyNumberFormat="1">
      <alignment horizontal="center" vertical="top" wrapText="1"/>
    </xf>
    <xf numFmtId="4" fontId="23" fillId="38" borderId="14" xfId="0" applyFont="1" applyFill="1" applyBorder="1" applyNumberFormat="1">
      <alignment horizontal="left" vertical="center" wrapText="1"/>
    </xf>
    <xf numFmtId="0" fontId="54"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0" fontId="23" fillId="0" borderId="0" xfId="0" applyFont="1" applyNumberFormat="1">
      <alignment horizontal="right" vertical="center" wrapText="1"/>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167" fontId="0" fillId="42" borderId="14" xfId="0" applyFont="1" applyFill="1" applyBorder="1" applyNumberFormat="1">
      <alignment horizontal="center" vertical="center" wrapText="1"/>
      <protection locked="0"/>
    </xf>
    <xf numFmtId="49" fontId="0" fillId="0" borderId="14" xfId="0" applyFont="1" applyBorder="1" applyNumberFormat="1">
      <alignment horizontal="center" vertical="top"/>
    </xf>
    <xf numFmtId="49" fontId="0" fillId="0" borderId="16" xfId="0" applyFont="1" applyBorder="1" applyNumberFormat="1">
      <alignment horizontal="center" vertical="top"/>
    </xf>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107" fillId="0" borderId="0" xfId="0" applyFont="1" applyNumberFormat="1">
      <alignment vertical="center" wrapText="1"/>
    </xf>
    <xf numFmtId="0" fontId="107" fillId="0" borderId="0" xfId="0" applyFont="1" applyNumberFormat="1">
      <alignment horizontal="left" vertical="center" wrapText="1"/>
    </xf>
    <xf numFmtId="49" fontId="122" fillId="0" borderId="0" xfId="0" applyFont="1" applyNumberFormat="1">
      <alignment wrapText="1"/>
    </xf>
    <xf numFmtId="0" fontId="107" fillId="0" borderId="0" xfId="0" applyFont="1" applyNumberFormat="1">
      <alignment vertical="center"/>
    </xf>
    <xf numFmtId="0" fontId="22" fillId="0" borderId="0" xfId="0" applyFont="1" applyNumberFormat="1">
      <alignment horizontal="left" vertical="top" wrapText="1"/>
    </xf>
    <xf numFmtId="49" fontId="23" fillId="0" borderId="0" xfId="0" applyFont="1" applyNumberFormat="1">
      <alignment vertical="top" wrapText="1"/>
    </xf>
    <xf numFmtId="0" fontId="22" fillId="57" borderId="68" xfId="0" applyFont="1" applyFill="1" applyBorder="1" applyNumberFormat="1">
      <alignment horizontal="center" vertical="center" wrapText="1"/>
    </xf>
    <xf numFmtId="0" fontId="22" fillId="57" borderId="69" xfId="0" applyFont="1" applyFill="1" applyBorder="1" applyNumberFormat="1">
      <alignment horizontal="center" vertical="center" wrapText="1"/>
    </xf>
    <xf numFmtId="0" fontId="22" fillId="57" borderId="70" xfId="0" applyFont="1" applyFill="1" applyBorder="1" applyNumberFormat="1">
      <alignment horizontal="center" vertical="center" wrapText="1"/>
    </xf>
    <xf numFmtId="0" fontId="71" fillId="0" borderId="0" xfId="0" applyFont="1" applyNumberFormat="1">
      <alignment wrapText="1"/>
    </xf>
    <xf numFmtId="0" fontId="22" fillId="48" borderId="40" xfId="0" applyFont="1" applyFill="1" applyBorder="1" applyNumberFormat="1">
      <alignment horizontal="right" vertical="center" wrapText="1" indent="1"/>
    </xf>
    <xf numFmtId="0" fontId="22" fillId="48" borderId="67" xfId="0" applyFont="1" applyFill="1" applyBorder="1" applyNumberFormat="1">
      <alignment horizontal="right" vertical="center" wrapText="1" inden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3" xfId="0" applyFont="1" applyFill="1" applyBorder="1" applyNumberFormat="1">
      <alignment horizontal="center" vertical="center" wrapText="1"/>
    </xf>
    <xf numFmtId="0" fontId="125" fillId="0" borderId="40" xfId="0" applyFont="1" applyBorder="1" applyNumberFormat="1">
      <alignment vertical="center" wrapText="1"/>
    </xf>
    <xf numFmtId="0" fontId="125" fillId="0" borderId="0" xfId="0" applyFont="1" applyNumberFormat="1">
      <alignment vertical="center" wrapText="1"/>
    </xf>
    <xf numFmtId="0" fontId="0" fillId="55" borderId="63" xfId="0" applyFont="1" applyFill="1" applyBorder="1" applyNumberFormat="1">
      <alignment horizontal="center"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0" fillId="38" borderId="63" xfId="0" applyFont="1" applyFill="1" applyBorder="1" applyNumberFormat="1">
      <alignment horizontal="center" vertical="center" wrapText="1"/>
    </xf>
    <xf numFmtId="0" fontId="0" fillId="42" borderId="63" xfId="0" applyFont="1" applyFill="1" applyBorder="1" applyNumberFormat="1">
      <alignment horizontal="center" vertical="center" wrapText="1"/>
    </xf>
    <xf numFmtId="0" fontId="22" fillId="48" borderId="0" xfId="0" applyFont="1" applyFill="1" applyNumberFormat="1">
      <alignment horizontal="right" vertical="center" wrapText="1" indent="1"/>
    </xf>
    <xf numFmtId="0" fontId="123" fillId="0" borderId="40" xfId="0" applyFont="1" applyBorder="1" applyNumberFormat="1">
      <alignment horizontal="left" vertical="center" wrapText="1"/>
    </xf>
    <xf numFmtId="0" fontId="123" fillId="0" borderId="64" xfId="0" applyFont="1" applyBorder="1" applyNumberFormat="1">
      <alignment horizontal="left" vertical="center" wrapText="1"/>
    </xf>
    <xf numFmtId="0" fontId="22" fillId="48" borderId="63" xfId="0" applyFont="1" applyFill="1" applyBorder="1" applyNumberFormat="1">
      <alignment horizontal="right" vertical="center" wrapText="1" indent="1"/>
    </xf>
    <xf numFmtId="0" fontId="22" fillId="48" borderId="66" xfId="0" applyFont="1" applyFill="1" applyBorder="1" applyNumberFormat="1">
      <alignment horizontal="right" vertical="center" wrapText="1" indent="1"/>
    </xf>
    <xf numFmtId="0" fontId="125" fillId="0" borderId="0" xfId="0" applyFont="1" applyNumberFormat="1"/>
    <xf numFmtId="0" fontId="125" fillId="0" borderId="40" xfId="0" applyFont="1" applyBorder="1" applyNumberFormat="1">
      <alignment wrapText="1"/>
    </xf>
    <xf numFmtId="0" fontId="125" fillId="0" borderId="0" xfId="0" applyFont="1" applyNumberFormat="1">
      <alignment vertical="top" wrapText="1"/>
    </xf>
    <xf numFmtId="0" fontId="22" fillId="48" borderId="65"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71" fillId="0" borderId="65"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49" fontId="71" fillId="0" borderId="0" xfId="0" applyFont="1" applyNumberFormat="1">
      <alignment vertical="top" wrapText="1"/>
    </xf>
    <xf numFmtId="0" fontId="38" fillId="0" borderId="0" xfId="0" applyFont="1" applyNumberFormat="1"/>
    <xf numFmtId="0" fontId="68" fillId="0" borderId="0" xfId="0" applyFont="1" applyNumberFormat="1">
      <alignment vertical="center" wrapText="1"/>
    </xf>
    <xf numFmtId="0" fontId="96" fillId="0" borderId="0" xfId="0" applyFont="1" applyNumberFormat="1">
      <alignment horizontal="left" vertical="center" wrapText="1"/>
    </xf>
    <xf numFmtId="0" fontId="68" fillId="0" borderId="0" xfId="0" applyFont="1" applyNumberFormat="1">
      <alignment horizontal="left" vertical="center" wrapText="1"/>
    </xf>
    <xf numFmtId="0" fontId="40" fillId="0" borderId="0" xfId="0" applyFont="1" applyNumberFormat="1">
      <alignment horizontal="center" vertical="center" wrapText="1"/>
    </xf>
    <xf numFmtId="0" fontId="40"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horizontal="left" vertical="center" wrapText="1"/>
    </xf>
    <xf numFmtId="0" fontId="23" fillId="0" borderId="0" xfId="0" applyFont="1" applyNumberFormat="1">
      <alignment horizontal="left" vertical="top" indent="1"/>
    </xf>
    <xf numFmtId="49" fontId="71" fillId="0" borderId="0" xfId="0" applyFont="1" applyNumberFormat="1">
      <alignment vertical="top"/>
    </xf>
    <xf numFmtId="49" fontId="23" fillId="0" borderId="0" xfId="0" applyFont="1" applyNumberFormat="1">
      <alignment vertical="center" wrapText="1"/>
    </xf>
    <xf numFmtId="49" fontId="54"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54" fillId="0" borderId="0" xfId="0" applyFont="1" applyNumberFormat="1">
      <alignment vertical="top"/>
    </xf>
    <xf numFmtId="49" fontId="0" fillId="0" borderId="0" xfId="0" applyFont="1" applyNumberFormat="1">
      <alignment vertical="top"/>
    </xf>
    <xf numFmtId="0" fontId="65" fillId="0" borderId="0" xfId="0" applyFont="1" applyNumberFormat="1">
      <alignment vertical="center" wrapText="1"/>
    </xf>
    <xf numFmtId="0" fontId="96" fillId="0" borderId="0" xfId="0" applyFont="1" applyNumberFormat="1">
      <alignment horizontal="lef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3" fillId="0" borderId="0" xfId="0" applyFont="1" applyNumberFormat="1">
      <alignment vertical="center" wrapText="1"/>
    </xf>
    <xf numFmtId="0" fontId="42" fillId="37" borderId="0" xfId="0" applyFont="1" applyFill="1" applyNumberFormat="1">
      <alignment vertical="center"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36" fillId="37" borderId="0" xfId="0" applyFont="1" applyFill="1" applyNumberFormat="1">
      <alignment vertical="center" wrapText="1"/>
    </xf>
    <xf numFmtId="0" fontId="101"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23" fillId="37" borderId="28" xfId="0" applyFont="1" applyFill="1" applyBorder="1" applyNumberFormat="1">
      <alignment horizontal="right" vertical="center" wrapText="1" indent="1"/>
    </xf>
    <xf numFmtId="0" fontId="0" fillId="38" borderId="14" xfId="0" applyFont="1" applyFill="1" applyBorder="1" applyNumberFormat="1">
      <alignment horizontal="left" vertical="center" wrapText="1" indent="1"/>
    </xf>
    <xf numFmtId="14" fontId="96" fillId="37" borderId="0" xfId="0" applyFont="1" applyFill="1" applyNumberFormat="1">
      <alignment horizontal="left"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23" fillId="37" borderId="0" xfId="0" applyFont="1" applyFill="1" applyNumberFormat="1">
      <alignment horizontal="center" vertical="center" wrapText="1"/>
    </xf>
    <xf numFmtId="0" fontId="93" fillId="0" borderId="0" xfId="0" applyFont="1" applyNumberFormat="1">
      <alignment horizontal="center" vertical="center" wrapText="1"/>
    </xf>
    <xf numFmtId="0" fontId="41" fillId="0" borderId="0" xfId="0" applyFont="1" applyNumberFormat="1">
      <alignment vertical="center" wrapText="1"/>
    </xf>
    <xf numFmtId="0" fontId="42" fillId="37" borderId="0" xfId="0" applyFont="1" applyFill="1" applyNumberFormat="1">
      <alignment vertical="center" wrapText="1"/>
    </xf>
    <xf numFmtId="0" fontId="23" fillId="37" borderId="28" xfId="0" applyFont="1" applyFill="1" applyBorder="1" applyNumberFormat="1">
      <alignment horizontal="right" vertical="center" wrapText="1" indent="1"/>
    </xf>
    <xf numFmtId="0" fontId="23" fillId="42" borderId="14" xfId="0" applyFont="1" applyFill="1" applyBorder="1" applyNumberFormat="1">
      <alignment horizontal="left" vertical="top" wrapText="1" indent="1"/>
      <protection locked="0"/>
    </xf>
    <xf numFmtId="0" fontId="23" fillId="0" borderId="0" xfId="0" applyFont="1" applyNumberFormat="1">
      <alignment horizontal="left" vertical="center" wrapText="1"/>
    </xf>
    <xf numFmtId="0" fontId="54" fillId="0" borderId="0" xfId="0" applyFont="1" applyNumberFormat="1">
      <alignment vertical="center" wrapText="1"/>
    </xf>
    <xf numFmtId="0" fontId="65"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14" fontId="98" fillId="0" borderId="14" xfId="0" applyFont="1" applyBorder="1" applyNumberFormat="1">
      <alignment horizontal="center" vertical="center" wrapText="1"/>
    </xf>
    <xf numFmtId="167" fontId="0" fillId="42" borderId="14" xfId="0" applyFont="1" applyFill="1" applyBorder="1" applyNumberFormat="1">
      <alignment horizontal="left" vertical="center" wrapText="1" indent="1"/>
      <protection locked="0"/>
    </xf>
    <xf numFmtId="0" fontId="34" fillId="0" borderId="0" xfId="0" applyFont="1" applyNumberFormat="1">
      <alignment horizontal="left" vertical="center" indent="1"/>
    </xf>
    <xf numFmtId="0" fontId="23" fillId="37" borderId="0" xfId="0" applyFont="1" applyFill="1" applyNumberFormat="1">
      <alignment vertical="center" wrapText="1"/>
    </xf>
    <xf numFmtId="14" fontId="98" fillId="0" borderId="14" xfId="0" applyFont="1" applyBorder="1" applyNumberFormat="1">
      <alignment horizontal="left" vertical="center" wrapText="1"/>
    </xf>
    <xf numFmtId="49" fontId="23" fillId="37" borderId="28" xfId="0" applyFont="1" applyFill="1" applyBorder="1" applyNumberFormat="1">
      <alignment horizontal="right" vertical="center" wrapText="1" indent="1"/>
    </xf>
    <xf numFmtId="49" fontId="54" fillId="0" borderId="0" xfId="0" applyFont="1" applyNumberFormat="1">
      <alignment vertical="center" wrapText="1"/>
    </xf>
    <xf numFmtId="0" fontId="0" fillId="42" borderId="14"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167" fontId="0" fillId="0" borderId="14" xfId="0" applyFont="1" applyBorder="1" applyNumberFormat="1">
      <alignment horizontal="left" vertical="center" wrapText="1" indent="1"/>
    </xf>
    <xf numFmtId="0" fontId="0" fillId="37" borderId="0" xfId="0" applyFont="1" applyFill="1" applyNumberFormat="1">
      <alignment horizontal="right" vertical="center" wrapText="1" indent="1"/>
    </xf>
    <xf numFmtId="0" fontId="101" fillId="0" borderId="0" xfId="0" applyFont="1" applyNumberFormat="1">
      <alignment horizontal="left" vertical="center" wrapText="1"/>
    </xf>
    <xf numFmtId="0" fontId="23" fillId="37" borderId="0" xfId="0" applyFont="1" applyFill="1" applyNumberFormat="1">
      <alignment horizontal="right" vertical="center" wrapText="1" indent="1"/>
    </xf>
    <xf numFmtId="0" fontId="23" fillId="0" borderId="0" xfId="0" applyFont="1" applyNumberFormat="1">
      <alignment horizontal="center" vertical="center" wrapText="1"/>
    </xf>
    <xf numFmtId="0" fontId="23" fillId="37" borderId="0" xfId="0" applyFont="1" applyFill="1" applyNumberFormat="1">
      <alignment horizontal="center" vertical="center" wrapText="1"/>
    </xf>
    <xf numFmtId="0" fontId="0" fillId="37" borderId="0" xfId="0" applyFont="1" applyFill="1" applyNumberFormat="1">
      <alignment horizontal="left" vertical="center" wrapText="1" indent="1"/>
    </xf>
    <xf numFmtId="49" fontId="23" fillId="0" borderId="14" xfId="0" applyFont="1" applyBorder="1" applyNumberFormat="1">
      <alignment horizontal="left" vertical="center" wrapText="1" indent="1"/>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49" fontId="23" fillId="38" borderId="14" xfId="0" applyFont="1" applyFill="1" applyBorder="1" applyNumberFormat="1">
      <alignment horizontal="left" vertical="center" wrapText="1" indent="1"/>
    </xf>
    <xf numFmtId="14" fontId="23" fillId="37" borderId="0" xfId="0" applyFont="1" applyFill="1" applyNumberFormat="1">
      <alignment horizontal="center" vertical="center" wrapText="1"/>
    </xf>
    <xf numFmtId="0" fontId="0" fillId="37" borderId="28" xfId="0" applyFont="1" applyFill="1" applyBorder="1" applyNumberFormat="1">
      <alignment horizontal="right" vertical="center" wrapText="1" indent="1"/>
    </xf>
    <xf numFmtId="0" fontId="23" fillId="0" borderId="0" xfId="0" applyFont="1" applyNumberFormat="1">
      <alignment vertical="center"/>
    </xf>
    <xf numFmtId="14" fontId="23" fillId="37" borderId="0" xfId="0" applyFont="1" applyFill="1" applyNumberFormat="1">
      <alignment horizontal="left" vertical="center" wrapText="1"/>
    </xf>
    <xf numFmtId="0" fontId="23" fillId="42" borderId="14" xfId="0" applyFont="1" applyFill="1" applyBorder="1" applyNumberFormat="1">
      <alignment horizontal="left" vertical="center" wrapText="1" indent="1"/>
      <protection locked="0"/>
    </xf>
    <xf numFmtId="0" fontId="66" fillId="37" borderId="0" xfId="0" applyFont="1" applyFill="1" applyNumberFormat="1">
      <alignment horizontal="right" vertical="center" wrapText="1" indent="1"/>
    </xf>
    <xf numFmtId="0" fontId="66" fillId="37" borderId="0" xfId="0" applyFont="1" applyFill="1" applyNumberFormat="1">
      <alignment horizontal="left" vertical="center" wrapText="1" indent="1"/>
    </xf>
    <xf numFmtId="49" fontId="23" fillId="43" borderId="14" xfId="0" applyFont="1" applyFill="1" applyBorder="1" applyNumberFormat="1">
      <alignment horizontal="left" vertical="center" wrapText="1" inden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40" fillId="0" borderId="0" xfId="0" applyFont="1" applyNumberFormat="1">
      <alignment horizontal="left" vertical="center" wrapText="1"/>
    </xf>
    <xf numFmtId="49" fontId="32" fillId="0" borderId="14" xfId="0" applyFont="1" applyBorder="1" applyNumberFormat="1">
      <alignment horizontal="left" vertical="center" wrapText="1" indent="1"/>
    </xf>
    <xf numFmtId="0" fontId="40" fillId="0" borderId="0" xfId="0" applyFont="1" applyNumberFormat="1">
      <alignment horizontal="left" vertical="center" wrapText="1"/>
    </xf>
    <xf numFmtId="0" fontId="23" fillId="0" borderId="0" xfId="0" applyFont="1" applyNumberFormat="1">
      <alignment vertical="center" wrapText="1"/>
    </xf>
    <xf numFmtId="14" fontId="97" fillId="0" borderId="0" xfId="0" applyFont="1" applyNumberFormat="1">
      <alignment horizontal="center" vertical="center" wrapText="1"/>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4" fillId="0" borderId="0" xfId="0" applyFont="1" applyNumberFormat="1">
      <alignment vertical="center" wrapText="1"/>
    </xf>
    <xf numFmtId="0" fontId="88" fillId="0" borderId="0" xfId="0" applyFont="1" applyNumberFormat="1">
      <alignment vertical="center" wrapText="1"/>
    </xf>
    <xf numFmtId="0" fontId="23" fillId="43" borderId="14" xfId="0" applyFont="1" applyFill="1" applyBorder="1" applyNumberFormat="1">
      <alignment horizontal="left" vertical="center" wrapText="1" indent="1"/>
    </xf>
    <xf numFmtId="167" fontId="0" fillId="0" borderId="13" xfId="0" applyFont="1" applyBorder="1" applyNumberFormat="1">
      <alignment horizontal="left" vertical="center" wrapText="1" indent="1"/>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xf>
    <xf numFmtId="0" fontId="96" fillId="0" borderId="0" xfId="0" applyFont="1" applyNumberFormat="1">
      <alignment horizontal="left" vertical="center" wrapText="1"/>
    </xf>
    <xf numFmtId="49" fontId="40" fillId="0" borderId="0" xfId="0" applyFont="1" applyNumberFormat="1">
      <alignment horizontal="left" vertical="center" wrapText="1"/>
    </xf>
    <xf numFmtId="49" fontId="42" fillId="37" borderId="0" xfId="0" applyFont="1" applyFill="1" applyNumberFormat="1">
      <alignment horizontal="center" vertical="center" wrapText="1"/>
    </xf>
    <xf numFmtId="0" fontId="23" fillId="0" borderId="0" xfId="0" applyFont="1" applyNumberFormat="1">
      <alignment horizontal="left" vertical="center" wrapText="1" indent="4"/>
    </xf>
    <xf numFmtId="0" fontId="23" fillId="0" borderId="0" xfId="0" applyFont="1" applyNumberFormat="1">
      <alignment horizontal="left" vertical="center" wrapText="1" indent="1"/>
    </xf>
    <xf numFmtId="49" fontId="23" fillId="42" borderId="14"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3" fillId="37" borderId="0" xfId="0" applyFont="1" applyFill="1" applyNumberFormat="1">
      <alignment horizontal="right" vertical="center" wrapText="1" indent="1"/>
    </xf>
    <xf numFmtId="49" fontId="23" fillId="0" borderId="0" xfId="0" applyFont="1" applyNumberFormat="1">
      <alignment horizontal="center" vertical="center" wrapText="1"/>
    </xf>
    <xf numFmtId="49" fontId="0" fillId="37" borderId="0" xfId="0" applyFont="1" applyFill="1" applyNumberFormat="1">
      <alignment horizontal="right" vertical="center" wrapText="1" indent="1"/>
    </xf>
    <xf numFmtId="0" fontId="36" fillId="0" borderId="0" xfId="0" applyFont="1" applyNumberFormat="1">
      <alignment vertical="top" wrapText="1"/>
    </xf>
    <xf numFmtId="0" fontId="41" fillId="0" borderId="0" xfId="0" applyFont="1" applyNumberFormat="1">
      <alignment vertical="center" wrapText="1"/>
    </xf>
    <xf numFmtId="0" fontId="23" fillId="0" borderId="0" xfId="0" applyFont="1" applyNumberFormat="1">
      <alignment vertical="center" wrapText="1"/>
    </xf>
    <xf numFmtId="0" fontId="55" fillId="0" borderId="0" xfId="0" applyFont="1" applyNumberFormat="1">
      <alignment vertical="center" wrapText="1"/>
    </xf>
    <xf numFmtId="0" fontId="77" fillId="0" borderId="0" xfId="0" applyFont="1" applyNumberFormat="1">
      <alignment vertical="center" wrapText="1"/>
    </xf>
    <xf numFmtId="0" fontId="55"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center" vertical="center" wrapText="1"/>
    </xf>
    <xf numFmtId="0" fontId="55" fillId="0" borderId="0" xfId="0" applyFont="1" applyNumberFormat="1">
      <alignment horizontal="left" vertical="center" wrapText="1" indent="1"/>
    </xf>
    <xf numFmtId="0" fontId="55" fillId="0" borderId="0" xfId="0" applyFont="1" applyNumberFormat="1">
      <alignment horizontal="left" vertical="center" indent="1"/>
    </xf>
    <xf numFmtId="0" fontId="61" fillId="0" borderId="0" xfId="0" applyFont="1" applyNumberFormat="1">
      <alignment vertical="center" wrapText="1"/>
    </xf>
    <xf numFmtId="0" fontId="23"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50" fillId="0" borderId="0" xfId="0" applyFont="1" applyNumberFormat="1">
      <alignment vertical="center" wrapText="1"/>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17" xfId="0" applyFont="1" applyBorder="1" applyNumberFormat="1">
      <alignment horizontal="left" vertical="center" wrapText="1" inden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23" fillId="0" borderId="0" xfId="0" applyFont="1" applyNumberFormat="1">
      <alignment horizontal="center" vertical="center" wrapText="1"/>
    </xf>
    <xf numFmtId="4" fontId="23"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4" xfId="0" applyFont="1" applyBorder="1" applyNumberFormat="1">
      <alignment horizontal="center" vertical="center" wrapText="1"/>
    </xf>
    <xf numFmtId="0" fontId="44" fillId="0" borderId="0" xfId="0" applyFont="1" applyNumberFormat="1">
      <alignment horizontal="center" vertical="center" wrapText="1"/>
    </xf>
    <xf numFmtId="49" fontId="44" fillId="0" borderId="17" xfId="0" applyFont="1" applyBorder="1" applyNumberFormat="1">
      <alignment horizontal="center" vertical="center" wrapText="1"/>
    </xf>
    <xf numFmtId="49" fontId="44" fillId="0" borderId="17" xfId="0" applyFont="1" applyBorder="1" applyNumberFormat="1">
      <alignment horizontal="center" vertical="center" wrapText="1"/>
    </xf>
    <xf numFmtId="0" fontId="54" fillId="0" borderId="0" xfId="0" applyFont="1" applyNumberFormat="1">
      <alignment vertical="center"/>
    </xf>
    <xf numFmtId="0" fontId="54" fillId="0" borderId="0" xfId="0" applyFont="1" applyNumberFormat="1">
      <alignment vertical="center"/>
    </xf>
    <xf numFmtId="0" fontId="59" fillId="0" borderId="0" xfId="0" applyFont="1" applyNumberFormat="1">
      <alignment vertical="center"/>
    </xf>
    <xf numFmtId="49" fontId="23" fillId="40" borderId="21" xfId="0" applyFont="1" applyFill="1" applyBorder="1" applyNumberFormat="1">
      <alignment horizontal="center" vertical="center" wrapText="1"/>
    </xf>
    <xf numFmtId="49" fontId="54" fillId="40" borderId="21" xfId="0" applyFont="1" applyFill="1" applyBorder="1" applyNumberFormat="1">
      <alignment horizontal="left" vertical="center" wrapText="1"/>
    </xf>
    <xf numFmtId="49" fontId="54" fillId="40" borderId="22" xfId="0" applyFont="1" applyFill="1" applyBorder="1" applyNumberFormat="1">
      <alignment horizontal="left" vertical="center" wrapText="1"/>
    </xf>
    <xf numFmtId="0" fontId="55" fillId="0" borderId="24" xfId="0" applyFont="1" applyBorder="1" applyNumberFormat="1">
      <alignment vertical="center"/>
    </xf>
    <xf numFmtId="0" fontId="50" fillId="0" borderId="0" xfId="0" applyFont="1" applyNumberFormat="1">
      <alignment vertical="center" wrapText="1"/>
    </xf>
    <xf numFmtId="0" fontId="23" fillId="0" borderId="0" xfId="0" applyFont="1" applyNumberFormat="1">
      <alignment horizontal="center"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9" fontId="54" fillId="0" borderId="14" xfId="0" applyFont="1" applyBorder="1" applyNumberFormat="1">
      <alignment horizontal="left" vertical="center" wrapText="1"/>
    </xf>
    <xf numFmtId="0" fontId="55" fillId="0" borderId="0" xfId="0" applyFont="1" applyNumberFormat="1">
      <alignment vertical="center"/>
    </xf>
    <xf numFmtId="0" fontId="55" fillId="0" borderId="0" xfId="0" applyFont="1" applyNumberFormat="1">
      <alignment vertical="center"/>
    </xf>
    <xf numFmtId="49" fontId="0" fillId="0" borderId="0" xfId="0" applyFont="1" applyNumberFormat="1">
      <alignment vertical="top"/>
    </xf>
    <xf numFmtId="0" fontId="44" fillId="0" borderId="26" xfId="0" applyFont="1" applyBorder="1" applyNumberFormat="1">
      <alignment vertical="top" wrapText="1"/>
    </xf>
    <xf numFmtId="0" fontId="23" fillId="0" borderId="25" xfId="0" applyFont="1" applyBorder="1" applyNumberFormat="1">
      <alignment horizontal="center" vertical="center" wrapText="1"/>
    </xf>
    <xf numFmtId="0" fontId="55" fillId="0" borderId="25" xfId="0" applyFont="1" applyBorder="1" applyNumberFormat="1">
      <alignment horizontal="center" vertical="center" wrapText="1"/>
    </xf>
    <xf numFmtId="14" fontId="23" fillId="43" borderId="25" xfId="0" applyFont="1" applyFill="1" applyBorder="1" applyNumberFormat="1">
      <alignment horizontal="left" vertical="center" wrapText="1" indent="1"/>
    </xf>
    <xf numFmtId="49" fontId="23" fillId="38" borderId="25" xfId="0" applyFont="1" applyFill="1" applyBorder="1" applyNumberFormat="1">
      <alignment horizontal="center" vertical="center" wrapText="1"/>
    </xf>
    <xf numFmtId="0" fontId="79" fillId="0" borderId="0" xfId="0" applyFont="1" applyNumberFormat="1">
      <alignment vertical="center" wrapText="1"/>
    </xf>
    <xf numFmtId="49" fontId="54" fillId="0" borderId="0" xfId="0" applyFont="1" applyNumberFormat="1">
      <alignment vertical="top"/>
    </xf>
    <xf numFmtId="49" fontId="55" fillId="0" borderId="0" xfId="0" applyFont="1" applyNumberFormat="1">
      <alignment vertical="top"/>
    </xf>
    <xf numFmtId="0" fontId="0" fillId="0" borderId="0" xfId="0" applyFont="1" applyNumberFormat="1">
      <alignment vertical="center" wrapText="1"/>
    </xf>
    <xf numFmtId="0" fontId="44" fillId="0" borderId="0" xfId="0" applyFont="1" applyNumberFormat="1">
      <alignment vertical="top" wrapText="1"/>
    </xf>
    <xf numFmtId="49" fontId="36" fillId="40" borderId="16" xfId="0" applyFont="1" applyFill="1" applyBorder="1" applyNumberFormat="1">
      <alignment horizontal="right" vertical="center" wrapText="1"/>
    </xf>
    <xf numFmtId="49" fontId="36" fillId="40" borderId="17"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0" fillId="40" borderId="17" xfId="0" applyFont="1" applyFill="1" applyBorder="1" applyNumberFormat="1">
      <alignment horizontal="right" vertical="center" wrapText="1"/>
    </xf>
    <xf numFmtId="49" fontId="0" fillId="40" borderId="15" xfId="0" applyFont="1" applyFill="1" applyBorder="1" applyNumberFormat="1">
      <alignment horizontal="right" vertical="center" wrapText="1"/>
    </xf>
    <xf numFmtId="49" fontId="23" fillId="40" borderId="16"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48" fillId="40" borderId="17" xfId="0" applyFont="1" applyFill="1" applyBorder="1" applyNumberFormat="1">
      <alignment horizontal="left" vertical="center"/>
    </xf>
    <xf numFmtId="49" fontId="23" fillId="40" borderId="15" xfId="0" applyFont="1" applyFill="1" applyBorder="1" applyNumberFormat="1">
      <alignment horizontal="right" vertical="center" wrapText="1"/>
    </xf>
    <xf numFmtId="0" fontId="45" fillId="0" borderId="0" xfId="0" applyFont="1" applyNumberFormat="1">
      <alignment horizontal="center" vertical="center" wrapText="1"/>
    </xf>
    <xf numFmtId="0" fontId="23" fillId="0" borderId="23" xfId="0" applyFont="1" applyBorder="1" applyNumberFormat="1">
      <alignment vertical="center" wrapText="1"/>
    </xf>
    <xf numFmtId="0" fontId="23" fillId="0" borderId="0" xfId="0" applyFont="1" applyNumberFormat="1">
      <alignment vertical="center" wrapText="1"/>
    </xf>
    <xf numFmtId="0" fontId="53" fillId="0" borderId="0" xfId="0" applyFont="1" applyNumberFormat="1">
      <alignment vertical="center" wrapText="1"/>
    </xf>
    <xf numFmtId="0" fontId="99" fillId="0" borderId="0" xfId="0" applyFont="1" applyNumberFormat="1">
      <alignment vertical="center" wrapText="1"/>
    </xf>
    <xf numFmtId="0" fontId="57" fillId="0" borderId="0" xfId="0" applyFont="1" applyNumberFormat="1">
      <alignment horizontal="center" vertical="center" wrapText="1"/>
    </xf>
    <xf numFmtId="0" fontId="23" fillId="0" borderId="0" xfId="0" applyFont="1" applyNumberFormat="1">
      <alignment vertical="center"/>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54" fillId="0" borderId="0" xfId="0" applyFont="1" applyNumberFormat="1">
      <alignment vertical="center"/>
    </xf>
    <xf numFmtId="0" fontId="49" fillId="0" borderId="0" xfId="0" applyFont="1" applyNumberFormat="1">
      <alignment vertical="center"/>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49" fillId="0" borderId="0" xfId="0" applyFont="1" applyNumberFormat="1">
      <alignmen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7" fillId="0" borderId="0" xfId="0" applyFont="1" applyNumberFormat="1">
      <alignment vertical="center"/>
    </xf>
    <xf numFmtId="0" fontId="23" fillId="44" borderId="0" xfId="0" applyFont="1" applyFill="1" applyNumberFormat="1">
      <alignment horizontal="center" vertical="center" wrapText="1"/>
    </xf>
    <xf numFmtId="0" fontId="23" fillId="0" borderId="0" xfId="0" applyFont="1" applyNumberFormat="1">
      <alignment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80" fillId="0" borderId="14" xfId="0" applyFont="1" applyBorder="1" applyNumberFormat="1">
      <alignment horizontal="center" vertical="center" wrapText="1"/>
    </xf>
    <xf numFmtId="0" fontId="23" fillId="0" borderId="0" xfId="0" applyFont="1" applyNumberFormat="1">
      <alignment horizontal="center" vertical="center" wrapText="1"/>
    </xf>
    <xf numFmtId="0" fontId="87"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54" fillId="0" borderId="24" xfId="0" applyFont="1" applyBorder="1" applyNumberFormat="1">
      <alignment vertical="center"/>
    </xf>
    <xf numFmtId="0" fontId="0" fillId="0" borderId="0" xfId="0" applyFont="1" applyNumberFormat="1">
      <alignment vertical="center"/>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54" fillId="0" borderId="24" xfId="0" applyFont="1" applyBorder="1" applyNumberFormat="1">
      <alignment vertical="center"/>
    </xf>
    <xf numFmtId="0" fontId="55"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43" xfId="0" applyFont="1" applyFill="1" applyBorder="1" applyNumberFormat="1">
      <alignment horizontal="center" vertical="center" wrapText="1"/>
    </xf>
    <xf numFmtId="49" fontId="0" fillId="40" borderId="17" xfId="0" applyFont="1" applyFill="1" applyBorder="1" applyNumberFormat="1">
      <alignment horizontal="left" vertical="center"/>
    </xf>
    <xf numFmtId="0" fontId="0" fillId="40" borderId="15"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5" xfId="0" applyFont="1" applyBorder="1" applyNumberFormat="1">
      <alignment horizontal="center" vertical="center" wrapText="1"/>
    </xf>
    <xf numFmtId="0" fontId="23" fillId="0" borderId="75"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0" borderId="14" xfId="0" applyFont="1" applyBorder="1" applyNumberFormat="1">
      <alignment horizontal="left" vertical="center" wrapText="1" indent="1"/>
    </xf>
    <xf numFmtId="0" fontId="54" fillId="0" borderId="24" xfId="0" applyFont="1" applyBorder="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1"/>
      <protection locked="0"/>
    </xf>
    <xf numFmtId="49" fontId="48" fillId="40" borderId="15" xfId="0" applyFont="1" applyFill="1" applyBorder="1" applyNumberFormat="1">
      <alignment horizontal="left" vertical="center" indent="1"/>
    </xf>
    <xf numFmtId="0" fontId="23" fillId="43" borderId="25" xfId="0" applyFont="1" applyFill="1" applyBorder="1" applyNumberFormat="1">
      <alignment horizontal="left" vertical="center" wrapText="1" indent="2"/>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0" fontId="80" fillId="44" borderId="0" xfId="0" applyFont="1" applyFill="1" applyNumberFormat="1">
      <alignment vertical="top"/>
    </xf>
    <xf numFmtId="49" fontId="23" fillId="0" borderId="0" xfId="0" applyFont="1" applyNumberFormat="1">
      <alignment vertical="center" wrapText="1"/>
    </xf>
    <xf numFmtId="49" fontId="23" fillId="0" borderId="0" xfId="0" applyFont="1" applyNumberFormat="1">
      <alignment horizontal="center" vertical="center" wrapText="1"/>
    </xf>
    <xf numFmtId="49" fontId="48" fillId="40" borderId="17" xfId="0" applyFont="1" applyFill="1" applyBorder="1" applyNumberFormat="1">
      <alignment horizontal="left" vertical="center" indent="2"/>
    </xf>
    <xf numFmtId="0" fontId="0" fillId="0" borderId="0" xfId="0" applyFont="1" applyNumberFormat="1">
      <alignment vertical="center"/>
    </xf>
    <xf numFmtId="0" fontId="23" fillId="0" borderId="0" xfId="0" applyFont="1" applyNumberFormat="1">
      <alignment vertical="center"/>
    </xf>
    <xf numFmtId="0" fontId="55" fillId="0" borderId="0" xfId="0" applyFont="1" applyNumberFormat="1">
      <alignment vertical="center"/>
    </xf>
    <xf numFmtId="0" fontId="49" fillId="0" borderId="0" xfId="0" applyFont="1" applyNumberFormat="1">
      <alignment vertical="center"/>
    </xf>
    <xf numFmtId="0" fontId="56" fillId="0" borderId="0" xfId="0" applyFont="1" applyNumberFormat="1">
      <alignment vertical="center"/>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69"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113" fillId="0" borderId="0" xfId="0" applyFont="1" applyNumberFormat="1">
      <alignment vertical="center"/>
    </xf>
    <xf numFmtId="0" fontId="23" fillId="0" borderId="29" xfId="0" applyFont="1" applyBorder="1" applyNumberFormat="1">
      <alignment horizontal="left" vertical="center" indent="1"/>
    </xf>
    <xf numFmtId="0" fontId="72" fillId="0" borderId="0" xfId="0" applyFont="1" applyNumberFormat="1">
      <alignment vertical="center"/>
    </xf>
    <xf numFmtId="0" fontId="55" fillId="0" borderId="0" xfId="0" applyFont="1" applyNumberFormat="1">
      <alignment vertical="center"/>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72" fillId="0" borderId="0" xfId="0" applyFont="1" applyNumberFormat="1">
      <alignment vertical="center"/>
    </xf>
    <xf numFmtId="0" fontId="23" fillId="0" borderId="0" xfId="0" applyFont="1" applyNumberFormat="1">
      <alignment vertical="center"/>
    </xf>
    <xf numFmtId="0" fontId="37" fillId="0" borderId="0" xfId="0" applyFont="1" applyNumberFormat="1">
      <alignment vertical="center"/>
    </xf>
    <xf numFmtId="0" fontId="49" fillId="0" borderId="0" xfId="0" applyFont="1" applyNumberFormat="1">
      <alignment vertical="center"/>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xf>
    <xf numFmtId="0" fontId="55" fillId="0" borderId="0" xfId="0" applyFont="1" applyNumberFormat="1">
      <alignment vertical="center"/>
    </xf>
    <xf numFmtId="49" fontId="55" fillId="37" borderId="0" xfId="0" applyFont="1" applyFill="1" applyNumberFormat="1">
      <alignment horizontal="center" vertical="center" wrapText="1"/>
    </xf>
    <xf numFmtId="49" fontId="55" fillId="37" borderId="29" xfId="0" applyFont="1" applyFill="1" applyBorder="1" applyNumberFormat="1">
      <alignment horizontal="center" vertical="center" wrapText="1"/>
    </xf>
    <xf numFmtId="0" fontId="45" fillId="0" borderId="0" xfId="0" applyFont="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4" xfId="0" applyFont="1" applyBorder="1" applyNumberFormat="1">
      <alignment horizontal="center" vertical="top"/>
    </xf>
    <xf numFmtId="0" fontId="23" fillId="0" borderId="14" xfId="0" applyFont="1" applyBorder="1" applyNumberFormat="1">
      <alignment horizontal="left" vertical="top" wrapText="1"/>
    </xf>
    <xf numFmtId="0" fontId="23" fillId="43" borderId="19"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22" xfId="0" applyFont="1" applyBorder="1" applyNumberFormat="1">
      <alignment horizontal="left" vertical="center" wrapText="1"/>
    </xf>
    <xf numFmtId="0" fontId="23" fillId="0" borderId="0" xfId="0" applyFont="1" applyNumberFormat="1">
      <alignment horizontal="left" vertical="center" indent="1"/>
    </xf>
    <xf numFmtId="0" fontId="0" fillId="0" borderId="0" xfId="0" applyFont="1" applyNumberFormat="1">
      <alignment vertical="center"/>
    </xf>
    <xf numFmtId="0" fontId="23" fillId="43" borderId="38" xfId="0" applyFont="1" applyFill="1" applyBorder="1" applyNumberFormat="1">
      <alignment horizontal="center" vertical="top" wrapText="1"/>
    </xf>
    <xf numFmtId="0" fontId="0" fillId="0" borderId="24" xfId="0" applyFont="1" applyBorder="1" applyNumberFormat="1">
      <alignment horizontal="center" vertical="center"/>
    </xf>
    <xf numFmtId="0" fontId="0" fillId="0" borderId="0" xfId="0" applyFont="1" applyNumberFormat="1">
      <alignment horizontal="center" vertical="center"/>
    </xf>
    <xf numFmtId="49" fontId="23" fillId="0" borderId="0" xfId="0" applyFont="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horizontal="left" vertical="top"/>
    </xf>
    <xf numFmtId="0" fontId="23" fillId="43" borderId="25" xfId="0" applyFont="1" applyFill="1" applyBorder="1" applyNumberFormat="1">
      <alignment horizontal="center" vertical="top" wrapText="1"/>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0" fontId="0" fillId="0" borderId="0" xfId="0" applyFont="1" applyNumberFormat="1">
      <alignment vertical="center"/>
    </xf>
    <xf numFmtId="49" fontId="23"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9" xfId="0" applyFont="1" applyBorder="1" applyNumberFormat="1">
      <alignment horizontal="center" vertical="top"/>
    </xf>
    <xf numFmtId="0" fontId="23" fillId="0" borderId="19" xfId="0" applyFont="1" applyBorder="1" applyNumberFormat="1">
      <alignment horizontal="left" vertical="top" wrapText="1"/>
    </xf>
    <xf numFmtId="0" fontId="0" fillId="0" borderId="38" xfId="0" applyFont="1" applyBorder="1" applyNumberFormat="1">
      <alignment horizontal="center" vertical="top"/>
    </xf>
    <xf numFmtId="0" fontId="23" fillId="0" borderId="38" xfId="0" applyFont="1" applyBorder="1" applyNumberFormat="1">
      <alignment horizontal="left" vertical="top" wrapText="1"/>
    </xf>
    <xf numFmtId="0" fontId="0" fillId="0" borderId="25" xfId="0" applyFont="1" applyBorder="1" applyNumberFormat="1">
      <alignment horizontal="center" vertical="top"/>
    </xf>
    <xf numFmtId="0" fontId="23" fillId="0" borderId="25" xfId="0" applyFont="1" applyBorder="1" applyNumberFormat="1">
      <alignment horizontal="left" vertical="top"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55"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55" fillId="0" borderId="0" xfId="0" applyFont="1" applyNumberFormat="1">
      <alignment horizontal="center" vertical="center"/>
    </xf>
    <xf numFmtId="49" fontId="54" fillId="0" borderId="0" xfId="0" applyFont="1" applyNumberFormat="1">
      <alignment horizontal="center" vertical="center"/>
    </xf>
    <xf numFmtId="49" fontId="72"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21" xfId="0" applyFont="1" applyBorder="1" applyNumberFormat="1">
      <alignment horizontal="left" vertical="center" wrapText="1" indent="1"/>
    </xf>
    <xf numFmtId="0" fontId="22" fillId="0" borderId="0" xfId="0" applyFont="1" applyNumberFormat="1">
      <alignment horizontal="left" vertical="center" wrapText="1" indent="1"/>
    </xf>
    <xf numFmtId="0" fontId="50" fillId="0" borderId="0" xfId="0" applyFont="1" applyNumberFormat="1">
      <alignment vertical="center"/>
    </xf>
    <xf numFmtId="0" fontId="118" fillId="0" borderId="0" xfId="0" applyFont="1" applyNumberFormat="1">
      <alignment vertical="center" wrapText="1"/>
    </xf>
    <xf numFmtId="0" fontId="119" fillId="0" borderId="0" xfId="0" applyFont="1" applyNumberFormat="1">
      <alignment vertical="center" wrapText="1"/>
    </xf>
    <xf numFmtId="0" fontId="5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49" fontId="23" fillId="0" borderId="0" xfId="0" applyFont="1" applyNumberFormat="1">
      <alignment vertical="top"/>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xf>
    <xf numFmtId="49" fontId="23" fillId="43" borderId="19" xfId="0" applyFont="1" applyFill="1" applyBorder="1" applyNumberFormat="1">
      <alignment horizontal="center" vertical="center" wrapText="1"/>
    </xf>
    <xf numFmtId="49" fontId="23" fillId="0" borderId="39" xfId="0" applyFont="1" applyBorder="1" applyNumberFormat="1">
      <alignment vertical="center" wrapText="1"/>
    </xf>
    <xf numFmtId="0" fontId="23"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23" fillId="0" borderId="21" xfId="0" applyFont="1" applyBorder="1" applyNumberFormat="1">
      <alignment vertical="center" wrapText="1"/>
    </xf>
    <xf numFmtId="49" fontId="23" fillId="43" borderId="38" xfId="0" applyFont="1" applyFill="1" applyBorder="1" applyNumberFormat="1">
      <alignment horizontal="center" vertical="center" wrapText="1"/>
    </xf>
    <xf numFmtId="49" fontId="23" fillId="0" borderId="24" xfId="0" applyFont="1" applyBorder="1" applyNumberFormat="1">
      <alignment vertical="center" wrapText="1"/>
    </xf>
    <xf numFmtId="0" fontId="23" fillId="0" borderId="0" xfId="0" applyFont="1" applyNumberFormat="1">
      <alignment horizontal="center" vertical="center"/>
    </xf>
    <xf numFmtId="0" fontId="23"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49" fontId="45" fillId="0" borderId="0" xfId="0" applyFont="1" applyNumberFormat="1">
      <alignment horizontal="center" vertical="center" wrapText="1"/>
    </xf>
    <xf numFmtId="0" fontId="48" fillId="0" borderId="0" xfId="0" applyFont="1" applyNumberFormat="1">
      <alignment vertical="center"/>
    </xf>
    <xf numFmtId="0" fontId="48" fillId="0" borderId="24" xfId="0" applyFont="1" applyBorder="1" applyNumberFormat="1">
      <alignment horizontal="left" vertical="center"/>
    </xf>
    <xf numFmtId="49" fontId="23" fillId="0" borderId="19" xfId="0" applyFont="1" applyBorder="1" applyNumberFormat="1">
      <alignment horizontal="center" vertical="center"/>
    </xf>
    <xf numFmtId="0" fontId="23" fillId="0" borderId="19" xfId="0" applyFont="1" applyBorder="1" applyNumberFormat="1">
      <alignment horizontal="left" vertical="center" wrapText="1"/>
    </xf>
    <xf numFmtId="0" fontId="23" fillId="0" borderId="39" xfId="0" applyFont="1" applyBorder="1" applyNumberFormat="1">
      <alignment horizontal="left" vertical="center" wrapText="1"/>
    </xf>
    <xf numFmtId="49" fontId="72" fillId="0" borderId="32" xfId="0" applyFont="1" applyBorder="1" applyNumberFormat="1">
      <alignment vertical="top"/>
    </xf>
    <xf numFmtId="49" fontId="72" fillId="0" borderId="29" xfId="0" applyFont="1" applyBorder="1" applyNumberFormat="1">
      <alignment vertical="top"/>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0" borderId="0" xfId="0" applyFont="1" applyNumberFormat="1">
      <alignment horizontal="left" vertical="center" wrapText="1"/>
    </xf>
    <xf numFmtId="0" fontId="23" fillId="0" borderId="16" xfId="0" applyFont="1" applyBorder="1" applyNumberFormat="1">
      <alignment horizontal="left" vertical="center" wrapText="1"/>
    </xf>
    <xf numFmtId="0" fontId="23" fillId="37" borderId="0" xfId="0" applyFont="1" applyFill="1" applyNumberFormat="1"/>
    <xf numFmtId="0" fontId="66" fillId="37" borderId="0" xfId="0" applyFont="1" applyFill="1" applyNumberFormat="1"/>
    <xf numFmtId="0" fontId="55" fillId="37" borderId="0" xfId="0" applyFont="1" applyFill="1" applyNumberFormat="1"/>
    <xf numFmtId="0" fontId="66" fillId="37" borderId="0" xfId="0" applyFont="1" applyFill="1" applyNumberFormat="1">
      <alignment horizontal="center"/>
    </xf>
    <xf numFmtId="0" fontId="95" fillId="0" borderId="0" xfId="0" applyFont="1" applyNumberFormat="1">
      <alignment vertical="center"/>
    </xf>
    <xf numFmtId="0" fontId="94" fillId="0" borderId="0" xfId="0" applyFont="1" applyNumberFormat="1">
      <alignment vertical="center"/>
    </xf>
    <xf numFmtId="0" fontId="78" fillId="37" borderId="0" xfId="0" applyFont="1" applyFill="1" applyNumberFormat="1">
      <alignment horizontal="right" vertical="center"/>
    </xf>
    <xf numFmtId="0" fontId="23" fillId="37" borderId="0" xfId="0" applyFont="1" applyFill="1" applyNumberFormat="1">
      <alignment vertical="center" wrapText="1"/>
    </xf>
    <xf numFmtId="0" fontId="55" fillId="37" borderId="0" xfId="0" applyFont="1" applyFill="1" applyNumberFormat="1">
      <alignment vertical="center" wrapText="1"/>
    </xf>
    <xf numFmtId="0" fontId="23" fillId="37" borderId="0" xfId="0" applyFont="1" applyFill="1" applyNumberFormat="1">
      <alignment horizontal="center" vertical="center" wrapText="1"/>
    </xf>
    <xf numFmtId="0" fontId="98" fillId="37" borderId="0" xfId="0" applyFont="1" applyFill="1" applyNumberFormat="1">
      <alignment horizontal="left" vertical="center"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44" fillId="37" borderId="0" xfId="0" applyFont="1" applyFill="1" applyNumberFormat="1">
      <alignment horizontal="center" vertical="center"/>
    </xf>
    <xf numFmtId="49" fontId="55" fillId="0" borderId="14" xfId="0" applyFont="1" applyBorder="1" applyNumberFormat="1">
      <alignment horizontal="center" vertical="center"/>
    </xf>
    <xf numFmtId="0" fontId="55" fillId="0" borderId="14" xfId="0" applyFont="1" applyBorder="1" applyNumberFormat="1">
      <alignment vertical="center" wrapText="1"/>
    </xf>
    <xf numFmtId="0" fontId="55" fillId="0" borderId="14" xfId="0" applyFont="1" applyBorder="1" applyNumberFormat="1">
      <alignment horizontal="left" vertical="center" wrapText="1"/>
    </xf>
    <xf numFmtId="0" fontId="70" fillId="37" borderId="0" xfId="0" applyFont="1" applyFill="1" applyNumberFormat="1"/>
    <xf numFmtId="49" fontId="0" fillId="37" borderId="14" xfId="0" applyFont="1" applyFill="1" applyBorder="1" applyNumberFormat="1">
      <alignment horizontal="center" vertical="center"/>
    </xf>
    <xf numFmtId="0" fontId="0" fillId="37" borderId="14" xfId="0" applyFont="1" applyFill="1" applyBorder="1" applyNumberFormat="1">
      <alignment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vertical="center" wrapText="1"/>
    </xf>
    <xf numFmtId="0" fontId="0" fillId="37" borderId="14" xfId="0" applyFont="1" applyFill="1" applyBorder="1" applyNumberFormat="1">
      <alignment horizontal="left" vertical="center" wrapText="1" indent="1"/>
    </xf>
    <xf numFmtId="49" fontId="0" fillId="42" borderId="14" xfId="0" applyFont="1" applyFill="1" applyBorder="1" applyNumberFormat="1">
      <alignment horizontal="left" vertical="center" wrapText="1"/>
      <protection locked="0"/>
    </xf>
    <xf numFmtId="0" fontId="55" fillId="0" borderId="14" xfId="0" applyFont="1" applyBorder="1" applyNumberFormat="1">
      <alignment horizontal="left" vertical="center" wrapText="1" indent="1"/>
    </xf>
    <xf numFmtId="49" fontId="23"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95" fillId="0" borderId="0" xfId="0" applyFont="1" applyNumberFormat="1">
      <alignment vertical="center" wrapText="1"/>
    </xf>
    <xf numFmtId="0" fontId="0" fillId="37" borderId="14" xfId="0" applyFont="1" applyFill="1" applyBorder="1" applyNumberFormat="1">
      <alignment horizontal="center" vertical="center"/>
    </xf>
    <xf numFmtId="0" fontId="0" fillId="37" borderId="14" xfId="0" applyFont="1" applyFill="1" applyBorder="1" applyNumberFormat="1">
      <alignment horizontal="left" vertical="center" wrapText="1" indent="2"/>
    </xf>
    <xf numFmtId="49" fontId="0" fillId="0" borderId="14" xfId="0" applyFont="1" applyBorder="1" applyNumberFormat="1">
      <alignment horizontal="left" vertical="center" wrapText="1"/>
    </xf>
    <xf numFmtId="49" fontId="23" fillId="37" borderId="0" xfId="0" applyFont="1" applyFill="1" applyNumberFormat="1">
      <alignment vertical="center" wrapText="1"/>
    </xf>
    <xf numFmtId="0" fontId="23" fillId="37" borderId="26" xfId="0" applyFont="1" applyFill="1" applyBorder="1" applyNumberFormat="1">
      <alignment vertical="center" wrapText="1"/>
    </xf>
    <xf numFmtId="0" fontId="23" fillId="40" borderId="16" xfId="0" applyFont="1" applyFill="1" applyBorder="1" applyNumberFormat="1">
      <alignment horizontal="center"/>
    </xf>
    <xf numFmtId="49" fontId="48" fillId="40" borderId="17" xfId="0" applyFont="1" applyFill="1" applyBorder="1" applyNumberFormat="1">
      <alignment horizontal="left" vertical="center" indent="1"/>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49" fontId="55" fillId="37" borderId="14" xfId="0" applyFont="1" applyFill="1" applyBorder="1" applyNumberFormat="1">
      <alignment horizontal="center" vertical="center"/>
    </xf>
    <xf numFmtId="0" fontId="55" fillId="37" borderId="14" xfId="0" applyFont="1" applyFill="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0" fontId="0" fillId="37" borderId="14" xfId="0" applyFont="1" applyFill="1" applyBorder="1" applyNumberFormat="1">
      <alignment horizontal="left" vertical="center" wrapText="1"/>
    </xf>
    <xf numFmtId="49" fontId="0" fillId="39" borderId="14" xfId="0" applyFont="1" applyFill="1" applyBorder="1" applyNumberFormat="1">
      <alignment horizontal="left" vertical="center" wrapText="1"/>
      <protection locked="0"/>
    </xf>
    <xf numFmtId="0" fontId="0" fillId="37" borderId="19" xfId="0" applyFont="1" applyFill="1" applyBorder="1" applyNumberFormat="1">
      <alignment horizontal="left" vertical="center" wrapText="1"/>
    </xf>
    <xf numFmtId="0" fontId="23" fillId="37" borderId="19" xfId="0" applyFont="1" applyFill="1" applyBorder="1" applyNumberFormat="1">
      <alignment horizontal="left" vertical="top" wrapText="1"/>
    </xf>
    <xf numFmtId="49" fontId="0" fillId="0" borderId="14" xfId="0" applyFont="1" applyBorder="1" applyNumberFormat="1">
      <alignment horizontal="left" vertical="center" wrapText="1" indent="1"/>
    </xf>
    <xf numFmtId="0" fontId="23" fillId="37" borderId="38" xfId="0" applyFont="1" applyFill="1" applyBorder="1" applyNumberFormat="1">
      <alignment horizontal="left" vertical="top" wrapText="1"/>
    </xf>
    <xf numFmtId="0" fontId="45" fillId="37" borderId="0" xfId="0" applyFont="1" applyFill="1" applyNumberFormat="1">
      <alignment horizontal="center" vertical="center"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37" borderId="25" xfId="0" applyFont="1" applyFill="1" applyBorder="1" applyNumberFormat="1">
      <alignment horizontal="left" vertical="top" wrapText="1"/>
    </xf>
    <xf numFmtId="0" fontId="58" fillId="37" borderId="0" xfId="0" applyFont="1" applyFill="1" applyNumberFormat="1"/>
    <xf numFmtId="49" fontId="23" fillId="42" borderId="14" xfId="0" applyFont="1" applyFill="1" applyBorder="1" applyNumberFormat="1" quotePrefix="1">
      <alignment horizontal="left" vertical="center" wrapText="1"/>
      <protection locked="0"/>
    </xf>
    <xf numFmtId="49" fontId="23" fillId="39"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0" fillId="37" borderId="16" xfId="0" applyFont="1" applyFill="1" applyBorder="1" applyNumberFormat="1">
      <alignment horizontal="left" vertical="center" wrapText="1" indent="1"/>
    </xf>
    <xf numFmtId="49" fontId="23" fillId="43" borderId="16" xfId="0" applyFont="1" applyFill="1" applyBorder="1" applyNumberFormat="1">
      <alignment horizontal="left" vertical="center" wrapText="1"/>
    </xf>
    <xf numFmtId="0" fontId="0" fillId="37" borderId="14" xfId="0" applyFont="1" applyFill="1" applyBorder="1" applyNumberFormat="1">
      <alignment vertical="top" wrapText="1"/>
    </xf>
    <xf numFmtId="49" fontId="23" fillId="37" borderId="0" xfId="0" applyFont="1" applyFill="1" applyNumberFormat="1">
      <alignment horizontal="center" vertical="center" wrapText="1"/>
    </xf>
    <xf numFmtId="0" fontId="0" fillId="37" borderId="16" xfId="0" applyFont="1" applyFill="1" applyBorder="1" applyNumberFormat="1">
      <alignment horizontal="left" vertical="center" wrapText="1"/>
    </xf>
    <xf numFmtId="0" fontId="0" fillId="37" borderId="25" xfId="0" applyFont="1" applyFill="1" applyBorder="1" applyNumberFormat="1">
      <alignment vertical="center" wrapText="1"/>
    </xf>
    <xf numFmtId="0" fontId="81" fillId="37" borderId="0" xfId="0" applyFont="1" applyFill="1" applyNumberFormat="1"/>
    <xf numFmtId="0" fontId="23" fillId="0" borderId="0" xfId="0" applyFont="1" applyNumberFormat="1">
      <alignment vertical="top" wrapText="1"/>
    </xf>
    <xf numFmtId="0" fontId="55" fillId="0" borderId="0" xfId="0" applyFont="1" applyNumberFormat="1">
      <alignment vertical="center" wrapText="1"/>
    </xf>
    <xf numFmtId="0" fontId="53" fillId="0" borderId="0" xfId="0" applyFont="1" applyNumberFormat="1">
      <alignment horizontal="right" vertical="top" wrapText="1"/>
    </xf>
    <xf numFmtId="0" fontId="53" fillId="0" borderId="0" xfId="0" applyFont="1" applyNumberFormat="1">
      <alignment horizontal="left" vertical="top" wrapText="1" indent="1"/>
    </xf>
    <xf numFmtId="0" fontId="53" fillId="0" borderId="0" xfId="0" applyFont="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2" fillId="37" borderId="0" xfId="0" applyFont="1" applyFill="1" applyNumberFormat="1">
      <alignment horizontal="right" vertical="center"/>
    </xf>
    <xf numFmtId="0" fontId="83" fillId="37" borderId="0" xfId="0" applyFont="1" applyFill="1" applyNumberFormat="1">
      <alignment vertical="center"/>
    </xf>
    <xf numFmtId="0" fontId="82" fillId="37" borderId="0" xfId="0" applyFont="1" applyFill="1" applyNumberFormat="1">
      <alignment horizontal="right" vertical="top"/>
    </xf>
    <xf numFmtId="0" fontId="83" fillId="37" borderId="0" xfId="0" applyFont="1" applyFill="1" applyNumberFormat="1">
      <alignment vertical="center" wrapText="1"/>
    </xf>
    <xf numFmtId="0" fontId="0" fillId="37" borderId="0" xfId="0" applyFont="1" applyFill="1" applyNumberFormat="1"/>
    <xf numFmtId="0" fontId="0" fillId="37" borderId="0" xfId="0" applyFont="1" applyFill="1" applyNumberFormat="1">
      <alignment horizontal="center"/>
    </xf>
    <xf numFmtId="0" fontId="54" fillId="0" borderId="0" xfId="0" applyFont="1" applyNumberFormat="1">
      <alignment horizontal="center" vertical="center" wrapTex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45" fillId="37" borderId="0" xfId="0" applyFont="1" applyFill="1" applyNumberFormat="1">
      <alignment horizontal="center" vertical="center" wrapText="1"/>
    </xf>
    <xf numFmtId="0" fontId="22" fillId="0" borderId="0" xfId="0" applyFont="1" applyNumberFormat="1">
      <alignment horizontal="left" vertical="center" wrapText="1" indent="3"/>
    </xf>
    <xf numFmtId="0" fontId="69" fillId="0" borderId="0" xfId="0" applyFont="1" applyNumberFormat="1">
      <alignment horizontal="center" vertical="center" wrapText="1"/>
    </xf>
    <xf numFmtId="0" fontId="69" fillId="0" borderId="0" xfId="0" applyFont="1" applyNumberFormat="1">
      <alignment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65" fillId="0" borderId="0" xfId="0" applyFont="1" applyNumberFormat="1">
      <alignment vertical="center" wrapText="1"/>
    </xf>
    <xf numFmtId="0" fontId="63" fillId="0" borderId="0" xfId="0" applyFont="1" applyNumberFormat="1">
      <alignment vertical="center" wrapText="1"/>
    </xf>
    <xf numFmtId="0" fontId="84" fillId="37" borderId="0" xfId="0" applyFont="1" applyFill="1" applyNumberFormat="1">
      <alignment horizontal="center" vertical="center" wrapText="1"/>
    </xf>
    <xf numFmtId="0" fontId="65" fillId="0" borderId="0" xfId="0" applyFont="1" applyNumberFormat="1">
      <alignment horizontal="left" vertical="center" wrapText="1" indent="1"/>
    </xf>
    <xf numFmtId="0" fontId="23" fillId="0" borderId="0" xfId="0" applyFont="1" applyNumberFormat="1">
      <alignment horizontal="right" vertical="center"/>
    </xf>
    <xf numFmtId="0" fontId="55" fillId="0" borderId="0" xfId="0" applyFont="1" applyNumberFormat="1">
      <alignment vertical="center" wrapText="1"/>
    </xf>
    <xf numFmtId="0" fontId="0" fillId="0" borderId="16"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44" fillId="37" borderId="0" xfId="0" applyFont="1" applyFill="1" applyNumberFormat="1">
      <alignment horizontal="center" vertical="center" wrapText="1"/>
    </xf>
    <xf numFmtId="49" fontId="44" fillId="37" borderId="0" xfId="0" applyFont="1" applyFill="1" applyNumberFormat="1">
      <alignment horizontal="center" vertical="center" wrapText="1"/>
    </xf>
    <xf numFmtId="0" fontId="23" fillId="0" borderId="0" xfId="0" applyFont="1" applyNumberFormat="1">
      <alignmen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49" fontId="77" fillId="0" borderId="14" xfId="0" applyFont="1" applyBorder="1" applyNumberFormat="1">
      <alignment horizontal="left" vertical="center" wrapText="1"/>
    </xf>
    <xf numFmtId="49" fontId="0" fillId="0" borderId="14" xfId="0" applyFont="1" applyBorder="1" applyNumberFormat="1">
      <alignment vertical="top" wrapText="1"/>
    </xf>
    <xf numFmtId="49" fontId="0" fillId="0" borderId="14" xfId="0" applyFont="1" applyBorder="1" applyNumberFormat="1">
      <alignment horizontal="center" vertical="center" wrapText="1"/>
    </xf>
    <xf numFmtId="49" fontId="0" fillId="39"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 fontId="0" fillId="42"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 fontId="0" fillId="42" borderId="15" xfId="0" applyFont="1" applyFill="1" applyBorder="1" applyNumberFormat="1">
      <alignment horizontal="right" vertical="center" wrapText="1"/>
      <protection locked="0"/>
    </xf>
    <xf numFmtId="0" fontId="0" fillId="39" borderId="14" xfId="0" applyFont="1" applyFill="1" applyBorder="1" applyNumberFormat="1">
      <alignment horizontal="right" vertical="center" wrapText="1"/>
      <protection locked="0"/>
    </xf>
    <xf numFmtId="3" fontId="0" fillId="0" borderId="15" xfId="0" applyFont="1" applyBorder="1" applyNumberFormat="1">
      <alignment horizontal="right" vertical="center" wrapText="1"/>
    </xf>
    <xf numFmtId="0" fontId="0" fillId="0" borderId="19" xfId="0" applyFont="1" applyBorder="1" applyNumberFormat="1">
      <alignment horizontal="left" vertical="top" wrapText="1"/>
    </xf>
    <xf numFmtId="49" fontId="36" fillId="40" borderId="16" xfId="0" applyFont="1" applyFill="1" applyBorder="1" applyNumberFormat="1">
      <alignment horizontal="center" vertical="center"/>
    </xf>
    <xf numFmtId="0" fontId="48" fillId="40" borderId="17" xfId="0" applyFont="1" applyFill="1" applyBorder="1" applyNumberFormat="1">
      <alignment vertical="center"/>
    </xf>
    <xf numFmtId="49" fontId="48" fillId="40" borderId="17" xfId="0" applyFont="1" applyFill="1" applyBorder="1" applyNumberFormat="1">
      <alignment vertical="center"/>
    </xf>
    <xf numFmtId="49" fontId="78" fillId="40" borderId="17" xfId="0" applyFont="1" applyFill="1" applyBorder="1" applyNumberFormat="1">
      <alignment vertical="center"/>
    </xf>
    <xf numFmtId="49" fontId="78" fillId="40" borderId="15" xfId="0" applyFont="1" applyFill="1" applyBorder="1" applyNumberFormat="1">
      <alignment vertical="center"/>
    </xf>
    <xf numFmtId="0" fontId="0" fillId="0" borderId="25" xfId="0" applyFont="1" applyBorder="1" applyNumberFormat="1">
      <alignment horizontal="left" vertical="top" wrapText="1"/>
    </xf>
    <xf numFmtId="0" fontId="40"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50" fillId="0" borderId="0" xfId="0" applyFont="1" applyNumberFormat="1">
      <alignment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49" fontId="0" fillId="0" borderId="39" xfId="0" applyFont="1" applyBorder="1" applyNumberFormat="1">
      <alignment horizontal="center" vertical="center" wrapText="1"/>
    </xf>
    <xf numFmtId="0" fontId="23" fillId="43" borderId="21" xfId="0" applyFont="1" applyFill="1" applyBorder="1" applyNumberFormat="1">
      <alignment horizontal="lef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0" fontId="55" fillId="0" borderId="0" xfId="0" applyFont="1" applyNumberFormat="1">
      <alignment vertical="center"/>
    </xf>
    <xf numFmtId="49" fontId="0" fillId="0" borderId="32" xfId="0" applyFont="1" applyBorder="1" applyNumberFormat="1">
      <alignment horizontal="center" vertical="center" wrapText="1"/>
    </xf>
    <xf numFmtId="0" fontId="23" fillId="43" borderId="29" xfId="0" applyFont="1" applyFill="1" applyBorder="1" applyNumberFormat="1">
      <alignment horizontal="left" vertical="center" wrapText="1"/>
    </xf>
    <xf numFmtId="0" fontId="93" fillId="0" borderId="0" xfId="0" applyFont="1" applyNumberFormat="1">
      <alignment vertical="center" wrapText="1"/>
    </xf>
    <xf numFmtId="0" fontId="55" fillId="0" borderId="0" xfId="0" applyFont="1" applyNumberFormat="1">
      <alignment vertical="center" wrapText="1"/>
    </xf>
    <xf numFmtId="0" fontId="45" fillId="37" borderId="0" xfId="0" applyFont="1" applyFill="1" applyNumberFormat="1">
      <alignment horizontal="center" vertical="center" wrapText="1"/>
    </xf>
    <xf numFmtId="0" fontId="23" fillId="0" borderId="21" xfId="0" applyFont="1" applyBorder="1" applyNumberFormat="1">
      <alignment horizontal="left" vertical="top" wrapText="1" indent="1"/>
    </xf>
    <xf numFmtId="0" fontId="69" fillId="0" borderId="0" xfId="0" applyFont="1" applyNumberFormat="1">
      <alignment vertical="center" wrapText="1"/>
    </xf>
    <xf numFmtId="0" fontId="65" fillId="0" borderId="0" xfId="0" applyFont="1" applyNumberFormat="1">
      <alignment vertical="center" wrapText="1"/>
    </xf>
    <xf numFmtId="0" fontId="63" fillId="0" borderId="0" xfId="0" applyFont="1" applyNumberFormat="1">
      <alignment vertical="center" wrapText="1"/>
    </xf>
    <xf numFmtId="0" fontId="23" fillId="0" borderId="25" xfId="0" applyFont="1" applyBorder="1" applyNumberFormat="1">
      <alignment horizontal="center" vertical="center" wrapText="1"/>
    </xf>
    <xf numFmtId="0" fontId="23" fillId="0" borderId="0" xfId="0" applyFont="1" applyNumberFormat="1">
      <alignmen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40" fillId="0" borderId="0" xfId="0" applyFont="1" applyNumberFormat="1">
      <alignment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2" fillId="0" borderId="0" xfId="0" applyFont="1" applyNumberFormat="1">
      <alignment horizontal="center" vertical="center" wrapText="1"/>
    </xf>
    <xf numFmtId="4" fontId="65" fillId="0" borderId="0" xfId="0" applyFont="1" applyNumberFormat="1">
      <alignment horizontal="right"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44" fillId="37" borderId="17" xfId="0" applyFont="1" applyFill="1" applyBorder="1" applyNumberFormat="1">
      <alignment horizontal="center" vertical="center" wrapText="1"/>
    </xf>
    <xf numFmtId="49" fontId="44" fillId="37" borderId="17" xfId="0" applyFont="1" applyFill="1" applyBorder="1" applyNumberFormat="1">
      <alignment horizontal="center" vertical="center" wrapText="1"/>
    </xf>
    <xf numFmtId="0" fontId="45"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top"/>
    </xf>
    <xf numFmtId="0" fontId="45" fillId="37" borderId="26" xfId="0" applyFont="1" applyFill="1" applyBorder="1" applyNumberFormat="1">
      <alignment vertical="top"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49" fontId="34" fillId="40" borderId="15" xfId="0" applyFont="1" applyFill="1" applyBorder="1" applyNumberFormat="1">
      <alignment horizontal="left" vertical="center" wrapText="1"/>
    </xf>
    <xf numFmtId="0" fontId="0" fillId="0" borderId="38" xfId="0" applyFont="1" applyBorder="1" applyNumberFormat="1">
      <alignment horizontal="left" vertical="top"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45" fillId="37" borderId="0" xfId="0" applyFont="1" applyFill="1" applyNumberFormat="1">
      <alignment vertical="top" wrapText="1"/>
    </xf>
    <xf numFmtId="0" fontId="55" fillId="37" borderId="25" xfId="0" applyFont="1" applyFill="1" applyBorder="1" applyNumberFormat="1">
      <alignment horizontal="center" vertical="center" wrapText="1"/>
    </xf>
    <xf numFmtId="14" fontId="23" fillId="43" borderId="25" xfId="0" applyFont="1" applyFill="1" applyBorder="1" applyNumberFormat="1">
      <alignment horizontal="left" vertical="center" wrapText="1"/>
    </xf>
    <xf numFmtId="14" fontId="23" fillId="43" borderId="14" xfId="0" applyFont="1" applyFill="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6" fillId="40" borderId="17" xfId="0" applyFont="1" applyFill="1" applyBorder="1" applyNumberFormat="1">
      <alignment horizontal="center" vertical="center"/>
    </xf>
    <xf numFmtId="49" fontId="78" fillId="40" borderId="17" xfId="0" applyFont="1" applyFill="1" applyBorder="1" applyNumberFormat="1">
      <alignment horizontal="left" vertical="center" indent="1"/>
    </xf>
    <xf numFmtId="49" fontId="78" fillId="40" borderId="15" xfId="0" applyFont="1" applyFill="1" applyBorder="1" applyNumberFormat="1">
      <alignment horizontal="left" vertical="center" indent="1"/>
    </xf>
    <xf numFmtId="0" fontId="84" fillId="0" borderId="0" xfId="0" applyFont="1" applyNumberFormat="1">
      <alignment horizontal="center" vertical="center" wrapText="1"/>
    </xf>
    <xf numFmtId="0" fontId="53" fillId="0" borderId="0" xfId="0" applyFont="1" applyNumberFormat="1">
      <alignment vertical="top" wrapText="1"/>
    </xf>
    <xf numFmtId="0" fontId="23" fillId="0" borderId="0" xfId="0" applyFont="1" applyNumberFormat="1">
      <alignment horizontal="right" vertical="top" wrapText="1"/>
    </xf>
    <xf numFmtId="0" fontId="53"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horizontal="left" vertical="center" indent="1"/>
    </xf>
    <xf numFmtId="0" fontId="54" fillId="0" borderId="14" xfId="0" applyFont="1" applyBorder="1" applyNumberFormat="1">
      <alignment horizontal="center" vertical="center"/>
    </xf>
    <xf numFmtId="0" fontId="54" fillId="0" borderId="0" xfId="0" applyFont="1" applyNumberFormat="1">
      <alignment horizontal="center" vertical="center"/>
    </xf>
    <xf numFmtId="0" fontId="54"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4" xfId="0" applyFont="1" applyBorder="1" applyNumberFormat="1">
      <alignment horizontal="left" vertical="center" wrapText="1" indent="6"/>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53" fillId="0" borderId="14" xfId="0" applyFont="1" applyBorder="1" applyNumberFormat="1">
      <alignment vertical="top" wrapText="1"/>
    </xf>
    <xf numFmtId="0" fontId="54" fillId="0" borderId="16" xfId="0" applyFont="1" applyBorder="1" applyNumberFormat="1">
      <alignment horizontal="center" vertical="center"/>
    </xf>
    <xf numFmtId="0" fontId="23" fillId="0" borderId="0" xfId="0" applyFont="1" applyNumberFormat="1">
      <alignment horizontal="center"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23" fillId="37" borderId="14" xfId="0" applyFont="1" applyFill="1" applyBorder="1" applyNumberFormat="1">
      <alignment horizontal="left" vertical="center" wrapText="1" indent="1"/>
    </xf>
    <xf numFmtId="0" fontId="45" fillId="0" borderId="0" xfId="0" applyFont="1" applyNumberFormat="1">
      <alignment vertical="center" wrapTex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54" fillId="0" borderId="14" xfId="0" applyFont="1" applyBorder="1" applyNumberFormat="1">
      <alignment horizontal="center" vertical="center" wrapText="1"/>
    </xf>
    <xf numFmtId="0" fontId="54"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54" fillId="0" borderId="16" xfId="0" applyFont="1" applyBorder="1" applyNumberFormat="1">
      <alignment horizontal="center" vertical="center" wrapText="1"/>
    </xf>
    <xf numFmtId="0" fontId="54" fillId="0" borderId="0" xfId="0" applyFont="1" applyNumberFormat="1">
      <alignment vertical="center" wrapText="1"/>
    </xf>
    <xf numFmtId="0" fontId="55" fillId="0" borderId="26" xfId="0" applyFont="1" applyBorder="1" applyNumberFormat="1">
      <alignment vertical="center" wrapText="1"/>
    </xf>
    <xf numFmtId="0" fontId="23" fillId="37" borderId="14" xfId="0" applyFont="1" applyFill="1" applyBorder="1" applyNumberFormat="1">
      <alignment horizontal="left" vertical="center" wrapText="1" indent="5"/>
    </xf>
    <xf numFmtId="0" fontId="23" fillId="43" borderId="14" xfId="0" applyFont="1" applyFill="1" applyBorder="1" applyNumberFormat="1">
      <alignment horizontal="left" vertical="center" wrapText="1" indent="6"/>
    </xf>
    <xf numFmtId="4" fontId="23" fillId="39" borderId="14" xfId="0" applyFont="1" applyFill="1" applyBorder="1" applyNumberFormat="1">
      <alignment horizontal="right" vertical="center" wrapText="1"/>
      <protection locked="0"/>
    </xf>
    <xf numFmtId="4" fontId="23" fillId="0" borderId="14" xfId="0" applyFont="1" applyBorder="1" applyNumberFormat="1">
      <alignment horizontal="right" vertical="center" wrapText="1"/>
    </xf>
    <xf numFmtId="164" fontId="23" fillId="39" borderId="14" xfId="0" applyFont="1" applyFill="1" applyBorder="1" applyNumberFormat="1">
      <alignment horizontal="right" vertical="center" wrapText="1"/>
      <protection locked="0"/>
    </xf>
    <xf numFmtId="167" fontId="0" fillId="42" borderId="14" xfId="0" applyFont="1" applyFill="1" applyBorder="1" applyNumberFormat="1">
      <alignment horizontal="center" vertical="center" wrapText="1"/>
      <protection locked="0"/>
    </xf>
    <xf numFmtId="0" fontId="53" fillId="0" borderId="19" xfId="0" applyFont="1" applyBorder="1" applyNumberFormat="1">
      <alignment horizontal="left" vertical="top" wrapText="1"/>
    </xf>
    <xf numFmtId="49" fontId="23" fillId="0" borderId="14" xfId="0" applyFont="1" applyBorder="1" applyNumberFormat="1">
      <alignment horizontal="left" vertical="center" wrapText="1"/>
    </xf>
    <xf numFmtId="4" fontId="55" fillId="0" borderId="14" xfId="0" applyFont="1" applyBorder="1" applyNumberFormat="1">
      <alignment horizontal="center" vertical="center" wrapText="1"/>
    </xf>
    <xf numFmtId="49" fontId="0" fillId="42" borderId="14" xfId="0" applyFont="1" applyFill="1" applyBorder="1" applyNumberFormat="1">
      <alignment horizontal="center" vertical="center" wrapText="1"/>
      <protection locked="0"/>
    </xf>
    <xf numFmtId="0" fontId="53" fillId="0" borderId="38" xfId="0" applyFont="1" applyBorder="1" applyNumberFormat="1">
      <alignment horizontal="left" vertical="top"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6"/>
    </xf>
    <xf numFmtId="49" fontId="23" fillId="40" borderId="15" xfId="0" applyFont="1" applyFill="1" applyBorder="1" applyNumberFormat="1">
      <alignment horizontal="center" vertical="center" wrapText="1"/>
    </xf>
    <xf numFmtId="0" fontId="53" fillId="0" borderId="25" xfId="0" applyFont="1" applyBorder="1" applyNumberFormat="1">
      <alignment horizontal="left" vertical="top" wrapText="1"/>
    </xf>
    <xf numFmtId="49" fontId="48" fillId="40" borderId="17" xfId="0" applyFont="1" applyFill="1" applyBorder="1" applyNumberFormat="1">
      <alignment horizontal="left" vertical="center" indent="5"/>
    </xf>
    <xf numFmtId="49" fontId="0" fillId="40" borderId="17" xfId="0" applyFont="1" applyFill="1" applyBorder="1" applyNumberFormat="1">
      <alignment horizontal="center" vertical="center" wrapText="1"/>
    </xf>
    <xf numFmtId="49" fontId="0" fillId="40" borderId="15" xfId="0" applyFont="1" applyFill="1" applyBorder="1" applyNumberFormat="1">
      <alignment horizontal="center" vertical="center" wrapText="1"/>
    </xf>
    <xf numFmtId="49" fontId="47" fillId="0" borderId="0" xfId="0" applyFont="1" applyNumberFormat="1">
      <alignment vertical="top"/>
    </xf>
    <xf numFmtId="49" fontId="48" fillId="40" borderId="17" xfId="0" applyFont="1" applyFill="1" applyBorder="1" applyNumberFormat="1">
      <alignment horizontal="left" vertical="center" indent="4"/>
    </xf>
    <xf numFmtId="0" fontId="55" fillId="0" borderId="0" xfId="0" applyFont="1" applyNumberFormat="1">
      <alignmen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49" fontId="23" fillId="0" borderId="0" xfId="0" applyFont="1" applyNumberFormat="1">
      <alignment vertical="center" wrapText="1"/>
    </xf>
    <xf numFmtId="4" fontId="54" fillId="0" borderId="14" xfId="0" applyFont="1" applyBorder="1" applyNumberFormat="1">
      <alignment horizontal="right" vertical="center" wrapText="1"/>
    </xf>
    <xf numFmtId="164" fontId="54" fillId="0" borderId="14" xfId="0" applyFont="1" applyBorder="1" applyNumberFormat="1">
      <alignment horizontal="right" vertical="center" wrapText="1"/>
    </xf>
    <xf numFmtId="167"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54"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54" fillId="0" borderId="14" xfId="0" applyFont="1" applyBorder="1" applyNumberFormat="1">
      <alignment vertical="center" wrapText="1"/>
    </xf>
    <xf numFmtId="0" fontId="74" fillId="0" borderId="0" xfId="0" applyFont="1" applyNumberFormat="1">
      <alignment vertical="center" wrapText="1"/>
    </xf>
    <xf numFmtId="0" fontId="54" fillId="0" borderId="0" xfId="0" applyFont="1" applyNumberFormat="1">
      <alignment horizontal="left" vertical="center" wrapText="1"/>
    </xf>
    <xf numFmtId="0" fontId="47" fillId="37" borderId="0" xfId="0" applyFont="1" applyFill="1" applyNumberFormat="1">
      <alignment vertical="center" wrapText="1"/>
    </xf>
    <xf numFmtId="0" fontId="23" fillId="37" borderId="0" xfId="0" applyFont="1" applyFill="1" applyNumberFormat="1">
      <alignment horizontal="left" vertical="center" wrapText="1"/>
    </xf>
    <xf numFmtId="0" fontId="23" fillId="37" borderId="0" xfId="0" applyFont="1" applyFill="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0" fillId="0" borderId="0" xfId="0" applyFont="1" applyNumberFormat="1">
      <alignment vertical="center"/>
    </xf>
    <xf numFmtId="0" fontId="54" fillId="0" borderId="0" xfId="0" applyFont="1" applyNumberFormat="1">
      <alignment vertical="center"/>
    </xf>
    <xf numFmtId="0" fontId="54" fillId="0" borderId="0" xfId="0" applyFont="1" applyNumberFormat="1">
      <alignment horizontal="center" vertical="center"/>
    </xf>
    <xf numFmtId="0" fontId="0" fillId="37" borderId="14" xfId="0" applyFont="1" applyFill="1" applyBorder="1" applyNumberFormat="1">
      <alignment horizontal="right" vertical="center" wrapText="1" indent="1"/>
    </xf>
    <xf numFmtId="0" fontId="0" fillId="0" borderId="17" xfId="0" applyFont="1" applyBorder="1" applyNumberFormat="1">
      <alignment vertical="center"/>
    </xf>
    <xf numFmtId="0" fontId="23" fillId="38" borderId="14" xfId="0" applyFont="1" applyFill="1" applyBorder="1" applyNumberFormat="1">
      <alignment horizontal="left" vertical="center" wrapText="1" indent="1"/>
    </xf>
    <xf numFmtId="0" fontId="23" fillId="0" borderId="0" xfId="0" applyFont="1" applyNumberFormat="1">
      <alignment vertical="center" wrapText="1"/>
    </xf>
    <xf numFmtId="0" fontId="73" fillId="0" borderId="0" xfId="0" applyFont="1" applyNumberFormat="1">
      <alignment vertical="center"/>
    </xf>
    <xf numFmtId="0" fontId="55" fillId="0" borderId="0" xfId="0" applyFont="1" applyNumberFormat="1">
      <alignment vertical="center"/>
    </xf>
    <xf numFmtId="167" fontId="23" fillId="38" borderId="14" xfId="0" applyFont="1" applyFill="1" applyBorder="1" applyNumberFormat="1">
      <alignment horizontal="left" vertical="center" wrapText="1" indent="1"/>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wrapText="1"/>
    </xf>
    <xf numFmtId="0" fontId="23" fillId="37" borderId="29" xfId="0" applyFont="1" applyFill="1" applyBorder="1" applyNumberFormat="1">
      <alignment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19" xfId="0" applyFont="1" applyBorder="1" applyNumberFormat="1">
      <alignmen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0" fontId="23" fillId="0" borderId="38" xfId="0" applyFont="1" applyBorder="1" applyNumberFormat="1">
      <alignment vertical="center" wrapText="1"/>
    </xf>
    <xf numFmtId="0" fontId="23" fillId="0" borderId="19" xfId="0" applyFont="1" applyBorder="1" applyNumberFormat="1">
      <alignment horizontal="center" vertical="center" wrapText="1"/>
    </xf>
    <xf numFmtId="0" fontId="54"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7" xfId="0" applyFont="1" applyBorder="1" applyNumberFormat="1">
      <alignment horizontal="center" vertical="center" wrapText="1"/>
    </xf>
    <xf numFmtId="0" fontId="23" fillId="37" borderId="38" xfId="0" applyFont="1" applyFill="1" applyBorder="1" applyNumberFormat="1">
      <alignment horizontal="center" vertical="center" wrapText="1"/>
    </xf>
    <xf numFmtId="49" fontId="48" fillId="40" borderId="38" xfId="0" applyFont="1" applyFill="1" applyBorder="1" applyNumberFormat="1">
      <alignment horizontal="center" vertical="center" textRotation="90" wrapText="1"/>
    </xf>
    <xf numFmtId="0" fontId="54" fillId="0" borderId="0" xfId="0" applyFont="1" applyNumberFormat="1">
      <alignment vertical="center"/>
    </xf>
    <xf numFmtId="0" fontId="23" fillId="0" borderId="25" xfId="0" applyFont="1" applyBorder="1" applyNumberFormat="1">
      <alignment vertical="center" wrapText="1"/>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8" fillId="40" borderId="25" xfId="0" applyFont="1" applyFill="1" applyBorder="1" applyNumberFormat="1">
      <alignment horizontal="center" vertical="center" textRotation="90" wrapText="1"/>
    </xf>
    <xf numFmtId="49" fontId="77" fillId="0" borderId="0" xfId="0" applyFont="1" applyNumberFormat="1">
      <alignment vertical="center" wrapText="1"/>
    </xf>
    <xf numFmtId="0" fontId="111" fillId="37" borderId="0" xfId="0" applyFont="1" applyFill="1" applyNumberFormat="1">
      <alignment vertical="center" wrapText="1"/>
    </xf>
    <xf numFmtId="0" fontId="112" fillId="37" borderId="0" xfId="0" applyFont="1" applyFill="1" applyNumberFormat="1">
      <alignment vertical="center" wrapText="1"/>
    </xf>
    <xf numFmtId="49" fontId="85" fillId="37" borderId="21" xfId="0" applyFont="1" applyFill="1" applyBorder="1" applyNumberFormat="1">
      <alignment horizontal="left" vertical="center" wrapText="1"/>
    </xf>
    <xf numFmtId="49" fontId="85" fillId="37" borderId="21" xfId="0" applyFont="1" applyFill="1" applyBorder="1" applyNumberFormat="1">
      <alignment horizontal="center" vertical="center" wrapText="1"/>
    </xf>
    <xf numFmtId="0" fontId="5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167" fontId="0" fillId="42" borderId="19" xfId="0" applyFont="1" applyFill="1" applyBorder="1" applyNumberFormat="1">
      <alignment horizontal="center" vertical="center" wrapText="1"/>
      <protection locked="0"/>
    </xf>
    <xf numFmtId="4" fontId="23" fillId="0" borderId="19" xfId="0" applyFont="1" applyBorder="1" applyNumberFormat="1">
      <alignment horizontal="right" vertical="center" wrapText="1"/>
    </xf>
    <xf numFmtId="49" fontId="23" fillId="0" borderId="14" xfId="0" applyFont="1" applyBorder="1" applyNumberFormat="1">
      <alignment horizontal="left" vertical="center" wrapText="1"/>
    </xf>
    <xf numFmtId="49" fontId="0" fillId="42" borderId="25" xfId="0" applyFont="1" applyFill="1" applyBorder="1" applyNumberFormat="1">
      <alignment horizontal="center" vertical="center" wrapText="1"/>
      <protection locked="0"/>
    </xf>
    <xf numFmtId="4" fontId="23" fillId="0" borderId="25" xfId="0" applyFont="1" applyBorder="1" applyNumberFormat="1">
      <alignment horizontal="righ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49" fontId="55" fillId="0" borderId="0" xfId="0" applyFont="1" applyNumberFormat="1">
      <alignment vertical="top"/>
    </xf>
    <xf numFmtId="49" fontId="112" fillId="0" borderId="0" xfId="0" applyFont="1" applyNumberFormat="1">
      <alignment vertical="top"/>
    </xf>
    <xf numFmtId="0" fontId="23" fillId="0" borderId="0" xfId="0" applyFont="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wrapText="1"/>
    </xf>
    <xf numFmtId="49" fontId="23" fillId="0" borderId="0" xfId="0" applyFont="1" applyNumberFormat="1">
      <alignment vertical="center" wrapText="1"/>
    </xf>
    <xf numFmtId="0" fontId="47" fillId="0" borderId="0" xfId="0" applyFont="1" applyNumberFormat="1">
      <alignment vertical="center" wrapText="1"/>
    </xf>
    <xf numFmtId="0" fontId="23" fillId="0" borderId="0" xfId="0" applyFont="1" applyNumberFormat="1">
      <alignment horizontal="lef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0" borderId="14" xfId="0" applyFont="1" applyBorder="1" applyNumberFormat="1">
      <alignment horizontal="center" vertical="center"/>
    </xf>
    <xf numFmtId="0" fontId="23" fillId="0" borderId="0" xfId="0" applyFont="1" applyNumberFormat="1">
      <alignment horizontal="center" vertical="center"/>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0" fontId="23" fillId="37" borderId="14" xfId="0" applyFont="1" applyFill="1" applyBorder="1" applyNumberFormat="1">
      <alignment horizontal="left" vertical="center" wrapText="1" indent="1"/>
    </xf>
    <xf numFmtId="0" fontId="23"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vertical="center" wrapText="1"/>
    </xf>
    <xf numFmtId="49" fontId="23" fillId="0" borderId="14" xfId="0" applyFont="1" applyBorder="1" applyNumberFormat="1">
      <alignment horizontal="left" vertical="center" wrapText="1"/>
    </xf>
    <xf numFmtId="0" fontId="55" fillId="0" borderId="0" xfId="0" applyFont="1" applyNumberFormat="1">
      <alignment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77" fillId="0" borderId="0" xfId="0" applyFont="1" applyNumberFormat="1">
      <alignment horizontal="left" vertical="center" wrapText="1"/>
    </xf>
    <xf numFmtId="0" fontId="77" fillId="0" borderId="0" xfId="0" applyFont="1" applyNumberFormat="1">
      <alignment vertical="center" wrapText="1"/>
    </xf>
    <xf numFmtId="0" fontId="55" fillId="0" borderId="0" xfId="0" applyFont="1" applyNumberFormat="1">
      <alignment vertical="center"/>
    </xf>
    <xf numFmtId="49" fontId="77" fillId="0" borderId="0" xfId="0" applyFont="1" applyNumberFormat="1">
      <alignment horizontal="left" vertical="center"/>
    </xf>
    <xf numFmtId="0" fontId="23" fillId="0" borderId="0" xfId="0" applyFont="1" applyNumberFormat="1">
      <alignment horizontal="center" vertical="center" wrapText="1"/>
    </xf>
    <xf numFmtId="49" fontId="23" fillId="0" borderId="0" xfId="0" applyFont="1" applyNumberFormat="1">
      <alignment vertical="center" wrapText="1"/>
    </xf>
    <xf numFmtId="49" fontId="23" fillId="0" borderId="14" xfId="0" applyFont="1" applyBorder="1" applyNumberFormat="1">
      <alignment vertical="center" wrapText="1"/>
    </xf>
    <xf numFmtId="0" fontId="23" fillId="0" borderId="0" xfId="0" applyFont="1" applyNumberFormat="1">
      <alignment vertical="center"/>
    </xf>
    <xf numFmtId="0" fontId="23" fillId="0" borderId="0" xfId="0" applyFont="1" applyNumberFormat="1">
      <alignment horizontal="center" vertical="center"/>
    </xf>
    <xf numFmtId="0" fontId="23" fillId="0" borderId="0" xfId="0" applyFont="1" applyNumberFormat="1">
      <alignment horizontal="right" vertical="center" wrapText="1"/>
    </xf>
    <xf numFmtId="0" fontId="23" fillId="0" borderId="19" xfId="0" applyFont="1" applyBorder="1" applyNumberFormat="1">
      <alignment vertical="center" wrapText="1"/>
    </xf>
    <xf numFmtId="0" fontId="0" fillId="0" borderId="14" xfId="0" applyFont="1" applyBorder="1" applyNumberFormat="1">
      <alignment horizontal="center" vertical="center" wrapText="1"/>
    </xf>
    <xf numFmtId="0" fontId="77" fillId="0" borderId="0" xfId="0" applyFont="1" applyNumberFormat="1">
      <alignment vertical="center" wrapText="1"/>
    </xf>
    <xf numFmtId="0" fontId="85" fillId="37" borderId="21" xfId="0" applyFont="1" applyFill="1" applyBorder="1" applyNumberFormat="1">
      <alignment horizontal="center"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23" fillId="0" borderId="0" xfId="0" applyFont="1" applyNumberFormat="1">
      <alignment horizontal="left" vertical="center" indent="1"/>
    </xf>
    <xf numFmtId="49" fontId="23" fillId="0" borderId="0" xfId="0" applyFont="1" applyNumberFormat="1">
      <alignment horizontal="left" vertical="center"/>
    </xf>
    <xf numFmtId="164" fontId="23" fillId="0" borderId="14" xfId="0" applyFont="1" applyBorder="1" applyNumberFormat="1">
      <alignment horizontal="right" vertical="center" wrapText="1"/>
    </xf>
    <xf numFmtId="0" fontId="0" fillId="37" borderId="21" xfId="0" applyFont="1" applyFill="1" applyBorder="1" applyNumberFormat="1">
      <alignment horizontal="center" vertical="center" wrapText="1"/>
    </xf>
    <xf numFmtId="0" fontId="55"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55" fillId="0" borderId="14" xfId="0" applyFont="1" applyBorder="1" applyNumberFormat="1">
      <alignment vertical="center" wrapText="1"/>
    </xf>
    <xf numFmtId="0" fontId="23" fillId="0" borderId="0" xfId="0" applyFont="1" applyNumberFormat="1">
      <alignment vertical="center"/>
    </xf>
    <xf numFmtId="0" fontId="55" fillId="0" borderId="25" xfId="0" applyFont="1" applyBorder="1" applyNumberFormat="1">
      <alignment horizontal="center" vertical="center" wrapText="1"/>
    </xf>
    <xf numFmtId="0" fontId="23" fillId="0" borderId="32" xfId="0" applyFont="1" applyBorder="1" applyNumberFormat="1">
      <alignment horizontal="center" vertical="center" wrapText="1"/>
    </xf>
    <xf numFmtId="0" fontId="55"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0" xfId="0" applyFont="1" applyFill="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9" fontId="55" fillId="0" borderId="0" xfId="0" applyFont="1" applyNumberFormat="1">
      <alignment vertical="center" wrapText="1"/>
    </xf>
    <xf numFmtId="0" fontId="0" fillId="0" borderId="0" xfId="0" applyFont="1" applyNumberFormat="1">
      <alignment horizontal="left" vertical="top" wrapText="1"/>
    </xf>
    <xf numFmtId="0" fontId="54" fillId="0" borderId="0" xfId="0" applyFont="1" applyNumberFormat="1">
      <alignment vertical="top" wrapText="1"/>
    </xf>
    <xf numFmtId="0" fontId="23" fillId="0" borderId="21" xfId="0" applyFont="1" applyBorder="1" applyNumberFormat="1">
      <alignment horizontal="left" vertical="center" wrapText="1" indent="1"/>
    </xf>
    <xf numFmtId="0" fontId="23" fillId="0" borderId="0" xfId="0" applyFont="1" applyNumberFormat="1">
      <alignment horizontal="left" vertical="center" wrapText="1"/>
    </xf>
    <xf numFmtId="0" fontId="23" fillId="43" borderId="22" xfId="0" applyFont="1" applyFill="1" applyBorder="1" applyNumberFormat="1">
      <alignment horizontal="left" vertical="center" wrapText="1"/>
    </xf>
    <xf numFmtId="0" fontId="23" fillId="0" borderId="0" xfId="0" applyFont="1" applyNumberFormat="1">
      <alignment horizontal="center" vertical="center" wrapText="1"/>
    </xf>
    <xf numFmtId="164" fontId="23" fillId="39" borderId="16" xfId="0" applyFont="1" applyFill="1" applyBorder="1" applyNumberFormat="1">
      <alignment horizontal="right" vertical="center" wrapText="1"/>
      <protection locked="0"/>
    </xf>
    <xf numFmtId="4" fontId="23" fillId="39" borderId="15" xfId="0" applyFont="1" applyFill="1" applyBorder="1" applyNumberFormat="1">
      <alignment horizontal="right" vertical="center" wrapText="1"/>
      <protection locked="0"/>
    </xf>
    <xf numFmtId="0" fontId="53" fillId="0" borderId="19" xfId="0" applyFont="1" applyBorder="1" applyNumberFormat="1">
      <alignment vertical="top" wrapText="1"/>
    </xf>
    <xf numFmtId="0" fontId="23" fillId="39" borderId="14" xfId="0" applyFont="1" applyFill="1" applyBorder="1" applyNumberFormat="1">
      <alignment horizontal="left" vertical="center" wrapText="1" indent="7"/>
      <protection locked="0"/>
    </xf>
    <xf numFmtId="49" fontId="0" fillId="42" borderId="14" xfId="0" applyFont="1" applyFill="1" applyBorder="1" applyNumberFormat="1">
      <alignment horizontal="center" vertical="center" wrapText="1"/>
      <protection locked="0"/>
    </xf>
    <xf numFmtId="4" fontId="55" fillId="0" borderId="16" xfId="0" applyFont="1" applyBorder="1" applyNumberFormat="1">
      <alignment horizontal="center" vertical="center" wrapText="1"/>
    </xf>
    <xf numFmtId="4" fontId="23" fillId="0" borderId="15" xfId="0" applyFont="1" applyBorder="1" applyNumberFormat="1">
      <alignment horizontal="right" vertical="center" wrapText="1"/>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9" fontId="23" fillId="40" borderId="29"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7"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61" fillId="0" borderId="0" xfId="0" applyFont="1" applyNumberFormat="1">
      <alignment vertical="center" wrapText="1"/>
    </xf>
    <xf numFmtId="0" fontId="55" fillId="0" borderId="14" xfId="0" applyFont="1" applyBorder="1" applyNumberFormat="1">
      <alignment horizontal="left" vertical="center" wrapText="1" indent="5"/>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45"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23" fillId="0" borderId="14" xfId="0" applyFont="1" applyBorder="1" applyNumberFormat="1">
      <alignment horizontal="left" vertical="center" wrapText="1" indent="4"/>
    </xf>
    <xf numFmtId="49" fontId="23" fillId="37" borderId="14" xfId="0" applyFont="1" applyFill="1" applyBorder="1" applyNumberFormat="1">
      <alignment horizontal="center" vertical="center" wrapText="1"/>
    </xf>
    <xf numFmtId="0" fontId="23" fillId="43" borderId="14" xfId="0" applyFont="1" applyFill="1" applyBorder="1" applyNumberFormat="1">
      <alignment horizontal="left" vertical="center" wrapText="1" indent="1"/>
    </xf>
    <xf numFmtId="167"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23" fillId="37" borderId="38" xfId="0" applyFont="1" applyFill="1" applyBorder="1" applyNumberFormat="1">
      <alignment horizontal="left" vertical="center" wrapText="1"/>
    </xf>
    <xf numFmtId="49" fontId="23" fillId="42" borderId="38" xfId="0" applyFont="1" applyFill="1" applyBorder="1" applyNumberFormat="1">
      <alignment horizontal="left" vertical="center" wrapText="1" indent="6"/>
      <protection locked="0"/>
    </xf>
    <xf numFmtId="164" fontId="23" fillId="40" borderId="15" xfId="0" applyFont="1" applyFill="1" applyBorder="1" applyNumberFormat="1">
      <alignment horizontal="right" vertical="center" wrapText="1"/>
    </xf>
    <xf numFmtId="49" fontId="48" fillId="40" borderId="16" xfId="0" applyFont="1" applyFill="1" applyBorder="1" applyNumberFormat="1">
      <alignment horizontal="left" vertical="center"/>
    </xf>
    <xf numFmtId="164" fontId="23" fillId="40" borderId="17" xfId="0" applyFont="1" applyFill="1" applyBorder="1" applyNumberFormat="1">
      <alignment horizontal="right" vertical="center" wrapText="1"/>
    </xf>
    <xf numFmtId="4" fontId="23" fillId="0" borderId="38" xfId="0" applyFont="1" applyBorder="1" applyNumberFormat="1">
      <alignment horizontal="right" vertical="center" wrapText="1"/>
    </xf>
    <xf numFmtId="49" fontId="48" fillId="40" borderId="16" xfId="0" applyFont="1" applyFill="1" applyBorder="1" applyNumberFormat="1">
      <alignment horizontal="left" vertical="center" indent="1"/>
    </xf>
    <xf numFmtId="0" fontId="23" fillId="37" borderId="25" xfId="0" applyFont="1" applyFill="1" applyBorder="1" applyNumberFormat="1">
      <alignment horizontal="left" vertical="center" wrapText="1"/>
    </xf>
    <xf numFmtId="49" fontId="23" fillId="42" borderId="25" xfId="0" applyFont="1" applyFill="1" applyBorder="1" applyNumberFormat="1">
      <alignment horizontal="left" vertical="center" wrapText="1" indent="6"/>
      <protection locked="0"/>
    </xf>
    <xf numFmtId="4" fontId="55" fillId="40" borderId="15" xfId="0" applyFont="1" applyFill="1" applyBorder="1" applyNumberFormat="1">
      <alignment horizontal="center"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55" fillId="0" borderId="26" xfId="0" applyFont="1" applyBorder="1" applyNumberFormat="1">
      <alignment vertical="top"/>
    </xf>
    <xf numFmtId="0" fontId="116" fillId="0" borderId="0" xfId="0" applyFont="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26" xfId="0" applyFont="1" applyBorder="1" applyNumberFormat="1">
      <alignment horizontal="left" vertical="center" wrapText="1" indent="1"/>
    </xf>
    <xf numFmtId="4" fontId="55" fillId="0" borderId="14" xfId="0" applyFont="1" applyBorder="1" applyNumberFormat="1">
      <alignment horizontal="right" vertical="center" wrapText="1"/>
    </xf>
    <xf numFmtId="164" fontId="55" fillId="0" borderId="14" xfId="0" applyFont="1" applyBorder="1" applyNumberFormat="1">
      <alignment horizontal="right" vertical="center" wrapText="1"/>
    </xf>
    <xf numFmtId="167"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left" vertical="center"/>
    </xf>
    <xf numFmtId="49" fontId="54" fillId="0" borderId="0" xfId="0" applyFont="1" applyNumberFormat="1">
      <alignment horizontal="left" vertical="center"/>
    </xf>
    <xf numFmtId="0" fontId="54" fillId="0" borderId="0" xfId="0" applyFont="1" applyNumberFormat="1">
      <alignment horizontal="left" vertical="center"/>
    </xf>
    <xf numFmtId="0" fontId="74" fillId="0" borderId="0" xfId="0" applyFont="1" applyNumberFormat="1">
      <alignment horizontal="left" vertical="center"/>
    </xf>
    <xf numFmtId="0" fontId="55" fillId="0" borderId="0" xfId="0" applyFont="1" applyNumberFormat="1">
      <alignment horizontal="left" vertical="center"/>
    </xf>
    <xf numFmtId="0" fontId="74" fillId="37" borderId="0" xfId="0" applyFont="1" applyFill="1" applyNumberFormat="1">
      <alignment vertical="center" wrapText="1"/>
    </xf>
    <xf numFmtId="0" fontId="23" fillId="37" borderId="3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23" fillId="37" borderId="24"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26"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23" fillId="0" borderId="14" xfId="0" applyFont="1" applyBorder="1" applyNumberFormat="1">
      <alignment horizontal="left" vertical="center" wrapText="1" indent="1"/>
    </xf>
    <xf numFmtId="0" fontId="23" fillId="0" borderId="14" xfId="0" applyFont="1" applyBorder="1" applyNumberFormat="1">
      <alignment horizontal="left" vertical="center" wrapText="1" indent="1"/>
    </xf>
    <xf numFmtId="49" fontId="23" fillId="40" borderId="16" xfId="0" applyFont="1" applyFill="1" applyBorder="1" applyNumberFormat="1">
      <alignment horizontal="center" vertical="center" wrapText="1"/>
    </xf>
    <xf numFmtId="49" fontId="77" fillId="0" borderId="26" xfId="0" applyFont="1" applyBorder="1" applyNumberFormat="1">
      <alignment vertical="top"/>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pplyNumberFormat="1">
      <alignment horizontal="left" vertical="top" wrapText="1"/>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49" fontId="48" fillId="40" borderId="17" xfId="0" applyFont="1" applyFill="1" applyBorder="1" applyNumberFormat="1">
      <alignment horizontal="left" vertical="center" indent="3"/>
    </xf>
    <xf numFmtId="0" fontId="55" fillId="0" borderId="0" xfId="0" applyFont="1" applyNumberFormat="1">
      <alignment horizontal="center" vertical="center"/>
    </xf>
    <xf numFmtId="0" fontId="54" fillId="0" borderId="0" xfId="0" applyFont="1" applyNumberFormat="1">
      <alignment horizontal="center" vertical="center" wrapText="1"/>
    </xf>
    <xf numFmtId="0" fontId="115" fillId="0" borderId="0" xfId="0" applyFont="1" applyNumberFormat="1">
      <alignment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49" fontId="23" fillId="0" borderId="0" xfId="0" applyFont="1" applyNumberFormat="1">
      <alignment vertical="center" wrapText="1"/>
    </xf>
    <xf numFmtId="0" fontId="23" fillId="38" borderId="17" xfId="0" applyFont="1" applyFill="1" applyBorder="1" applyNumberFormat="1">
      <alignment horizontal="left" vertical="center" wrapText="1"/>
    </xf>
    <xf numFmtId="0" fontId="54" fillId="0" borderId="0" xfId="0" applyFont="1" applyNumberFormat="1">
      <alignment horizontal="center" vertical="center" wrapText="1"/>
    </xf>
    <xf numFmtId="0" fontId="55" fillId="0" borderId="17" xfId="0" applyFont="1" applyBorder="1" applyNumberFormat="1">
      <alignment horizontal="left" vertical="center" wrapText="1"/>
    </xf>
    <xf numFmtId="49" fontId="23" fillId="43" borderId="14" xfId="0" applyFont="1" applyFill="1" applyBorder="1" applyNumberFormat="1">
      <alignment horizontal="center" vertical="center" wrapText="1"/>
    </xf>
    <xf numFmtId="167" fontId="0" fillId="42" borderId="14" xfId="0" applyFont="1" applyFill="1" applyBorder="1" applyNumberFormat="1">
      <alignment horizontal="center" vertical="center" wrapText="1"/>
      <protection locked="0"/>
    </xf>
    <xf numFmtId="49" fontId="23" fillId="43" borderId="17"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45" fillId="0" borderId="29" xfId="0" applyFont="1" applyBorder="1" applyNumberFormat="1">
      <alignment horizontal="center" vertical="center" wrapText="1"/>
    </xf>
    <xf numFmtId="0" fontId="23" fillId="42" borderId="15"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0" fontId="55" fillId="0" borderId="0" xfId="0" applyFont="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23" fillId="39" borderId="38" xfId="0" applyFont="1" applyFill="1" applyBorder="1" applyNumberFormat="1">
      <alignment horizontal="left" vertical="center" wrapText="1" indent="6"/>
      <protection locked="0"/>
    </xf>
    <xf numFmtId="49" fontId="23" fillId="43" borderId="31" xfId="0" applyFont="1" applyFill="1" applyBorder="1" applyNumberFormat="1">
      <alignment horizontal="center" vertical="center" wrapText="1"/>
    </xf>
    <xf numFmtId="49" fontId="48" fillId="40" borderId="29" xfId="0" applyFont="1" applyFill="1" applyBorder="1" applyNumberFormat="1">
      <alignment horizontal="left" vertical="center"/>
    </xf>
    <xf numFmtId="49" fontId="23" fillId="39" borderId="25" xfId="0" applyFont="1" applyFill="1" applyBorder="1" applyNumberFormat="1">
      <alignment horizontal="left" vertical="center" wrapText="1" indent="6"/>
      <protection locked="0"/>
    </xf>
    <xf numFmtId="0" fontId="55" fillId="0" borderId="0" xfId="0" applyFont="1" applyNumberFormat="1">
      <alignment horizontal="center" vertical="center"/>
    </xf>
    <xf numFmtId="0" fontId="55" fillId="0" borderId="0" xfId="0" applyFont="1" applyNumberFormat="1">
      <alignment horizontal="left" vertical="center" wrapText="1" indent="1"/>
    </xf>
    <xf numFmtId="0" fontId="23" fillId="37" borderId="14" xfId="0" applyFont="1" applyFill="1" applyBorder="1" applyNumberFormat="1">
      <alignment horizontal="center" vertical="center" wrapText="1"/>
    </xf>
    <xf numFmtId="0" fontId="55" fillId="0" borderId="21" xfId="0" applyFont="1" applyBorder="1" applyNumberFormat="1">
      <alignment horizontal="left" vertical="center" wrapText="1"/>
    </xf>
    <xf numFmtId="0" fontId="23" fillId="0" borderId="0" xfId="0" applyFont="1" applyNumberFormat="1">
      <alignment horizontal="left" vertical="top" wrapText="1"/>
    </xf>
    <xf numFmtId="0" fontId="54" fillId="0" borderId="0" xfId="0" applyFont="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49" fontId="23" fillId="0" borderId="0" xfId="0" applyFont="1" applyNumberFormat="1">
      <alignment vertical="center" wrapText="1"/>
    </xf>
    <xf numFmtId="49" fontId="23" fillId="43"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55" fillId="0" borderId="14"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23"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49" fontId="55"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0" fontId="23" fillId="0" borderId="14" xfId="0" applyFont="1" applyBorder="1" applyNumberFormat="1">
      <alignment horizontal="center" vertical="center" wrapText="1"/>
    </xf>
    <xf numFmtId="0" fontId="23" fillId="0" borderId="14" xfId="0" applyFont="1" applyBorder="1" applyNumberFormat="1">
      <alignment vertical="center" wrapText="1"/>
    </xf>
    <xf numFmtId="0" fontId="89" fillId="0" borderId="0" xfId="0" applyFont="1" applyNumberFormat="1">
      <alignment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4" fontId="23" fillId="39" borderId="14" xfId="0" applyFont="1" applyFill="1" applyBorder="1" applyNumberFormat="1">
      <alignment horizontal="right" vertical="center" wrapText="1"/>
      <protection locked="0"/>
    </xf>
    <xf numFmtId="0" fontId="23" fillId="39" borderId="14" xfId="0" applyFont="1" applyFill="1" applyBorder="1" applyNumberFormat="1">
      <alignment horizontal="left" vertical="center" wrapText="1"/>
      <protection locked="0"/>
    </xf>
    <xf numFmtId="49" fontId="96" fillId="0" borderId="0" xfId="0" applyFont="1" applyNumberFormat="1">
      <alignment horizontal="center" vertical="center" wrapText="1"/>
    </xf>
    <xf numFmtId="49" fontId="23" fillId="0" borderId="0" xfId="0" applyFont="1" applyNumberFormat="1">
      <alignment horizontal="center" vertical="top" wrapText="1"/>
    </xf>
    <xf numFmtId="0" fontId="23" fillId="0" borderId="14" xfId="0" applyFont="1" applyBorder="1" applyNumberFormat="1">
      <alignment horizontal="center" vertical="center" wrapText="1"/>
    </xf>
    <xf numFmtId="0" fontId="23" fillId="0" borderId="15" xfId="0" applyFont="1" applyBorder="1" applyNumberFormat="1">
      <alignment vertical="top" wrapText="1"/>
    </xf>
    <xf numFmtId="0" fontId="59" fillId="0" borderId="0" xfId="0" applyFont="1" applyNumberFormat="1">
      <alignment vertical="center" wrapText="1"/>
    </xf>
    <xf numFmtId="0" fontId="23" fillId="0" borderId="15" xfId="0" applyFont="1" applyBorder="1" applyNumberFormat="1">
      <alignment horizontal="center" vertical="center" wrapText="1"/>
    </xf>
    <xf numFmtId="166" fontId="23" fillId="39" borderId="14" xfId="0" applyFont="1" applyFill="1" applyBorder="1" applyNumberFormat="1">
      <alignment horizontal="right" vertical="center" wrapText="1"/>
      <protection locked="0"/>
    </xf>
    <xf numFmtId="0" fontId="23" fillId="0" borderId="22" xfId="0" applyFont="1" applyBorder="1" applyNumberFormat="1">
      <alignment vertical="center" wrapText="1"/>
    </xf>
    <xf numFmtId="0" fontId="40" fillId="0" borderId="0" xfId="0" applyFont="1" applyNumberFormat="1">
      <alignment vertical="center" wrapText="1"/>
    </xf>
    <xf numFmtId="0" fontId="22" fillId="0" borderId="0" xfId="0" applyFont="1" applyNumberFormat="1">
      <alignment vertical="center" wrapText="1"/>
    </xf>
    <xf numFmtId="0" fontId="23" fillId="0" borderId="0" xfId="0" applyFont="1" applyNumberFormat="1">
      <alignment horizontal="left" vertical="center" wrapText="1" indent="3"/>
    </xf>
    <xf numFmtId="0" fontId="102" fillId="37" borderId="0" xfId="0" applyFont="1" applyFill="1" applyNumberFormat="1">
      <alignment horizontal="right" vertical="center"/>
    </xf>
    <xf numFmtId="0" fontId="23" fillId="0" borderId="16" xfId="0" applyFont="1" applyBorder="1" applyNumberFormat="1">
      <alignment vertical="center"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38" borderId="16" xfId="0" applyFont="1" applyFill="1" applyBorder="1" applyNumberFormat="1">
      <alignment horizontal="left" vertical="top" wrapTex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0" fontId="23" fillId="0" borderId="14" xfId="0" applyFont="1" applyBorder="1" applyNumberFormat="1">
      <alignment horizontal="center" vertical="center" wrapText="1"/>
    </xf>
    <xf numFmtId="4" fontId="23" fillId="42" borderId="14" xfId="0" applyFont="1" applyFill="1" applyBorder="1" applyNumberFormat="1">
      <alignment horizontal="right" vertical="center" wrapText="1"/>
      <protection locked="0"/>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center" wrapText="1" inden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77" fillId="0" borderId="0" xfId="0" applyFont="1" applyNumberFormat="1">
      <alignment horizontal="center" vertical="center" wrapText="1"/>
    </xf>
    <xf numFmtId="49" fontId="77" fillId="0" borderId="30" xfId="0" applyFont="1" applyBorder="1" applyNumberFormat="1">
      <alignment horizontal="center" vertical="center" wrapText="1"/>
    </xf>
    <xf numFmtId="0" fontId="77" fillId="0" borderId="14" xfId="0" applyFont="1" applyBorder="1" applyNumberFormat="1">
      <alignment horizontal="left" vertical="center" wrapText="1" indent="2"/>
    </xf>
    <xf numFmtId="0" fontId="77" fillId="0" borderId="14" xfId="0" applyFont="1" applyBorder="1" applyNumberFormat="1">
      <alignment horizontal="center" vertical="center" wrapText="1"/>
    </xf>
    <xf numFmtId="0" fontId="77" fillId="0" borderId="14" xfId="0" applyFont="1" applyBorder="1" applyNumberFormat="1">
      <alignment vertical="center" wrapText="1"/>
    </xf>
    <xf numFmtId="0" fontId="90" fillId="0" borderId="0" xfId="0" applyFont="1" applyNumberFormat="1">
      <alignment vertical="center" wrapText="1"/>
    </xf>
    <xf numFmtId="0" fontId="68" fillId="0" borderId="0" xfId="0" applyFont="1" applyNumberFormat="1">
      <alignment vertical="center" wrapText="1"/>
    </xf>
    <xf numFmtId="0" fontId="77" fillId="0" borderId="30" xfId="0" applyFont="1" applyBorder="1" applyNumberFormat="1">
      <alignment horizontal="center" vertical="center" wrapText="1"/>
    </xf>
    <xf numFmtId="0" fontId="77" fillId="0" borderId="14" xfId="0" applyFont="1" applyBorder="1" applyNumberFormat="1">
      <alignment horizontal="left" vertical="center" wrapText="1" indent="3"/>
    </xf>
    <xf numFmtId="4" fontId="77" fillId="0" borderId="14" xfId="0" applyFont="1" applyBorder="1" applyNumberFormat="1">
      <alignment horizontal="right" vertical="center" wrapText="1"/>
    </xf>
    <xf numFmtId="0" fontId="45" fillId="0" borderId="0" xfId="0" applyFont="1" applyNumberFormat="1">
      <alignment horizontal="center" vertical="center" wrapText="1"/>
    </xf>
    <xf numFmtId="49"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23" fillId="0" borderId="14" xfId="0" applyFont="1" applyBorder="1" applyNumberFormat="1">
      <alignment horizontal="left" vertical="center" wrapText="1" indent="2"/>
    </xf>
    <xf numFmtId="14" fontId="23" fillId="0" borderId="0" xfId="0" applyFont="1" applyNumberFormat="1">
      <alignment horizontal="center" vertical="center" wrapText="1"/>
    </xf>
    <xf numFmtId="49" fontId="96" fillId="48" borderId="0" xfId="0" applyFont="1" applyFill="1" applyNumberFormat="1">
      <alignment horizontal="center" vertical="center" wrapText="1"/>
    </xf>
    <xf numFmtId="49" fontId="36" fillId="0" borderId="0" xfId="0" applyFont="1" applyNumberFormat="1">
      <alignment horizontal="center" vertical="center"/>
    </xf>
    <xf numFmtId="166" fontId="23" fillId="42" borderId="14" xfId="0" applyFont="1" applyFill="1" applyBorder="1" applyNumberFormat="1">
      <alignment horizontal="right" vertical="center" wrapText="1"/>
      <protection locked="0"/>
    </xf>
    <xf numFmtId="49" fontId="96" fillId="0" borderId="0" xfId="0" applyFont="1" applyNumberFormat="1">
      <alignment horizontal="left" vertical="center" wrapText="1"/>
    </xf>
    <xf numFmtId="0" fontId="55" fillId="0" borderId="0" xfId="0" applyFont="1" applyNumberFormat="1">
      <alignment horizontal="left" vertical="center" wrapText="1"/>
    </xf>
    <xf numFmtId="49" fontId="23" fillId="0" borderId="0" xfId="0" applyFont="1" applyNumberFormat="1">
      <alignment horizontal="left" vertical="center" wrapText="1"/>
    </xf>
    <xf numFmtId="0" fontId="59" fillId="0" borderId="0" xfId="0" applyFont="1" applyNumberFormat="1">
      <alignment horizontal="left" vertical="center" wrapText="1"/>
    </xf>
    <xf numFmtId="0" fontId="40" fillId="0" borderId="0" xfId="0" applyFont="1" applyNumberFormat="1">
      <alignment horizontal="left" vertical="center" wrapText="1"/>
    </xf>
    <xf numFmtId="49" fontId="23" fillId="43" borderId="14" xfId="0" applyFont="1" applyFill="1" applyBorder="1" applyNumberFormat="1">
      <alignment horizontal="left" vertical="center" wrapText="1"/>
    </xf>
    <xf numFmtId="0" fontId="23" fillId="0" borderId="19" xfId="0" applyFont="1" applyBorder="1" applyNumberFormat="1">
      <alignment horizontal="center" vertical="center" wrapText="1"/>
    </xf>
    <xf numFmtId="4" fontId="23" fillId="38" borderId="19" xfId="0" applyFont="1" applyFill="1" applyBorder="1" applyNumberFormat="1">
      <alignment horizontal="right" vertical="center"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0" fontId="55" fillId="0" borderId="19" xfId="0" applyFont="1" applyBorder="1" applyNumberFormat="1">
      <alignment vertical="top" wrapText="1"/>
    </xf>
    <xf numFmtId="4" fontId="23" fillId="42" borderId="15" xfId="0" applyFont="1" applyFill="1" applyBorder="1" applyNumberFormat="1">
      <alignment horizontal="right" vertical="center" wrapText="1"/>
      <protection locked="0"/>
    </xf>
    <xf numFmtId="49" fontId="34" fillId="39" borderId="15"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0" fontId="54" fillId="0" borderId="0" xfId="0" applyFont="1" applyNumberFormat="1">
      <alignment vertical="center" wrapText="1"/>
    </xf>
    <xf numFmtId="0" fontId="55" fillId="0" borderId="0" xfId="0" applyFont="1" applyNumberFormat="1">
      <alignment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center" wrapText="1"/>
    </xf>
    <xf numFmtId="166" fontId="23" fillId="42" borderId="15" xfId="0" applyFont="1" applyFill="1" applyBorder="1" applyNumberFormat="1">
      <alignment horizontal="right" vertical="center" wrapText="1"/>
      <protection locked="0"/>
    </xf>
    <xf numFmtId="0" fontId="89"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23" fillId="0" borderId="0" xfId="0" applyFont="1" applyNumberFormat="1">
      <alignment vertical="center" wrapText="1"/>
    </xf>
    <xf numFmtId="166" fontId="23" fillId="38" borderId="15" xfId="0" applyFont="1" applyFill="1" applyBorder="1" applyNumberFormat="1">
      <alignment horizontal="right" vertical="center" wrapText="1"/>
    </xf>
    <xf numFmtId="166" fontId="23" fillId="38" borderId="14" xfId="0" applyFont="1" applyFill="1" applyBorder="1" applyNumberFormat="1">
      <alignment horizontal="right" vertical="center" wrapText="1"/>
    </xf>
    <xf numFmtId="49" fontId="96" fillId="48" borderId="0" xfId="0" applyFont="1" applyFill="1" applyNumberFormat="1">
      <alignment horizontal="center" vertical="center" textRotation="90" wrapText="1"/>
    </xf>
    <xf numFmtId="0" fontId="23" fillId="42" borderId="14" xfId="0" applyFont="1" applyFill="1" applyBorder="1" applyNumberFormat="1">
      <alignment horizontal="center" vertical="center" wrapText="1"/>
      <protection locked="0"/>
    </xf>
    <xf numFmtId="4" fontId="23" fillId="42" borderId="31"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0" fontId="55" fillId="0" borderId="38" xfId="0" applyFont="1" applyBorder="1" applyNumberFormat="1">
      <alignment horizontal="left" vertical="center" wrapText="1" indent="1"/>
    </xf>
    <xf numFmtId="0" fontId="55" fillId="0" borderId="38" xfId="0" applyFont="1" applyBorder="1" applyNumberFormat="1">
      <alignment horizontal="center" vertical="center" wrapText="1"/>
    </xf>
    <xf numFmtId="0" fontId="55" fillId="0" borderId="19" xfId="0" applyFont="1" applyBorder="1" applyNumberFormat="1">
      <alignment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0" borderId="25" xfId="0" applyFont="1" applyBorder="1" applyNumberFormat="1">
      <alignment vertical="top" wrapText="1"/>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22" xfId="0" applyFont="1" applyBorder="1" applyNumberFormat="1">
      <alignment horizontal="center" vertical="center" wrapText="1"/>
    </xf>
    <xf numFmtId="166" fontId="23" fillId="42" borderId="19" xfId="0" applyFont="1" applyFill="1" applyBorder="1" applyNumberFormat="1">
      <alignment horizontal="right" vertical="center" wrapText="1"/>
      <protection locked="0"/>
    </xf>
    <xf numFmtId="0" fontId="55" fillId="0" borderId="25" xfId="0" applyFont="1" applyBorder="1" applyNumberFormat="1">
      <alignment horizontal="left" vertical="center" wrapText="1" indent="1"/>
    </xf>
    <xf numFmtId="0" fontId="55" fillId="0" borderId="19" xfId="0" applyFont="1" applyBorder="1" applyNumberFormat="1">
      <alignment horizontal="center" vertical="center" wrapText="1"/>
    </xf>
    <xf numFmtId="0" fontId="45" fillId="0" borderId="0" xfId="0" applyFont="1" applyNumberForma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55" fillId="0" borderId="19" xfId="0" applyFont="1" applyBorder="1" applyNumberFormat="1">
      <alignment horizontal="left" vertical="center" wrapText="1" indent="1"/>
    </xf>
    <xf numFmtId="49" fontId="34" fillId="39" borderId="14" xfId="0" applyFont="1" applyFill="1" applyBorder="1" applyNumberFormat="1">
      <alignment horizontal="left" vertical="center" wrapText="1"/>
      <protection locked="0"/>
    </xf>
    <xf numFmtId="0" fontId="23" fillId="0" borderId="0" xfId="0" applyFont="1" applyNumberFormat="1">
      <alignment vertical="top" wrapText="1"/>
    </xf>
    <xf numFmtId="0" fontId="23" fillId="0" borderId="0" xfId="0" applyFont="1" applyNumberFormat="1">
      <alignment horizontal="left" vertical="top" wrapText="1"/>
    </xf>
    <xf numFmtId="0" fontId="59" fillId="0" borderId="0" xfId="0" applyFont="1" applyNumberFormat="1">
      <alignment vertical="center"/>
    </xf>
    <xf numFmtId="0" fontId="96" fillId="0" borderId="0" xfId="0" applyFont="1" applyNumberFormat="1">
      <alignment vertical="center" wrapText="1"/>
    </xf>
    <xf numFmtId="0" fontId="23" fillId="0" borderId="21" xfId="0" applyFont="1" applyBorder="1" applyNumberFormat="1">
      <alignment vertical="center" wrapText="1"/>
    </xf>
    <xf numFmtId="0" fontId="23" fillId="0" borderId="0" xfId="0" applyFont="1" applyNumberFormat="1">
      <alignment horizontal="center" vertical="center" wrapText="1"/>
    </xf>
    <xf numFmtId="49" fontId="40" fillId="0" borderId="0" xfId="0" applyFont="1" applyNumberFormat="1">
      <alignment horizontal="center" vertical="center" wrapText="1"/>
    </xf>
    <xf numFmtId="0" fontId="23" fillId="0" borderId="29" xfId="0" applyFont="1" applyBorder="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36" fillId="0" borderId="0" xfId="0" applyFont="1" applyNumberFormat="1">
      <alignment horizontal="center" vertical="center" wrapText="1"/>
    </xf>
    <xf numFmtId="49" fontId="68" fillId="0" borderId="0" xfId="0" applyFont="1" applyNumberFormat="1">
      <alignment horizontal="center" vertical="center" wrapText="1"/>
    </xf>
    <xf numFmtId="0" fontId="77" fillId="0" borderId="0" xfId="0" applyFont="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68" fillId="0" borderId="0" xfId="0" applyFont="1" applyNumberFormat="1">
      <alignment vertical="center" wrapText="1"/>
    </xf>
    <xf numFmtId="0" fontId="76" fillId="0" borderId="0" xfId="0" applyFont="1" applyNumberFormat="1">
      <alignment vertical="center" wrapText="1"/>
    </xf>
    <xf numFmtId="0" fontId="23" fillId="0" borderId="14" xfId="0" applyFont="1" applyBorder="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center" vertical="center" wrapText="1"/>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19" xfId="0" applyFont="1" applyBorder="1" applyNumberFormat="1">
      <alignment horizontal="center" vertical="center" wrapText="1"/>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38" borderId="14" xfId="0" applyFont="1" applyFill="1" applyBorder="1" applyNumberFormat="1">
      <alignment horizontal="left" vertical="center" wrapText="1" indent="1"/>
    </xf>
    <xf numFmtId="0" fontId="23" fillId="0" borderId="15" xfId="0" applyFont="1" applyBorder="1" applyNumberFormat="1">
      <alignment horizontal="left" vertical="center" wrapText="1" indent="1"/>
    </xf>
    <xf numFmtId="49" fontId="55" fillId="0" borderId="24" xfId="0" applyFont="1" applyBorder="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0" fontId="54" fillId="0" borderId="0" xfId="0" applyFont="1" applyNumberFormat="1">
      <alignment horizontal="center"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49" fontId="55"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25" xfId="0" applyFont="1" applyBorder="1" applyNumberFormat="1">
      <alignment horizontal="left" vertical="center" wrapText="1"/>
    </xf>
    <xf numFmtId="2" fontId="23" fillId="0" borderId="25" xfId="0" applyFont="1" applyBorder="1" applyNumberFormat="1">
      <alignment horizontal="center" vertical="center" wrapText="1"/>
    </xf>
    <xf numFmtId="0" fontId="23" fillId="0" borderId="14" xfId="0" applyFont="1" applyBorder="1" applyNumberFormat="1">
      <alignment horizontal="left" vertical="center" wrapText="1"/>
    </xf>
    <xf numFmtId="49" fontId="55" fillId="0" borderId="24" xfId="0" applyFont="1" applyBorder="1" applyNumberFormat="1">
      <alignment vertical="top"/>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24" xfId="0" applyFont="1" applyBorder="1" applyNumberFormat="1">
      <alignmen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23" fillId="0" borderId="25" xfId="0" applyFont="1" applyBorder="1" applyNumberFormat="1">
      <alignment horizontal="left" vertical="center" wrapText="1"/>
    </xf>
    <xf numFmtId="0" fontId="23" fillId="0" borderId="14" xfId="0" applyFont="1" applyBorder="1" applyNumberFormat="1">
      <alignment horizontal="left" vertical="center" wrapText="1"/>
    </xf>
    <xf numFmtId="0" fontId="54" fillId="0" borderId="0" xfId="0" applyFont="1" applyNumberFormat="1">
      <alignment horizontal="center" vertical="top"/>
    </xf>
    <xf numFmtId="0" fontId="55" fillId="0" borderId="0" xfId="0" applyFont="1" applyNumberFormat="1">
      <alignment horizontal="center" vertical="center" wrapText="1"/>
    </xf>
    <xf numFmtId="49" fontId="55" fillId="0" borderId="25" xfId="0" applyFont="1" applyBorder="1" applyNumberFormat="1">
      <alignment horizontal="center" vertical="center" wrapText="1"/>
    </xf>
    <xf numFmtId="49" fontId="48" fillId="0" borderId="21" xfId="0" applyFont="1" applyBorder="1" applyNumberFormat="1">
      <alignment horizontal="right" vertical="center"/>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53" fillId="0" borderId="0" xfId="0" applyFont="1" applyNumberFormat="1">
      <alignment horizontal="left" vertical="top"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55" fillId="0" borderId="16" xfId="0" applyFont="1" applyBorder="1" applyNumberFormat="1">
      <alignment vertical="center" wrapTex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0" fontId="55" fillId="0" borderId="16" xfId="0" applyFont="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14" xfId="0" applyFont="1" applyBorder="1" applyNumberFormat="1">
      <alignment horizontal="left" vertical="center" wrapText="1"/>
    </xf>
    <xf numFmtId="49" fontId="23" fillId="0" borderId="61" xfId="0" applyFont="1" applyBorder="1" applyNumberFormat="1">
      <alignment horizontal="center" vertical="center" wrapText="1"/>
    </xf>
    <xf numFmtId="0" fontId="23"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49" fontId="23" fillId="0" borderId="62" xfId="0" applyFont="1" applyBorder="1" applyNumberFormat="1">
      <alignment horizontal="center" vertical="center" wrapText="1"/>
    </xf>
    <xf numFmtId="0" fontId="23" fillId="0" borderId="15"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9" fontId="48" fillId="40" borderId="21" xfId="0" applyFont="1" applyFill="1" applyBorder="1" applyNumberFormat="1">
      <alignment horizontal="left" vertical="center" indent="2"/>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9" xfId="0" applyFont="1" applyBorder="1" applyNumberFormat="1">
      <alignment horizontal="left" vertical="center" wrapText="1"/>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60" xfId="0" applyFont="1" applyBorder="1" applyNumberFormat="1">
      <alignment horizontal="center" vertical="center" wrapText="1"/>
    </xf>
    <xf numFmtId="0" fontId="23" fillId="0" borderId="19" xfId="0" applyFont="1" applyBorder="1" applyNumberFormat="1">
      <alignment horizontal="left" vertical="center" wrapText="1" indent="1"/>
    </xf>
    <xf numFmtId="0" fontId="23" fillId="0" borderId="19"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left" vertical="center" wrapText="1" inden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55" fillId="0" borderId="29" xfId="0" applyFont="1" applyBorder="1" applyNumberFormat="1">
      <alignment vertical="center" wrapTex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0" xfId="0" applyFont="1" applyNumberFormat="1">
      <alignment horizontal="left" vertical="top"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49" fontId="23" fillId="58" borderId="0" xfId="0" applyFont="1" applyFill="1" applyNumberFormat="1">
      <alignment horizontal="center" vertical="center" textRotation="90"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76" fillId="0" borderId="24" xfId="0" applyFont="1" applyBorder="1" applyNumberFormat="1">
      <alignment vertical="center" wrapText="1"/>
    </xf>
    <xf numFmtId="49"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23" fillId="0" borderId="14" xfId="0" applyFont="1" applyBorder="1" applyNumberFormat="1">
      <alignment horizontal="center" vertical="center" wrapText="1"/>
    </xf>
    <xf numFmtId="49" fontId="23" fillId="39" borderId="14" xfId="0" applyFont="1" applyFill="1" applyBorder="1" applyNumberFormat="1">
      <alignment horizontal="left" vertical="center" wrapText="1"/>
      <protection locked="0"/>
    </xf>
    <xf numFmtId="3"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88" fillId="0" borderId="0" xfId="0" applyFont="1" applyNumberFormat="1">
      <alignment vertical="center" wrapText="1"/>
    </xf>
    <xf numFmtId="0" fontId="23" fillId="0" borderId="14" xfId="0" applyFont="1" applyBorder="1" applyNumberFormat="1">
      <alignment horizontal="left" vertical="center" wrapText="1" indent="2"/>
    </xf>
    <xf numFmtId="3" fontId="53" fillId="39" borderId="14" xfId="0" applyFont="1" applyFill="1" applyBorder="1" applyNumberFormat="1">
      <alignment horizontal="right" vertical="center"/>
      <protection locked="0"/>
    </xf>
    <xf numFmtId="49" fontId="23" fillId="39" borderId="16" xfId="0" applyFont="1" applyFill="1" applyBorder="1" applyNumberFormat="1">
      <alignment horizontal="left" vertical="center" wrapText="1"/>
      <protection locked="0"/>
    </xf>
    <xf numFmtId="0" fontId="23" fillId="0" borderId="0" xfId="0" applyFont="1" applyNumberFormat="1">
      <alignment vertical="top" wrapText="1"/>
    </xf>
    <xf numFmtId="0" fontId="23" fillId="0" borderId="0" xfId="0" applyFont="1" applyNumberFormat="1">
      <alignment vertical="top"/>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9" fontId="34" fillId="0" borderId="14" xfId="0" applyFont="1" applyBorder="1" applyNumberFormat="1">
      <alignment horizontal="left" vertical="center" wrapText="1"/>
    </xf>
    <xf numFmtId="49" fontId="23" fillId="0" borderId="34" xfId="0" applyFont="1" applyBorder="1" applyNumberFormat="1">
      <alignment horizontal="center" vertical="center" wrapText="1"/>
    </xf>
    <xf numFmtId="0" fontId="23" fillId="0" borderId="34"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9" fontId="23" fillId="0" borderId="33" xfId="0" applyFont="1" applyBorder="1" applyNumberFormat="1">
      <alignment horizontal="center" vertical="center" wrapText="1"/>
    </xf>
    <xf numFmtId="0" fontId="23" fillId="0" borderId="35"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0" borderId="19"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0" fontId="23" fillId="0" borderId="35" xfId="0" applyFont="1" applyBorder="1" applyNumberFormat="1">
      <alignment horizontal="left" vertical="center" wrapText="1"/>
    </xf>
    <xf numFmtId="49" fontId="34" fillId="0" borderId="17"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0" borderId="34" xfId="0" applyFont="1" applyBorder="1" applyNumberFormat="1">
      <alignment horizontal="center" vertical="center" wrapText="1"/>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2"/>
    </xf>
    <xf numFmtId="4" fontId="23" fillId="0" borderId="33" xfId="0" applyFont="1" applyBorder="1" applyNumberFormat="1">
      <alignment horizontal="center" vertical="center" wrapText="1"/>
    </xf>
    <xf numFmtId="49" fontId="23" fillId="0" borderId="36" xfId="0" applyFont="1" applyBorder="1" applyNumberFormat="1">
      <alignment horizontal="center" vertical="center" wrapText="1"/>
    </xf>
    <xf numFmtId="49" fontId="34" fillId="42" borderId="14" xfId="0" applyFont="1" applyFill="1" applyBorder="1" applyNumberFormat="1">
      <alignment horizontal="left" vertical="center" wrapText="1"/>
      <protection locked="0"/>
    </xf>
    <xf numFmtId="0" fontId="23" fillId="0" borderId="37" xfId="0" applyFont="1" applyBorder="1" applyNumberFormat="1">
      <alignment horizontal="left" vertical="center" wrapText="1"/>
    </xf>
    <xf numFmtId="4" fontId="23" fillId="0" borderId="37" xfId="0" applyFont="1" applyBorder="1" applyNumberFormat="1">
      <alignment horizontal="center" vertical="center" wrapText="1"/>
    </xf>
    <xf numFmtId="49" fontId="34" fillId="0" borderId="39" xfId="0" applyFont="1" applyBorder="1" applyNumberFormat="1">
      <alignment horizontal="left" vertical="center" wrapText="1"/>
    </xf>
    <xf numFmtId="49" fontId="23" fillId="0" borderId="35"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 fontId="23" fillId="42" borderId="36" xfId="0" applyFont="1" applyFill="1" applyBorder="1" applyNumberFormat="1">
      <alignment horizontal="right" vertical="center" wrapText="1"/>
      <protection locked="0"/>
    </xf>
    <xf numFmtId="49" fontId="34" fillId="42" borderId="16" xfId="0" applyFont="1" applyFill="1" applyBorder="1" applyNumberFormat="1">
      <alignment horizontal="left" vertical="center" wrapText="1"/>
      <protection locked="0"/>
    </xf>
    <xf numFmtId="0" fontId="54" fillId="0" borderId="0" xfId="0" applyFont="1" applyNumberFormat="1">
      <alignment horizontal="center" vertical="center" wrapText="1"/>
    </xf>
    <xf numFmtId="49" fontId="23" fillId="0" borderId="0" xfId="0" applyFont="1" applyNumberFormat="1">
      <alignment vertical="center" wrapText="1"/>
    </xf>
    <xf numFmtId="0" fontId="44" fillId="0" borderId="26" xfId="0" applyFont="1" applyBorder="1" applyNumberFormat="1">
      <alignment horizontal="center" vertical="center" wrapText="1"/>
    </xf>
    <xf numFmtId="0" fontId="0" fillId="0" borderId="16" xfId="0" applyFont="1" applyBorder="1" applyNumberFormat="1">
      <alignment horizontal="center" vertical="center"/>
    </xf>
    <xf numFmtId="0" fontId="23" fillId="0" borderId="15" xfId="0" applyFont="1" applyBorder="1" applyNumberFormat="1">
      <alignment horizontal="center" vertical="center" wrapText="1"/>
    </xf>
    <xf numFmtId="167" fontId="0" fillId="39"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44" fillId="0" borderId="0" xfId="0" applyFont="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0" borderId="15" xfId="0" applyFont="1" applyBorder="1" applyNumberFormat="1">
      <alignment horizontal="center" vertical="center" wrapText="1"/>
    </xf>
    <xf numFmtId="0" fontId="23" fillId="40" borderId="16" xfId="0" applyFont="1" applyFill="1" applyBorder="1" applyNumberFormat="1">
      <alignment vertical="center" wrapText="1"/>
    </xf>
    <xf numFmtId="0" fontId="23" fillId="0" borderId="15" xfId="0" applyFont="1" applyBorder="1" applyNumberFormat="1">
      <alignment horizontal="center" vertical="center" wrapText="1"/>
    </xf>
    <xf numFmtId="0" fontId="23" fillId="40" borderId="21" xfId="0" applyFont="1" applyFill="1" applyBorder="1" applyNumberFormat="1">
      <alignment vertical="center" wrapText="1"/>
    </xf>
    <xf numFmtId="0" fontId="23" fillId="0" borderId="17"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0" borderId="15" xfId="0" applyFont="1" applyBorder="1" applyNumberFormat="1">
      <alignment vertical="center" wrapText="1"/>
    </xf>
    <xf numFmtId="0" fontId="23" fillId="40" borderId="29" xfId="0" applyFont="1" applyFill="1" applyBorder="1" applyNumberFormat="1">
      <alignment vertical="center" wrapText="1"/>
    </xf>
    <xf numFmtId="0" fontId="4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0" xfId="0" applyFont="1" applyNumberFormat="1">
      <alignment vertical="center" wrapText="1"/>
    </xf>
    <xf numFmtId="49" fontId="54" fillId="0" borderId="0" xfId="0" applyFont="1" applyNumberFormat="1">
      <alignment horizontal="center" vertical="center" wrapText="1"/>
    </xf>
    <xf numFmtId="0" fontId="23" fillId="0" borderId="0" xfId="0" applyFont="1" applyNumberFormat="1">
      <alignment vertical="center" wrapText="1"/>
    </xf>
    <xf numFmtId="49" fontId="54" fillId="0" borderId="0" xfId="0" applyFont="1" applyNumberFormat="1">
      <alignment horizontal="center" vertical="center" wrapText="1"/>
    </xf>
    <xf numFmtId="49" fontId="103" fillId="0" borderId="0" xfId="0" applyFont="1" applyNumberFormat="1">
      <alignment horizontal="center"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49" fontId="55" fillId="0" borderId="14" xfId="0" applyFont="1" applyBorder="1" applyNumberFormat="1">
      <alignment horizontal="center" vertical="center" wrapText="1"/>
    </xf>
    <xf numFmtId="0" fontId="0" fillId="0" borderId="14" xfId="0" applyFont="1" applyBorder="1" applyNumberFormat="1">
      <alignment horizontal="left" vertical="center" wrapText="1" indent="1"/>
    </xf>
    <xf numFmtId="49"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55" fillId="0" borderId="0" xfId="0" applyFont="1" applyNumberFormat="1">
      <alignment horizontal="center" vertical="center" wrapText="1"/>
    </xf>
    <xf numFmtId="49" fontId="23" fillId="0" borderId="16" xfId="0" applyFont="1" applyBorder="1" applyNumberFormat="1">
      <alignment horizontal="center" vertical="center" wrapText="1"/>
    </xf>
    <xf numFmtId="49" fontId="48" fillId="40" borderId="16" xfId="0" applyFont="1" applyFill="1" applyBorder="1" applyNumberFormat="1">
      <alignment horizontal="left" vertical="center" indent="1"/>
    </xf>
    <xf numFmtId="0" fontId="23" fillId="40" borderId="31" xfId="0" applyFont="1" applyFill="1" applyBorder="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left" vertical="center" wrapText="1" indent="3"/>
    </xf>
    <xf numFmtId="0" fontId="23" fillId="37" borderId="0" xfId="0" applyFont="1" applyFill="1" applyNumberFormat="1">
      <alignment vertic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78" fillId="0" borderId="41" xfId="0" applyFont="1" applyBorder="1" applyNumberFormat="1">
      <alignment vertical="top"/>
    </xf>
    <xf numFmtId="49" fontId="78" fillId="0" borderId="41" xfId="0" applyFont="1" applyBorder="1" applyNumberFormat="1">
      <alignment vertical="top"/>
    </xf>
    <xf numFmtId="0" fontId="36" fillId="37" borderId="41" xfId="0" applyFont="1" applyFill="1" applyBorder="1" applyNumberFormat="1">
      <alignment horizontal="center" wrapText="1"/>
    </xf>
    <xf numFmtId="0" fontId="36" fillId="37" borderId="41" xfId="0" applyFont="1" applyFill="1" applyBorder="1" applyNumberFormat="1">
      <alignment horizont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23" fillId="0" borderId="0" xfId="0" applyFont="1" applyNumberFormat="1">
      <alignment vertical="top"/>
    </xf>
    <xf numFmtId="0" fontId="23" fillId="0" borderId="63" xfId="0" applyFont="1" applyBorder="1" applyNumberFormat="1">
      <alignment horizontal="center" vertical="center"/>
    </xf>
    <xf numFmtId="0" fontId="23" fillId="0" borderId="64" xfId="0" applyFont="1" applyBorder="1" applyNumberFormat="1">
      <alignment horizontal="center" vertical="center"/>
    </xf>
    <xf numFmtId="0" fontId="23" fillId="0" borderId="66" xfId="0" applyFont="1" applyBorder="1" applyNumberFormat="1">
      <alignment horizontal="center" vertical="center"/>
    </xf>
    <xf numFmtId="0" fontId="23" fillId="0" borderId="40" xfId="0" applyFont="1" applyBorder="1" applyNumberFormat="1">
      <alignmen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49" fontId="23" fillId="0" borderId="0" xfId="0" applyFont="1" applyNumberFormat="1">
      <alignment vertical="top"/>
    </xf>
    <xf numFmtId="0" fontId="23" fillId="0" borderId="0" xfId="0" applyFont="1" applyNumberFormat="1">
      <alignment vertical="center" wrapText="1"/>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0" fillId="0" borderId="14" xfId="0" applyFont="1" applyBorder="1" applyNumberFormat="1">
      <alignment horizontal="center" vertical="center" wrapText="1"/>
    </xf>
    <xf numFmtId="49" fontId="23" fillId="0" borderId="0" xfId="0" applyFont="1" applyNumberFormat="1">
      <alignment vertical="top"/>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xf>
    <xf numFmtId="49" fontId="23"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0" fontId="23" fillId="0" borderId="0" xfId="0" applyFont="1" applyNumberFormat="1">
      <alignment horizontal="lef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21" xfId="0" applyFont="1" applyFill="1" applyBorder="1" applyNumberFormat="1">
      <alignment vertical="center" wrapText="1"/>
    </xf>
    <xf numFmtId="49" fontId="23" fillId="0" borderId="0" xfId="0" applyFont="1" applyNumberFormat="1">
      <alignment vertical="top"/>
    </xf>
    <xf numFmtId="49" fontId="55" fillId="0" borderId="0" xfId="0" applyFont="1" applyNumberFormat="1">
      <alignment vertical="top"/>
    </xf>
    <xf numFmtId="0" fontId="55" fillId="0" borderId="41" xfId="0" applyFont="1" applyBorder="1" applyNumberFormat="1">
      <alignment vertical="center" wrapText="1"/>
    </xf>
    <xf numFmtId="0" fontId="23" fillId="0" borderId="76" xfId="0" applyFont="1" applyBorder="1" applyNumberFormat="1">
      <alignment horizontal="center" vertical="center"/>
    </xf>
    <xf numFmtId="0" fontId="23" fillId="0" borderId="45" xfId="0" applyFont="1" applyBorder="1" applyNumberFormat="1">
      <alignment horizontal="center" vertical="center"/>
    </xf>
    <xf numFmtId="0" fontId="23" fillId="0" borderId="40" xfId="0" applyFont="1" applyBorder="1" applyNumberFormat="1">
      <alignment vertical="center"/>
    </xf>
    <xf numFmtId="49" fontId="0" fillId="0" borderId="19"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23" fillId="0" borderId="24" xfId="0" applyFont="1" applyBorder="1" applyNumberFormat="1">
      <alignment vertical="top"/>
    </xf>
    <xf numFmtId="49" fontId="0" fillId="0" borderId="38"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xf>
    <xf numFmtId="49" fontId="0" fillId="38" borderId="14" xfId="0" applyFont="1" applyFill="1" applyBorder="1" applyNumberFormat="1">
      <alignment horizontal="center" vertical="center"/>
    </xf>
    <xf numFmtId="0" fontId="23" fillId="0" borderId="24" xfId="0" applyFont="1" applyBorder="1" applyNumberFormat="1">
      <alignment vertical="center" wrapText="1"/>
    </xf>
    <xf numFmtId="49" fontId="0" fillId="0" borderId="14"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 fontId="0" fillId="39"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horizontal="left" vertical="center" wrapText="1"/>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23" fillId="0" borderId="0" xfId="0" applyFont="1" applyNumberFormat="1">
      <alignment horizontal="center" vertical="top" wrapText="1"/>
    </xf>
    <xf numFmtId="49" fontId="40" fillId="0" borderId="0" xfId="0" applyFont="1" applyNumberFormat="1">
      <alignment horizontal="center" vertical="top" wrapText="1"/>
    </xf>
    <xf numFmtId="49" fontId="23" fillId="37" borderId="0" xfId="0" applyFont="1" applyFill="1" applyNumberFormat="1">
      <alignment horizontal="center" vertical="top" wrapText="1"/>
    </xf>
    <xf numFmtId="0" fontId="23" fillId="0" borderId="22" xfId="0" applyFont="1" applyBorder="1" applyNumberFormat="1">
      <alignment horizontal="left" vertical="top" wrapText="1"/>
    </xf>
    <xf numFmtId="49" fontId="23" fillId="0" borderId="0" xfId="0" applyFont="1" applyNumberFormat="1">
      <alignment horizontal="center" vertical="center" wrapText="1"/>
    </xf>
    <xf numFmtId="49" fontId="40" fillId="0" borderId="0" xfId="0" applyFont="1" applyNumberFormat="1">
      <alignment horizontal="center" vertical="center" wrapText="1"/>
    </xf>
    <xf numFmtId="49" fontId="23" fillId="37" borderId="0" xfId="0" applyFont="1" applyFill="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0" fontId="53" fillId="0" borderId="0" xfId="0" applyFont="1" applyNumberFormat="1">
      <alignment horizontal="center" vertical="center" wrapText="1"/>
    </xf>
    <xf numFmtId="49" fontId="104"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0" xfId="0" applyFont="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49" fontId="53" fillId="37" borderId="0" xfId="0" applyFont="1" applyFill="1" applyNumberFormat="1">
      <alignment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37"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49" fontId="23" fillId="0" borderId="0" xfId="0" applyFont="1" applyNumberFormat="1">
      <alignment vertical="center" wrapText="1"/>
    </xf>
    <xf numFmtId="49" fontId="53" fillId="0" borderId="0" xfId="0" applyFont="1" applyNumberFormat="1">
      <alignment vertical="top"/>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49" fontId="23" fillId="34" borderId="29" xfId="0" applyFont="1" applyFill="1" applyBorder="1" applyNumberFormat="1">
      <alignment horizontal="center" vertical="center" wrapText="1"/>
    </xf>
    <xf numFmtId="49" fontId="53" fillId="37" borderId="0" xfId="0" applyFont="1" applyFill="1" applyNumberFormat="1">
      <alignment vertical="center"/>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104"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49" fontId="53" fillId="0" borderId="0" xfId="0" applyFont="1" applyNumberFormat="1">
      <alignment vertical="center" wrapText="1"/>
    </xf>
    <xf numFmtId="49" fontId="53" fillId="0" borderId="0" xfId="0" applyFont="1" applyNumberFormat="1">
      <alignment vertical="top"/>
    </xf>
    <xf numFmtId="0" fontId="53" fillId="0" borderId="0" xfId="0" applyFont="1" applyNumberFormat="1">
      <alignment vertical="center" wrapText="1"/>
    </xf>
    <xf numFmtId="49" fontId="99" fillId="0" borderId="0" xfId="0" applyFont="1" applyNumberFormat="1">
      <alignment vertical="center" wrapText="1"/>
    </xf>
    <xf numFmtId="49" fontId="53" fillId="0" borderId="0" xfId="0" applyFont="1" applyNumberFormat="1">
      <alignment vertical="center" wrapText="1"/>
    </xf>
    <xf numFmtId="49" fontId="104" fillId="0" borderId="0" xfId="0" applyFont="1" applyNumberFormat="1">
      <alignment vertical="center"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indent="1"/>
    </xf>
    <xf numFmtId="0" fontId="23" fillId="0" borderId="16" xfId="0" applyFont="1" applyBorder="1" applyNumberFormat="1">
      <alignment horizontal="center" vertical="center" wrapText="1"/>
    </xf>
    <xf numFmtId="0" fontId="23" fillId="0" borderId="14" xfId="0" applyFont="1" applyBorder="1" applyNumberFormat="1">
      <alignment horizontal="left" vertical="top" wrapText="1"/>
    </xf>
    <xf numFmtId="3" fontId="23" fillId="42" borderId="16" xfId="0" applyFont="1" applyFill="1" applyBorder="1" applyNumberFormat="1">
      <alignment vertical="center" wrapText="1"/>
      <protection locked="0"/>
    </xf>
    <xf numFmtId="0" fontId="23" fillId="0" borderId="14" xfId="0" applyFont="1" applyBorder="1" applyNumberFormat="1">
      <alignment vertical="top" wrapText="1"/>
    </xf>
    <xf numFmtId="0" fontId="23" fillId="0" borderId="14" xfId="0" applyFont="1" applyBorder="1" applyNumberFormat="1">
      <alignment horizontal="left" vertical="top" wrapText="1"/>
    </xf>
    <xf numFmtId="4" fontId="23" fillId="38" borderId="16" xfId="0" applyFont="1" applyFill="1" applyBorder="1" applyNumberFormat="1">
      <alignment horizontal="right" vertical="center" wrapText="1"/>
    </xf>
    <xf numFmtId="0" fontId="54" fillId="0" borderId="14" xfId="0" applyFont="1" applyBorder="1" applyNumberFormat="1">
      <alignment vertical="top" wrapText="1"/>
    </xf>
    <xf numFmtId="49" fontId="23" fillId="42" borderId="14" xfId="0" applyFont="1" applyFill="1" applyBorder="1" applyNumberFormat="1">
      <alignment horizontal="left" vertical="center" wrapText="1" indent="1"/>
      <protection locked="0"/>
    </xf>
    <xf numFmtId="0" fontId="23" fillId="0" borderId="0" xfId="0" applyFont="1" applyNumberFormat="1">
      <alignment horizontal="left" vertical="center" wrapText="1" indent="2"/>
    </xf>
    <xf numFmtId="0" fontId="47" fillId="37" borderId="0" xfId="0" applyFont="1" applyFill="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49" fontId="23" fillId="0" borderId="0" xfId="0" applyFont="1" applyNumberFormat="1">
      <alignment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0" xfId="0" applyFont="1" applyFill="1" applyNumberFormat="1">
      <alignment horizontal="center" vertical="center" wrapText="1"/>
    </xf>
    <xf numFmtId="0" fontId="23" fillId="37" borderId="0" xfId="0" applyFont="1" applyFill="1" applyNumberFormat="1">
      <alignment horizontal="right" vertical="center"/>
    </xf>
    <xf numFmtId="49" fontId="23" fillId="0" borderId="0" xfId="0" applyFont="1" applyNumberFormat="1">
      <alignment vertical="center" wrapText="1"/>
    </xf>
    <xf numFmtId="0" fontId="23"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0"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4" fillId="37" borderId="0" xfId="0" applyFont="1" applyFill="1" applyNumberFormat="1">
      <alignment horizontal="center" vertical="center" wrapText="1"/>
    </xf>
    <xf numFmtId="49" fontId="23" fillId="0" borderId="0" xfId="0" applyFont="1" applyNumberFormat="1">
      <alignment vertical="top"/>
    </xf>
    <xf numFmtId="49" fontId="0" fillId="37" borderId="14" xfId="0" applyFont="1" applyFill="1" applyBorder="1" applyNumberFormat="1">
      <alignment horizontal="center" vertical="center" wrapText="1"/>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34" fillId="42" borderId="14" xfId="0" applyFont="1" applyFill="1" applyBorder="1" applyNumberFormat="1">
      <alignment horizontal="left" vertical="center" wrapText="1"/>
      <protection locked="0"/>
    </xf>
    <xf numFmtId="0"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49" fontId="52" fillId="40" borderId="15" xfId="0" applyFont="1" applyFill="1" applyBorder="1" applyNumberFormat="1">
      <alignment horizontal="center" vertical="top"/>
    </xf>
    <xf numFmtId="0" fontId="23"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0" fontId="47" fillId="37" borderId="0" xfId="0" applyFont="1" applyFill="1" applyNumberFormat="1">
      <alignment vertical="center" wrapText="1"/>
    </xf>
    <xf numFmtId="49" fontId="52" fillId="40" borderId="17" xfId="0" applyFont="1" applyFill="1" applyBorder="1" applyNumberFormat="1">
      <alignment horizontal="center" vertical="top"/>
    </xf>
    <xf numFmtId="0" fontId="55" fillId="0" borderId="0" xfId="0" applyFont="1" applyNumberFormat="1">
      <alignment vertical="center"/>
    </xf>
    <xf numFmtId="49"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49" fontId="72" fillId="0" borderId="14" xfId="0" applyFont="1" applyBorder="1" applyNumberFormat="1">
      <alignment horizontal="center" vertical="center" wrapText="1"/>
    </xf>
    <xf numFmtId="0" fontId="72" fillId="0" borderId="14" xfId="0" applyFont="1" applyBorder="1" applyNumberFormat="1">
      <alignment horizontal="left" vertical="center" wrapText="1" indent="2"/>
    </xf>
    <xf numFmtId="49" fontId="75" fillId="0" borderId="16" xfId="0" applyFont="1" applyBorder="1" applyNumberFormat="1">
      <alignment horizontal="left" vertical="center" wrapText="1"/>
    </xf>
    <xf numFmtId="0" fontId="23" fillId="0" borderId="19" xfId="0" applyFont="1" applyBorder="1" applyNumberFormat="1">
      <alignment vertical="top" wrapText="1"/>
    </xf>
    <xf numFmtId="49" fontId="48" fillId="40" borderId="17" xfId="0" applyFont="1" applyFill="1" applyBorder="1" applyNumberFormat="1">
      <alignment horizontal="left" vertical="center" indent="1"/>
    </xf>
    <xf numFmtId="0" fontId="23" fillId="0" borderId="25" xfId="0" applyFont="1" applyBorder="1" applyNumberFormat="1">
      <alignment vertical="top" wrapText="1"/>
    </xf>
    <xf numFmtId="49" fontId="0"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23" fillId="0" borderId="0" xfId="0" applyFont="1" applyNumberFormat="1">
      <alignment vertical="top" wrapText="1"/>
    </xf>
    <xf numFmtId="49" fontId="23" fillId="0" borderId="0" xfId="0" applyFont="1" applyNumberFormat="1">
      <alignment vertical="center" wrapText="1"/>
    </xf>
    <xf numFmtId="0" fontId="47" fillId="0" borderId="0" xfId="0" applyFont="1" applyNumberFormat="1">
      <alignment vertical="center" wrapText="1"/>
    </xf>
    <xf numFmtId="49" fontId="54" fillId="0" borderId="0" xfId="0" applyFont="1" applyNumberFormat="1">
      <alignment vertical="top"/>
    </xf>
    <xf numFmtId="49" fontId="126" fillId="0" borderId="0" xfId="0" applyFont="1" applyNumberFormat="1">
      <alignment horizontal="center" vertical="center" wrapText="1"/>
    </xf>
    <xf numFmtId="0" fontId="0" fillId="42" borderId="14" xfId="0" applyFont="1" applyFill="1" applyBorder="1" applyNumberFormat="1">
      <alignment horizontal="left" vertical="center" wrapText="1" indent="1"/>
      <protection locked="0"/>
    </xf>
    <xf numFmtId="49" fontId="34"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0" fillId="0" borderId="14" xfId="0" applyFont="1" applyBorder="1" applyNumberFormat="1">
      <alignment horizontal="left" vertical="center" wrapText="1"/>
    </xf>
    <xf numFmtId="167" fontId="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0" fillId="0" borderId="14" xfId="0" applyFont="1" applyBorder="1" applyNumberFormat="1">
      <alignment horizontal="left" vertical="center" wrapText="1"/>
    </xf>
    <xf numFmtId="0" fontId="23"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23" fillId="0" borderId="14" xfId="0" applyFont="1" applyBorder="1" applyNumberFormat="1">
      <alignment vertical="top" wrapText="1"/>
    </xf>
    <xf numFmtId="49" fontId="48" fillId="40" borderId="17" xfId="0" applyFont="1" applyFill="1" applyBorder="1" applyNumberFormat="1">
      <alignment horizontal="left" vertical="center" indent="2"/>
    </xf>
    <xf numFmtId="49" fontId="48" fillId="40" borderId="17" xfId="0" applyFont="1" applyFill="1" applyBorder="1" applyNumberFormat="1">
      <alignment horizontal="left" vertical="center" indent="3"/>
    </xf>
    <xf numFmtId="49" fontId="23" fillId="43" borderId="14" xfId="0" applyFont="1" applyFill="1" applyBorder="1" applyNumberFormat="1">
      <alignment horizontal="left" vertical="center" wrapText="1"/>
    </xf>
    <xf numFmtId="49" fontId="23" fillId="0" borderId="0" xfId="0" applyFont="1" applyNumberFormat="1">
      <alignment vertical="top"/>
    </xf>
    <xf numFmtId="49" fontId="55" fillId="0" borderId="0" xfId="0" applyFont="1" applyNumberFormat="1">
      <alignment vertical="top"/>
    </xf>
    <xf numFmtId="0" fontId="23" fillId="0" borderId="0" xfId="0" applyFont="1" applyNumberFormat="1">
      <alignment horizontal="right" vertical="top" wrapText="1"/>
    </xf>
    <xf numFmtId="49" fontId="23" fillId="0" borderId="0" xfId="0" applyFont="1" applyNumberFormat="1">
      <alignment vertical="top" wrapText="1"/>
    </xf>
    <xf numFmtId="49" fontId="23" fillId="0" borderId="0" xfId="0" applyFont="1" applyNumberFormat="1">
      <alignment vertical="top"/>
    </xf>
    <xf numFmtId="0" fontId="0" fillId="0" borderId="15" xfId="0" applyFont="1" applyBorder="1" applyNumberFormat="1">
      <alignment horizontal="center" vertical="center" wrapText="1"/>
    </xf>
    <xf numFmtId="167" fontId="0" fillId="42" borderId="15" xfId="0" applyFont="1" applyFill="1" applyBorder="1" applyNumberFormat="1">
      <alignment horizontal="left" vertical="center" wrapText="1"/>
      <protection locked="0"/>
    </xf>
    <xf numFmtId="167"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49" fontId="52" fillId="40" borderId="15" xfId="0" applyFont="1" applyFill="1" applyBorder="1" applyNumberFormat="1">
      <alignment horizontal="center" vertical="top"/>
    </xf>
    <xf numFmtId="0" fontId="0" fillId="0" borderId="15" xfId="0" applyFont="1" applyBorder="1" applyNumberFormat="1">
      <alignment horizontal="center" vertical="center" wrapText="1"/>
    </xf>
    <xf numFmtId="0" fontId="23" fillId="0" borderId="0" xfId="0" applyFont="1" applyNumberFormat="1">
      <alignment horizontal="left" vertical="center" wrapText="1" indent="1"/>
    </xf>
    <xf numFmtId="0" fontId="0" fillId="0" borderId="14" xfId="0" applyFont="1" applyBorder="1" applyNumberFormat="1">
      <alignment horizontal="center" vertical="center" wrapText="1"/>
    </xf>
    <xf numFmtId="0" fontId="23" fillId="0" borderId="17" xfId="0" applyFont="1" applyBorder="1" applyNumberFormat="1">
      <alignment horizontal="left" vertical="top" wrapText="1" indent="1"/>
    </xf>
    <xf numFmtId="0" fontId="22" fillId="0" borderId="0" xfId="0" applyFont="1" applyNumberFormat="1">
      <alignment vertical="center" wrapText="1"/>
    </xf>
    <xf numFmtId="0" fontId="0" fillId="37" borderId="16" xfId="0" applyFont="1" applyFill="1" applyBorder="1" applyNumberFormat="1">
      <alignment horizontal="right" vertical="center" wrapText="1" indent="1"/>
    </xf>
    <xf numFmtId="0" fontId="76" fillId="0" borderId="0" xfId="0" applyFont="1" applyNumberFormat="1">
      <alignment vertical="center" wrapText="1"/>
    </xf>
    <xf numFmtId="49" fontId="44" fillId="37" borderId="0" xfId="0" applyFont="1" applyFill="1" applyNumberFormat="1">
      <alignment horizontal="center" vertical="center" wrapText="1"/>
    </xf>
    <xf numFmtId="49" fontId="44" fillId="37" borderId="21" xfId="0" applyFont="1" applyFill="1" applyBorder="1" applyNumberFormat="1">
      <alignment horizontal="center" vertical="center" wrapText="1"/>
    </xf>
    <xf numFmtId="49" fontId="0" fillId="37" borderId="19"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23" fillId="0" borderId="14" xfId="0" applyFont="1" applyBorder="1" applyNumberFormat="1">
      <alignment horizontal="left" vertical="center" wrapText="1"/>
    </xf>
    <xf numFmtId="0" fontId="47" fillId="37" borderId="0" xfId="0" applyFont="1" applyFill="1" applyNumberFormat="1">
      <alignment horizontal="center" vertical="top" wrapText="1"/>
    </xf>
    <xf numFmtId="0" fontId="0" fillId="38" borderId="16" xfId="0" applyFont="1" applyFill="1" applyBorder="1" applyNumberFormat="1">
      <alignment horizontal="left" vertical="center" wrapText="1" indent="1"/>
    </xf>
    <xf numFmtId="0" fontId="0" fillId="0" borderId="15" xfId="0" applyFont="1" applyBorder="1" applyNumberFormat="1">
      <alignment horizontal="center" vertical="center" wrapText="1"/>
    </xf>
    <xf numFmtId="0" fontId="0" fillId="0" borderId="15" xfId="0" applyFont="1" applyBorder="1" applyNumberFormat="1">
      <alignment horizontal="center" vertical="center" wrapText="1"/>
    </xf>
    <xf numFmtId="49" fontId="48" fillId="40" borderId="29" xfId="0" applyFont="1" applyFill="1" applyBorder="1" applyNumberFormat="1">
      <alignment horizontal="left" vertical="center" indent="2"/>
    </xf>
    <xf numFmtId="49" fontId="48" fillId="40" borderId="17" xfId="0" applyFont="1" applyFill="1" applyBorder="1" applyNumberFormat="1">
      <alignment horizontal="left" vertical="center"/>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23" fillId="0" borderId="14" xfId="0" applyFont="1" applyBorder="1" applyNumberFormat="1">
      <alignment vertical="top" wrapText="1"/>
    </xf>
    <xf numFmtId="49" fontId="0" fillId="37" borderId="16" xfId="0" applyFont="1" applyFill="1" applyBorder="1" applyNumberFormat="1">
      <alignment horizontal="center" vertical="center" wrapText="1"/>
    </xf>
    <xf numFmtId="0" fontId="23" fillId="0" borderId="38" xfId="0" applyFont="1" applyBorder="1" applyNumberFormat="1">
      <alignment horizontal="left" vertical="top" wrapText="1"/>
    </xf>
    <xf numFmtId="49" fontId="23" fillId="0" borderId="0" xfId="0" applyFont="1" applyNumberFormat="1">
      <alignment vertical="top"/>
    </xf>
    <xf numFmtId="49" fontId="23" fillId="0" borderId="21" xfId="0" applyFont="1" applyBorder="1" applyNumberFormat="1">
      <alignment vertical="top"/>
    </xf>
    <xf numFmtId="0" fontId="22" fillId="0" borderId="0" xfId="0" applyFont="1" applyNumberFormat="1">
      <alignment horizontal="right" vertical="top" wrapText="1"/>
    </xf>
    <xf numFmtId="0" fontId="23" fillId="0" borderId="0" xfId="0" applyFont="1" applyNumberFormat="1">
      <alignment vertical="center" wrapText="1"/>
    </xf>
    <xf numFmtId="49" fontId="23" fillId="0" borderId="0" xfId="0" applyFont="1" applyNumberFormat="1">
      <alignment vertical="top"/>
    </xf>
    <xf numFmtId="49" fontId="0" fillId="42" borderId="14" xfId="0" applyFont="1" applyFill="1" applyBorder="1" applyNumberFormat="1">
      <alignment horizontal="left" vertical="center" wrapText="1" indent="1"/>
      <protection locked="0"/>
    </xf>
    <xf numFmtId="0" fontId="69" fillId="0" borderId="0" xfId="0" applyFont="1" applyNumberFormat="1">
      <alignment vertical="center" wrapText="1"/>
    </xf>
    <xf numFmtId="0" fontId="23" fillId="37" borderId="14" xfId="0" applyFont="1" applyFill="1" applyBorder="1" applyNumberFormat="1">
      <alignment horizontal="center" vertical="center" wrapText="1"/>
    </xf>
    <xf numFmtId="0" fontId="0" fillId="0" borderId="14" xfId="0" applyFont="1" applyBorder="1" applyNumberFormat="1">
      <alignment horizontal="left" vertical="top"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0" borderId="21" xfId="0" applyFont="1" applyBorder="1" applyNumberFormat="1">
      <alignment vertical="center" wrapText="1"/>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49" fontId="23" fillId="0" borderId="0" xfId="0" applyFont="1" applyNumberFormat="1">
      <alignment vertical="center" wrapText="1"/>
    </xf>
    <xf numFmtId="0" fontId="88"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0" borderId="14" xfId="0" applyFont="1" applyBorder="1" applyNumberFormat="1">
      <alignment horizontal="center"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34" fillId="0" borderId="0" xfId="0" applyFont="1" applyNumberFormat="1">
      <alignment vertical="center" wrapText="1"/>
    </xf>
    <xf numFmtId="49" fontId="23" fillId="0" borderId="0" xfId="0" applyFont="1" applyNumberFormat="1">
      <alignment horizontal="center" vertical="top"/>
    </xf>
    <xf numFmtId="49" fontId="40" fillId="49" borderId="0" xfId="0" applyFont="1" applyFill="1" applyNumberFormat="1">
      <alignment horizontal="center" vertical="center"/>
    </xf>
    <xf numFmtId="49" fontId="23" fillId="0" borderId="14" xfId="0" applyFont="1" applyBorder="1" applyNumberFormat="1">
      <alignment horizontal="center" vertical="top"/>
    </xf>
    <xf numFmtId="49" fontId="54" fillId="49" borderId="0" xfId="0" applyFont="1" applyFill="1" applyNumberFormat="1">
      <alignment horizontal="center" vertical="center" wrapText="1"/>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horizontal="center" vertical="top"/>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0" fontId="23" fillId="0" borderId="16" xfId="0" applyFont="1" applyBorder="1" applyNumberFormat="1">
      <alignment horizontal="left" vertical="center"/>
    </xf>
    <xf numFmtId="49" fontId="23" fillId="0" borderId="46" xfId="0" applyFont="1" applyBorder="1" applyNumberFormat="1">
      <alignment vertical="center"/>
    </xf>
    <xf numFmtId="49" fontId="23" fillId="0" borderId="47" xfId="0" applyFont="1" applyBorder="1" applyNumberFormat="1">
      <alignment vertical="top"/>
    </xf>
    <xf numFmtId="49" fontId="23" fillId="0" borderId="18"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0" fontId="0" fillId="50" borderId="0" xfId="0" applyFont="1" applyFill="1" applyNumberFormat="1">
      <alignment horizontal="right" vertical="center"/>
    </xf>
    <xf numFmtId="49" fontId="40" fillId="0" borderId="0" xfId="0" applyFont="1" applyNumberFormat="1">
      <alignment horizontal="center" vertical="center"/>
    </xf>
    <xf numFmtId="49" fontId="0" fillId="0" borderId="0" xfId="0" applyFont="1" applyNumberFormat="1">
      <alignment vertical="top"/>
    </xf>
    <xf numFmtId="49" fontId="40" fillId="49" borderId="0" xfId="0" applyFont="1" applyFill="1" applyNumberFormat="1">
      <alignment horizontal="center" vertical="center"/>
    </xf>
    <xf numFmtId="0" fontId="23" fillId="0" borderId="0" xfId="0" applyFont="1" applyNumberFormat="1">
      <alignment vertical="center"/>
    </xf>
    <xf numFmtId="0" fontId="0" fillId="50"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3" fillId="0" borderId="16" xfId="0" applyFont="1" applyBorder="1" applyNumberFormat="1">
      <alignment vertical="top"/>
    </xf>
    <xf numFmtId="0" fontId="0" fillId="50" borderId="0" xfId="0" applyFont="1" applyFill="1" applyNumberFormat="1">
      <alignment horizontal="right" vertical="center"/>
    </xf>
    <xf numFmtId="0" fontId="0" fillId="0" borderId="0" xfId="0" applyFont="1" applyNumberFormat="1">
      <alignment horizontal="left" vertical="center"/>
    </xf>
    <xf numFmtId="0" fontId="0" fillId="50" borderId="0" xfId="0" applyFont="1" applyFill="1" applyNumberFormat="1">
      <alignment horizontal="right" vertical="center"/>
    </xf>
    <xf numFmtId="0" fontId="0" fillId="50" borderId="0" xfId="0" applyFont="1" applyFill="1" applyNumberFormat="1">
      <alignment horizontal="left" vertical="center"/>
    </xf>
    <xf numFmtId="0" fontId="59" fillId="50" borderId="0" xfId="0" applyFont="1" applyFill="1" applyNumberFormat="1">
      <alignment horizontal="left" vertical="center"/>
    </xf>
    <xf numFmtId="0" fontId="0" fillId="0" borderId="0" xfId="0" applyFont="1" applyNumberFormat="1">
      <alignment vertical="center"/>
    </xf>
    <xf numFmtId="0" fontId="23" fillId="0" borderId="0" xfId="0" applyFont="1" applyNumberFormat="1">
      <alignment vertical="top"/>
    </xf>
    <xf numFmtId="0" fontId="59" fillId="0" borderId="0" xfId="0" applyFont="1" applyNumberFormat="1">
      <alignment horizontal="left" vertical="center"/>
    </xf>
    <xf numFmtId="49" fontId="0" fillId="0" borderId="16" xfId="0" applyFont="1" applyBorder="1" applyNumberFormat="1">
      <alignment vertical="top"/>
    </xf>
    <xf numFmtId="49" fontId="23" fillId="0" borderId="14" xfId="0" applyFont="1" applyBorder="1" applyNumberFormat="1">
      <alignment horizontal="right" vertical="top"/>
    </xf>
    <xf numFmtId="0" fontId="0" fillId="0" borderId="16" xfId="0" applyFont="1" applyBorder="1" applyNumberFormat="1">
      <alignment horizontal="left" vertical="center"/>
    </xf>
    <xf numFmtId="0" fontId="59" fillId="50" borderId="0" xfId="0" applyFont="1" applyFill="1" applyNumberFormat="1">
      <alignment horizontal="left" vertical="center"/>
    </xf>
    <xf numFmtId="49" fontId="23" fillId="0" borderId="19" xfId="0" applyFont="1" applyBorder="1" applyNumberFormat="1">
      <alignment horizontal="righ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14" xfId="0" applyFont="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0" fontId="23" fillId="50" borderId="0" xfId="0" applyFont="1" applyFill="1" applyNumberFormat="1">
      <alignment horizontal="left" vertical="center"/>
    </xf>
    <xf numFmtId="0" fontId="0" fillId="50" borderId="12" xfId="0" applyFont="1" applyFill="1" applyBorder="1" applyNumberFormat="1">
      <alignment horizontal="center"/>
    </xf>
    <xf numFmtId="49" fontId="109" fillId="0" borderId="18" xfId="0" applyFont="1" applyBorder="1" applyNumberFormat="1">
      <alignment vertical="top"/>
    </xf>
    <xf numFmtId="49" fontId="0" fillId="0" borderId="0" xfId="0" applyFont="1" applyNumberFormat="1">
      <alignment vertical="center"/>
    </xf>
    <xf numFmtId="49" fontId="53" fillId="56" borderId="0" xfId="0" applyFont="1" applyFill="1" applyNumberFormat="1">
      <alignment vertical="center" wrapText="1"/>
    </xf>
    <xf numFmtId="0" fontId="0" fillId="0" borderId="12" xfId="0" applyFont="1" applyBorder="1" applyNumberFormat="1">
      <alignment horizontal="center"/>
    </xf>
    <xf numFmtId="49" fontId="23" fillId="50" borderId="0" xfId="0" applyFont="1" applyFill="1" applyNumberFormat="1">
      <alignment horizontal="center" vertical="center"/>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0" fontId="0" fillId="34" borderId="14" xfId="0" applyFont="1" applyFill="1" applyBorder="1" applyNumberFormat="1">
      <alignment horizontal="right" vertical="center"/>
    </xf>
    <xf numFmtId="49" fontId="23" fillId="34" borderId="25" xfId="0" applyFont="1" applyFill="1" applyBorder="1" applyNumberFormat="1">
      <alignment vertical="top"/>
    </xf>
    <xf numFmtId="49" fontId="23" fillId="34" borderId="14" xfId="0" applyFont="1" applyFill="1" applyBorder="1" applyNumberFormat="1">
      <alignment vertical="top"/>
    </xf>
    <xf numFmtId="49" fontId="23" fillId="0" borderId="16" xfId="0" applyFont="1" applyBorder="1" applyNumberFormat="1">
      <alignment horizontal="center" vertical="top"/>
    </xf>
    <xf numFmtId="49" fontId="23" fillId="0" borderId="15" xfId="0" applyFont="1" applyBorder="1" applyNumberFormat="1">
      <alignment horizontal="center" vertical="top"/>
    </xf>
    <xf numFmtId="0" fontId="23" fillId="38" borderId="32" xfId="0" applyFont="1" applyFill="1" applyBorder="1" applyNumberFormat="1">
      <alignment horizontal="center" vertical="top"/>
    </xf>
    <xf numFmtId="0" fontId="23" fillId="38" borderId="32" xfId="0" applyFont="1" applyFill="1" applyBorder="1" applyNumberFormat="1">
      <alignment horizontal="left" vertical="top"/>
    </xf>
    <xf numFmtId="0" fontId="0" fillId="0" borderId="34" xfId="0" applyFont="1" applyBorder="1" applyNumberFormat="1">
      <alignment horizontal="center" vertical="center"/>
    </xf>
    <xf numFmtId="0" fontId="0" fillId="0" borderId="36" xfId="0" applyFont="1" applyBorder="1" applyNumberFormat="1">
      <alignment horizontal="center" vertical="center"/>
    </xf>
    <xf numFmtId="0" fontId="23" fillId="0" borderId="14" xfId="0" applyFont="1" applyBorder="1" applyNumberFormat="1">
      <alignment horizontal="left" vertical="top"/>
    </xf>
    <xf numFmtId="49" fontId="23" fillId="0" borderId="0" xfId="0" applyFont="1" applyNumberFormat="1">
      <alignment horizontal="left" vertical="top"/>
    </xf>
    <xf numFmtId="0" fontId="0" fillId="0" borderId="33" xfId="0" applyFont="1" applyBorder="1" applyNumberFormat="1">
      <alignment horizontal="center" vertical="center"/>
    </xf>
    <xf numFmtId="0" fontId="0" fillId="0" borderId="35" xfId="0" applyFont="1" applyBorder="1" applyNumberFormat="1">
      <alignment horizontal="center" vertical="center"/>
    </xf>
    <xf numFmtId="49" fontId="40" fillId="49" borderId="16" xfId="0" applyFont="1" applyFill="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50" borderId="0" xfId="0" applyFont="1" applyFill="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xf>
    <xf numFmtId="49" fontId="0" fillId="0" borderId="0" xfId="0" applyFont="1" applyNumberFormat="1">
      <alignment vertical="top"/>
    </xf>
    <xf numFmtId="49" fontId="23" fillId="0" borderId="0" xfId="0" applyFont="1" applyNumberFormat="1">
      <alignment vertical="top"/>
    </xf>
    <xf numFmtId="49" fontId="0" fillId="0" borderId="0" xfId="0" applyFont="1" applyNumberFormat="1">
      <alignment vertical="center" wrapText="1"/>
    </xf>
    <xf numFmtId="49"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0" fontId="23" fillId="42" borderId="14" xfId="0" applyFont="1" applyFill="1" applyBorder="1" applyNumberFormat="1">
      <alignment horizontal="center" vertical="center" wrapText="1"/>
      <protection locked="0"/>
    </xf>
    <xf numFmtId="0" fontId="54" fillId="37" borderId="0" xfId="0" applyFont="1" applyFill="1" applyNumberFormat="1"/>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8" borderId="14" xfId="0" applyFont="1" applyFill="1" applyBorder="1" applyNumberFormat="1">
      <alignment horizontal="left" vertical="center" wrapText="1"/>
    </xf>
    <xf numFmtId="0" fontId="73" fillId="37" borderId="0" xfId="0" applyFont="1" applyFill="1" applyNumberFormat="1"/>
    <xf numFmtId="0" fontId="23" fillId="37" borderId="14" xfId="0" applyFont="1" applyFill="1" applyBorder="1" applyNumberFormat="1">
      <alignment horizontal="left"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0" fontId="55"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0" fillId="37" borderId="19" xfId="0" applyFont="1" applyFill="1" applyBorder="1" applyNumberFormat="1">
      <alignment horizontal="left" vertical="top" wrapText="1"/>
    </xf>
    <xf numFmtId="0" fontId="72" fillId="37" borderId="0" xfId="0" applyFont="1" applyFill="1" applyNumberFormat="1"/>
    <xf numFmtId="0" fontId="77" fillId="37" borderId="0" xfId="0" applyFont="1" applyFill="1" applyNumberFormat="1">
      <alignment vertical="center" wrapText="1"/>
    </xf>
    <xf numFmtId="0" fontId="55" fillId="37" borderId="14" xfId="0" applyFont="1" applyFill="1" applyBorder="1" applyNumberFormat="1">
      <alignment horizontal="center" vertical="center"/>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0" fontId="89" fillId="37" borderId="0" xfId="0" applyFont="1" applyFill="1" applyNumberFormat="1"/>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0" fontId="23" fillId="37" borderId="14" xfId="0" applyFont="1" applyFill="1" applyBorder="1" applyNumberFormat="1">
      <alignment vertical="top"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14" fontId="23" fillId="42" borderId="14" xfId="0" applyFont="1" applyFill="1" applyBorder="1" applyNumberFormat="1">
      <alignment horizontal="left" vertical="center" wrapText="1" indent="1"/>
      <protection locked="0"/>
    </xf>
    <xf numFmtId="0" fontId="117" fillId="0" borderId="0" xfId="0" applyFont="1" applyNumberFormat="1">
      <alignment vertical="center"/>
    </xf>
    <xf numFmtId="0" fontId="45" fillId="0" borderId="0" xfId="0" applyFont="1" applyNumberFormat="1">
      <alignment horizontal="center" vertical="center" wrapText="1"/>
    </xf>
    <xf numFmtId="4" fontId="23" fillId="0" borderId="19" xfId="0" applyFont="1" applyBorder="1" applyNumberFormat="1">
      <alignment horizontal="center" vertical="center" wrapText="1"/>
    </xf>
    <xf numFmtId="165" fontId="23" fillId="0" borderId="39" xfId="0" applyFont="1" applyBorder="1" applyNumberFormat="1">
      <alignment horizontal="center" vertical="center" wrapText="1"/>
    </xf>
    <xf numFmtId="165"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14" fontId="23" fillId="43" borderId="14" xfId="0" applyFont="1" applyFill="1" applyBorder="1" applyNumberFormat="1">
      <alignment horizontal="left" vertical="center" wrapText="1"/>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0" fillId="40" borderId="31" xfId="0" applyFont="1" applyFill="1" applyBorder="1" applyNumberFormat="1">
      <alignment horizontal="right" vertical="center" wrapText="1"/>
    </xf>
    <xf numFmtId="0" fontId="117" fillId="0" borderId="0" xfId="0" applyFont="1" applyNumberFormat="1">
      <alignment vertical="center" wrapText="1"/>
    </xf>
    <xf numFmtId="49" fontId="0" fillId="0" borderId="0" xfId="0" applyFont="1" applyNumberFormat="1">
      <alignment vertical="top"/>
    </xf>
    <xf numFmtId="0" fontId="44"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38" borderId="14" xfId="0" applyFont="1" applyFill="1" applyBorder="1" applyNumberFormat="1">
      <alignment horizontal="left" vertical="center" wrapText="1" indent="1"/>
    </xf>
    <xf numFmtId="167" fontId="0" fillId="42" borderId="17" xfId="0" applyFont="1" applyFill="1" applyBorder="1" applyNumberFormat="1">
      <alignment horizontal="left" vertical="center" wrapText="1" indent="1"/>
      <protection locked="0"/>
    </xf>
    <xf numFmtId="168" fontId="23" fillId="42" borderId="14" xfId="0" applyFont="1" applyFill="1" applyBorder="1" applyNumberFormat="1">
      <alignment horizontal="left" vertical="center" wrapText="1" indent="1"/>
      <protection locked="0"/>
    </xf>
    <xf numFmtId="167" fontId="55" fillId="0" borderId="0" xfId="0" applyFont="1" applyNumberFormat="1">
      <alignment horizontal="center" vertical="center" wrapText="1"/>
    </xf>
    <xf numFmtId="165" fontId="23" fillId="0" borderId="19"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7" xfId="0" applyFont="1" applyBorder="1" applyNumberFormat="1">
      <alignment horizontal="center" vertical="center" wrapText="1"/>
    </xf>
    <xf numFmtId="165" fontId="23" fillId="0" borderId="15" xfId="0" applyFont="1" applyBorder="1" applyNumberFormat="1">
      <alignment horizontal="center" vertical="center" wrapText="1"/>
    </xf>
    <xf numFmtId="4" fontId="23" fillId="0" borderId="38" xfId="0" applyFont="1" applyBorder="1" applyNumberFormat="1">
      <alignment horizontal="center" vertical="center" wrapText="1"/>
    </xf>
    <xf numFmtId="165" fontId="23" fillId="0" borderId="25" xfId="0" applyFont="1" applyBorder="1" applyNumberFormat="1">
      <alignment horizontal="center" vertical="center" wrapText="1"/>
    </xf>
    <xf numFmtId="165" fontId="23" fillId="0" borderId="25"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25" xfId="0" applyFont="1" applyFill="1" applyBorder="1" applyNumberFormat="1">
      <alignment horizontal="left" vertical="center" wrapText="1" indent="1"/>
    </xf>
    <xf numFmtId="14" fontId="23" fillId="42" borderId="25" xfId="0" applyFont="1" applyFill="1" applyBorder="1" applyNumberFormat="1">
      <alignment horizontal="left" vertical="center" wrapText="1" indent="1"/>
      <protection locked="0"/>
    </xf>
    <xf numFmtId="0" fontId="23" fillId="0" borderId="31" xfId="0" applyFont="1" applyBorder="1" applyNumberFormat="1">
      <alignment horizontal="left" vertical="top"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left" vertical="center" wrapText="1" indent="1"/>
    </xf>
    <xf numFmtId="165" fontId="23" fillId="0" borderId="25" xfId="0" applyFont="1" applyBorder="1" applyNumberFormat="1">
      <alignment horizontal="center" vertical="center" wrapText="1"/>
    </xf>
    <xf numFmtId="0" fontId="23" fillId="0" borderId="25" xfId="0" applyFont="1" applyBorder="1" applyNumberFormat="1">
      <alignment horizontal="left" vertical="center" wrapText="1" indent="1"/>
    </xf>
    <xf numFmtId="14" fontId="23" fillId="0" borderId="25" xfId="0" applyFont="1" applyBorder="1" applyNumberFormat="1">
      <alignment horizontal="left" vertical="center" wrapText="1" indent="1"/>
    </xf>
    <xf numFmtId="0" fontId="23" fillId="38" borderId="14" xfId="0" applyFont="1" applyFill="1" applyBorder="1" applyNumberFormat="1">
      <alignment horizontal="left" vertical="center" wrapTex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0" borderId="16"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34" fillId="40" borderId="29" xfId="0" applyFont="1" applyFill="1" applyBorder="1" applyNumberFormat="1">
      <alignment horizontal="left" vertical="center" wrapText="1"/>
    </xf>
    <xf numFmtId="49" fontId="34" fillId="40" borderId="31" xfId="0" applyFont="1" applyFill="1" applyBorder="1" applyNumberFormat="1">
      <alignment horizontal="left" vertical="center" wrapText="1"/>
    </xf>
    <xf numFmtId="0" fontId="23" fillId="37" borderId="38" xfId="0" applyFont="1" applyFill="1" applyBorder="1" applyNumberFormat="1">
      <alignment vertical="center" wrapText="1"/>
    </xf>
    <xf numFmtId="0" fontId="55" fillId="0" borderId="0" xfId="0" applyFont="1" applyNumberFormat="1">
      <alignment horizontal="center"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14"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7" xfId="0" applyFont="1" applyBorder="1" applyNumberFormat="1">
      <alignment horizontal="left" vertical="center" wrapText="1"/>
    </xf>
    <xf numFmtId="0" fontId="50" fillId="0" borderId="0" xfId="0" applyFont="1" applyNumberFormat="1">
      <alignment horizontal="center" vertical="center" wrapText="1"/>
    </xf>
    <xf numFmtId="0" fontId="23" fillId="0" borderId="0" xfId="0" applyFont="1" applyNumberFormat="1">
      <alignment horizontal="center" vertical="center" wrapText="1"/>
    </xf>
    <xf numFmtId="165" fontId="53" fillId="0" borderId="21" xfId="0" applyFont="1" applyBorder="1" applyNumberFormat="1">
      <alignment horizontal="center" vertical="center" wrapText="1"/>
    </xf>
    <xf numFmtId="165" fontId="53" fillId="0" borderId="21" xfId="0" applyFont="1" applyBorder="1" applyNumberFormat="1">
      <alignment horizontal="center" vertical="center" wrapText="1"/>
    </xf>
    <xf numFmtId="165" fontId="53" fillId="0" borderId="22" xfId="0" applyFont="1" applyBorder="1" applyNumberFormat="1">
      <alignment horizontal="center" vertical="center" wrapText="1"/>
    </xf>
    <xf numFmtId="0" fontId="55" fillId="0" borderId="0" xfId="0" applyFont="1" applyNumberFormat="1">
      <alignment horizontal="center" vertical="center"/>
    </xf>
    <xf numFmtId="165" fontId="23" fillId="0" borderId="14" xfId="0" applyFont="1" applyBorder="1" applyNumberFormat="1">
      <alignment horizontal="center" vertical="center" wrapText="1"/>
    </xf>
    <xf numFmtId="165" fontId="23" fillId="0" borderId="38" xfId="0" applyFont="1" applyBorder="1" applyNumberFormat="1">
      <alignment horizontal="center" vertical="center" wrapText="1"/>
    </xf>
    <xf numFmtId="165" fontId="23" fillId="0" borderId="14" xfId="0" applyFont="1" applyBorder="1" applyNumberFormat="1">
      <alignment horizontal="center"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43" borderId="32" xfId="0" applyFont="1" applyFill="1" applyBorder="1" applyNumberFormat="1">
      <alignment horizontal="left" vertical="center" wrapText="1"/>
    </xf>
    <xf numFmtId="0" fontId="23" fillId="0" borderId="25" xfId="0" applyFont="1" applyBorder="1" applyNumberFormat="1">
      <alignment horizontal="center" vertical="center" wrapText="1"/>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23" fillId="0" borderId="14" xfId="0" applyFont="1" applyBorder="1" applyNumberFormat="1">
      <alignment horizontal="left" vertical="top" wrapText="1"/>
    </xf>
    <xf numFmtId="49" fontId="23" fillId="43" borderId="25" xfId="0" applyFont="1" applyFill="1" applyBorder="1" applyNumberFormat="1">
      <alignment horizontal="left" vertical="center" wrapText="1"/>
    </xf>
    <xf numFmtId="49" fontId="129" fillId="0" borderId="14" xfId="0" applyFont="1" applyBorder="1" applyNumberFormat="1">
      <alignment horizontal="left" vertical="top"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37" borderId="0" xfId="0" applyFont="1" applyFill="1" applyNumberFormat="1"/>
    <xf numFmtId="49" fontId="40"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xf>
    <xf numFmtId="0" fontId="51" fillId="37" borderId="0" xfId="0" applyFont="1" applyFill="1" applyNumberFormat="1">
      <alignment horizontal="center" vertical="center" wrapText="1"/>
    </xf>
    <xf numFmtId="0" fontId="40" fillId="37" borderId="0" xfId="0" applyFont="1" applyFill="1" applyNumberFormat="1"/>
    <xf numFmtId="0" fontId="23" fillId="37" borderId="14" xfId="0" applyFont="1" applyFill="1" applyBorder="1" applyNumberFormat="1">
      <alignment horizontal="center" vertical="center" wrapTex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top"/>
    </xf>
    <xf numFmtId="49" fontId="55" fillId="0" borderId="0" xfId="0" applyFont="1" applyNumberFormat="1">
      <alignment vertical="top"/>
    </xf>
    <xf numFmtId="49" fontId="23" fillId="0" borderId="0" xfId="0" applyFont="1" applyNumberFormat="1">
      <alignment vertical="top"/>
    </xf>
    <xf numFmtId="49" fontId="48" fillId="40" borderId="17" xfId="0" applyFont="1" applyFill="1" applyBorder="1" applyNumberFormat="1">
      <alignment horizontal="left" vertical="center"/>
    </xf>
    <xf numFmtId="49" fontId="52" fillId="40" borderId="17" xfId="0" applyFont="1" applyFill="1" applyBorder="1" applyNumberFormat="1">
      <alignment horizontal="center" vertical="top"/>
    </xf>
    <xf numFmtId="49" fontId="23" fillId="0" borderId="0" xfId="0" applyFont="1" applyNumberFormat="1">
      <alignment horizontal="left" vertical="top" wrapText="1"/>
    </xf>
    <xf numFmtId="0" fontId="45" fillId="37" borderId="0" xfId="0" applyFont="1" applyFill="1" applyNumberFormat="1">
      <alignment horizontal="center" vertical="center"/>
    </xf>
    <xf numFmtId="0" fontId="23" fillId="37" borderId="0" xfId="0" applyFont="1" applyFill="1" applyNumberFormat="1"/>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0" fontId="69" fillId="0" borderId="0" xfId="0" applyFont="1" applyNumberFormat="1"/>
    <xf numFmtId="0" fontId="23" fillId="0" borderId="14" xfId="0" applyFont="1" applyBorder="1" applyNumberFormat="1">
      <alignment horizontal="center" vertical="center" wrapText="1"/>
    </xf>
    <xf numFmtId="0" fontId="23" fillId="37" borderId="19" xfId="0" applyFont="1" applyFill="1" applyBorder="1" applyNumberFormat="1">
      <alignment horizontal="center" vertical="center"/>
    </xf>
    <xf numFmtId="49" fontId="23" fillId="0" borderId="19" xfId="0" applyFont="1" applyBorder="1" applyNumberFormat="1">
      <alignment horizontal="left"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49" fontId="53" fillId="0" borderId="0" xfId="0" applyFont="1" applyNumberFormat="1">
      <alignment horizontal="right" vertical="top"/>
    </xf>
    <xf numFmtId="49" fontId="23" fillId="0" borderId="0" xfId="0" applyFont="1" applyNumberFormat="1">
      <alignment horizontal="left" vertical="top" wrapText="1"/>
    </xf>
    <xf numFmtId="49" fontId="53" fillId="0" borderId="0" xfId="0" applyFont="1" applyNumberFormat="1">
      <alignment vertical="top"/>
    </xf>
    <xf numFmtId="0" fontId="23" fillId="0" borderId="0" xfId="0" applyFont="1" applyNumberFormat="1"/>
    <xf numFmtId="0" fontId="45" fillId="0" borderId="0" xfId="0" applyFont="1" applyNumberFormat="1">
      <alignment horizontal="center" vertical="center"/>
    </xf>
    <xf numFmtId="0" fontId="23" fillId="0" borderId="0" xfId="0" applyFont="1" applyNumberFormat="1"/>
    <xf numFmtId="49" fontId="23" fillId="0" borderId="14" xfId="0" applyFont="1" applyBorder="1" applyNumberFormat="1">
      <alignment horizontal="left" vertical="center" wrapText="1"/>
    </xf>
    <xf numFmtId="49" fontId="48" fillId="40" borderId="15" xfId="0" applyFont="1" applyFill="1" applyBorder="1" applyNumberFormat="1">
      <alignment horizontal="left" vertical="center"/>
    </xf>
    <xf numFmtId="49" fontId="0" fillId="0" borderId="17" xfId="0" applyFont="1" applyBorder="1" applyNumberFormat="1">
      <alignment horizontal="left" vertical="center" indent="1"/>
    </xf>
    <xf numFmtId="49" fontId="70" fillId="0" borderId="0" xfId="0" applyFont="1" applyNumberFormat="1">
      <alignment vertical="top"/>
    </xf>
    <xf numFmtId="49" fontId="0" fillId="0" borderId="27" xfId="0" applyFont="1" applyBorder="1" applyNumberFormat="1">
      <alignment horizontal="center" vertical="center"/>
    </xf>
    <xf numFmtId="49" fontId="0" fillId="0" borderId="0" xfId="0" applyFont="1" applyNumberFormat="1">
      <alignment vertical="top"/>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49" fontId="23" fillId="39" borderId="14" xfId="0" applyFont="1" applyFill="1" applyBorder="1" applyNumberFormat="1">
      <alignment horizontal="left" vertical="center" wrapText="1"/>
      <protection locked="0"/>
    </xf>
    <xf numFmtId="0" fontId="50" fillId="0" borderId="0" xfId="0" applyFont="1" applyNumberFormat="1">
      <alignment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54" fillId="0" borderId="0" xfId="0" applyFont="1" applyNumberFormat="1">
      <alignment horizontal="center" vertical="center" wrapText="1"/>
    </xf>
    <xf numFmtId="0" fontId="54" fillId="0" borderId="14" xfId="0" applyFont="1" applyBorder="1" applyNumberFormat="1">
      <alignment horizontal="center" vertical="center" wrapText="1"/>
    </xf>
    <xf numFmtId="14" fontId="23" fillId="43" borderId="14" xfId="0" applyFont="1" applyFill="1" applyBorder="1" applyNumberFormat="1">
      <alignment horizontal="left" vertical="center" wrapText="1" indent="1"/>
    </xf>
    <xf numFmtId="49" fontId="23" fillId="38" borderId="14" xfId="0" applyFont="1" applyFill="1" applyBorder="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0" fillId="0" borderId="0" xfId="0" applyFont="1" applyNumberFormat="1">
      <alignment vertical="center"/>
    </xf>
    <xf numFmtId="0" fontId="44" fillId="0" borderId="26" xfId="0" applyFont="1" applyBorder="1" applyNumberFormat="1">
      <alignment horizontal="center" vertical="center" wrapText="1"/>
    </xf>
    <xf numFmtId="14" fontId="86" fillId="0" borderId="19" xfId="0" applyFont="1" applyBorder="1" applyNumberFormat="1">
      <alignment horizontal="center" vertical="center" wrapText="1"/>
    </xf>
    <xf numFmtId="0" fontId="80" fillId="0" borderId="14" xfId="0" applyFont="1" applyBorder="1" applyNumberFormat="1">
      <alignment horizontal="left" vertical="center" wrapText="1" indent="1"/>
    </xf>
    <xf numFmtId="0" fontId="86"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0" fontId="79" fillId="0" borderId="0" xfId="0" applyFont="1" applyNumberFormat="1">
      <alignment vertical="center"/>
    </xf>
    <xf numFmtId="14" fontId="86" fillId="0" borderId="38" xfId="0" applyFont="1" applyBorder="1" applyNumberFormat="1">
      <alignment horizontal="center" vertical="center" wrapText="1"/>
    </xf>
    <xf numFmtId="0" fontId="80" fillId="0" borderId="14" xfId="0" applyFont="1" applyBorder="1" applyNumberFormat="1">
      <alignment horizontal="left" vertical="top" indent="1"/>
    </xf>
    <xf numFmtId="49" fontId="0" fillId="0" borderId="14" xfId="0" applyFont="1" applyBorder="1" applyNumberFormat="1">
      <alignment vertical="top"/>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0" fontId="44" fillId="0" borderId="14" xfId="0" applyFont="1" applyBorder="1" applyNumberFormat="1">
      <alignment horizontal="center" vertical="center" wrapText="1"/>
    </xf>
    <xf numFmtId="49" fontId="23" fillId="0" borderId="15"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23" fillId="43" borderId="16" xfId="0" applyFont="1" applyFill="1" applyBorder="1" applyNumberFormat="1">
      <alignment horizontal="left" vertical="center" wrapText="1"/>
    </xf>
    <xf numFmtId="49" fontId="0" fillId="0" borderId="14" xfId="0" applyFont="1" applyBorder="1" applyNumberFormat="1">
      <alignment vertical="top"/>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0" borderId="0" xfId="0" applyFont="1" applyNumberFormat="1">
      <alignment vertical="top"/>
    </xf>
    <xf numFmtId="0" fontId="45" fillId="37" borderId="0" xfId="0" applyFont="1" applyFill="1" applyNumberFormat="1">
      <alignment vertical="top" wrapText="1"/>
    </xf>
    <xf numFmtId="0" fontId="23" fillId="37" borderId="16" xfId="0" applyFont="1" applyFill="1" applyBorder="1" applyNumberFormat="1">
      <alignment horizontal="center" vertical="center" wrapText="1"/>
    </xf>
    <xf numFmtId="0" fontId="55" fillId="37" borderId="14" xfId="0" applyFont="1" applyFill="1" applyBorder="1" applyNumberFormat="1">
      <alignment horizontal="center" vertical="center" wrapText="1"/>
    </xf>
    <xf numFmtId="14" fontId="23" fillId="43" borderId="31" xfId="0" applyFont="1" applyFill="1" applyBorder="1" applyNumberFormat="1">
      <alignment horizontal="left" vertical="center" wrapText="1"/>
    </xf>
    <xf numFmtId="49" fontId="127" fillId="42" borderId="14" xfId="0" applyFont="1" applyFill="1" applyBorder="1" applyNumberFormat="1">
      <alignment horizontal="left" vertical="center" wrapText="1"/>
      <protection locked="0"/>
    </xf>
    <xf numFmtId="49" fontId="0" fillId="0" borderId="14" xfId="0" applyFont="1" applyBorder="1" applyNumberFormat="1">
      <alignment horizontal="center" vertical="center" wrapText="1"/>
    </xf>
    <xf numFmtId="0" fontId="23" fillId="43" borderId="16" xfId="0" applyFont="1" applyFill="1" applyBorder="1" applyNumberFormat="1">
      <alignment horizontal="left" vertical="center" wrapText="1"/>
    </xf>
    <xf numFmtId="0" fontId="0" fillId="0" borderId="25" xfId="0" applyFont="1" applyBorder="1" applyNumberFormat="1">
      <alignment horizontal="center" vertical="center" wrapText="1"/>
    </xf>
    <xf numFmtId="49" fontId="45" fillId="0" borderId="0" xfId="0" applyFont="1" applyNumberFormat="1">
      <alignment horizontal="center" vertical="center" wrapText="1"/>
    </xf>
    <xf numFmtId="167"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49"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45" fillId="0" borderId="26" xfId="0" applyFont="1" applyBorder="1" applyNumberFormat="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167" fontId="0" fillId="42" borderId="14" xfId="0" applyFont="1" applyFill="1" applyBorder="1" applyNumberFormat="1">
      <alignment horizontal="center" vertical="top" wrapText="1"/>
      <protection locked="0"/>
    </xf>
    <xf numFmtId="167"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0" fontId="23" fillId="39" borderId="14" xfId="0" applyFont="1" applyFill="1" applyBorder="1" applyNumberFormat="1">
      <alignment horizontal="left" vertical="top" wrapText="1"/>
      <protection locked="0"/>
    </xf>
    <xf numFmtId="49" fontId="23" fillId="43" borderId="14" xfId="0" applyFont="1" applyFill="1" applyBorder="1" applyNumberFormat="1">
      <alignment horizontal="center" vertical="top" wrapText="1"/>
    </xf>
    <xf numFmtId="0" fontId="23" fillId="0" borderId="38" xfId="0" applyFont="1" applyBorder="1" applyNumberFormat="1">
      <alignment horizontal="center" vertical="center" wrapText="1"/>
    </xf>
    <xf numFmtId="0" fontId="23" fillId="0" borderId="14" xfId="0" applyFont="1" applyBorder="1" applyNumberFormat="1">
      <alignment horizontal="center" vertical="center" wrapText="1"/>
    </xf>
    <xf numFmtId="49" fontId="23" fillId="42" borderId="19" xfId="0" applyFont="1" applyFill="1" applyBorder="1" applyNumberFormat="1">
      <alignment horizontal="left" vertical="center" wrapText="1" indent="1"/>
      <protection locked="0"/>
    </xf>
    <xf numFmtId="0" fontId="23" fillId="0" borderId="26" xfId="0" applyFont="1" applyBorder="1" applyNumberFormat="1">
      <alignment vertical="top" wrapText="1"/>
    </xf>
    <xf numFmtId="49" fontId="23" fillId="43" borderId="25" xfId="0" applyFont="1" applyFill="1" applyBorder="1" applyNumberFormat="1">
      <alignment horizontal="center" vertical="top" wrapText="1"/>
    </xf>
    <xf numFmtId="49" fontId="0" fillId="42"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6" xfId="0" applyFont="1" applyFill="1" applyBorder="1" applyNumberFormat="1">
      <alignment horizontal="center" vertical="top" wrapText="1"/>
    </xf>
    <xf numFmtId="49" fontId="23" fillId="0" borderId="38" xfId="0" applyFont="1" applyBorder="1" applyNumberFormat="1">
      <alignment horizontal="center" vertical="top" wrapText="1"/>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6" xfId="0" applyFont="1" applyBorder="1" applyNumberFormat="1">
      <alignment vertical="center" wrapText="1"/>
    </xf>
    <xf numFmtId="0" fontId="23" fillId="0" borderId="57" xfId="0" applyFont="1" applyBorder="1" applyNumberFormat="1">
      <alignment vertical="center" wrapText="1"/>
    </xf>
    <xf numFmtId="0" fontId="23" fillId="0" borderId="40" xfId="0" applyFont="1" applyBorder="1" applyNumberFormat="1">
      <alignment vertical="center" wrapText="1"/>
    </xf>
    <xf numFmtId="49" fontId="23" fillId="38" borderId="14" xfId="0" applyFont="1" applyFill="1" applyBorder="1" applyNumberFormat="1">
      <alignment horizontal="center"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23" fillId="43" borderId="16" xfId="0" applyFont="1" applyFill="1" applyBorder="1" applyNumberFormat="1">
      <alignment horizontal="center" vertical="center" wrapText="1"/>
    </xf>
    <xf numFmtId="49" fontId="110" fillId="40" borderId="45" xfId="0" applyFont="1" applyFill="1" applyBorder="1" applyNumberFormat="1">
      <alignment horizontal="left" vertical="center" indent="1"/>
    </xf>
    <xf numFmtId="49" fontId="99" fillId="40" borderId="45" xfId="0" applyFont="1" applyFill="1" applyBorder="1" applyNumberFormat="1">
      <alignment horizontal="center" vertical="center"/>
    </xf>
    <xf numFmtId="3" fontId="23" fillId="42" borderId="14" xfId="0" applyFont="1" applyFill="1" applyBorder="1" applyNumberFormat="1">
      <alignment horizontal="center" vertical="center" wrapText="1"/>
      <protection locked="0"/>
    </xf>
    <xf numFmtId="49" fontId="128" fillId="0" borderId="15" xfId="0" applyFont="1" applyBorder="1" applyNumberFormat="1">
      <alignment horizontal="center" vertical="center" wrapText="1"/>
    </xf>
    <xf numFmtId="0" fontId="53" fillId="0" borderId="14" xfId="0" applyFont="1" applyBorder="1" applyNumberFormat="1">
      <alignment horizontal="center" vertical="center"/>
    </xf>
    <xf numFmtId="49" fontId="23" fillId="43" borderId="19"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23" fillId="43" borderId="38" xfId="0" applyFont="1" applyFill="1" applyBorder="1" applyNumberFormat="1">
      <alignment horizontal="left" vertical="center" wrapText="1" indent="1"/>
    </xf>
    <xf numFmtId="49" fontId="23" fillId="38" borderId="14" xfId="0" applyFont="1" applyFill="1" applyBorder="1" applyNumberFormat="1">
      <alignment horizontal="left" vertical="center" wrapText="1"/>
    </xf>
    <xf numFmtId="49" fontId="128" fillId="0" borderId="0" xfId="0" applyFont="1" applyNumberFormat="1">
      <alignment horizontal="center" vertical="top" wrapText="1"/>
    </xf>
    <xf numFmtId="0" fontId="53" fillId="0" borderId="14" xfId="0" applyFont="1" applyBorder="1" applyNumberFormat="1">
      <alignment horizontal="center" vertical="center"/>
    </xf>
    <xf numFmtId="0" fontId="53" fillId="43" borderId="14" xfId="0" applyFont="1" applyFill="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43" borderId="25" xfId="0" applyFont="1" applyFill="1" applyBorder="1" applyNumberFormat="1">
      <alignment horizontal="left" vertical="center" wrapText="1" indent="1"/>
    </xf>
    <xf numFmtId="49" fontId="48" fillId="40" borderId="17" xfId="0" applyFont="1" applyFill="1" applyBorder="1" applyNumberFormat="1">
      <alignment horizontal="left" vertical="center" inden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49" fontId="23" fillId="38" borderId="77" xfId="0" applyFont="1" applyFill="1" applyBorder="1" applyNumberFormat="1">
      <alignment horizontal="center" vertical="center" wrapText="1"/>
    </xf>
    <xf numFmtId="0" fontId="0" fillId="40" borderId="52" xfId="0" applyFont="1" applyFill="1" applyBorder="1" applyNumberFormat="1">
      <alignment horizontal="left" vertical="center"/>
    </xf>
    <xf numFmtId="49" fontId="48" fillId="40" borderId="53" xfId="0" applyFont="1" applyFill="1" applyBorder="1" applyNumberFormat="1">
      <alignment horizontal="left" vertical="center" inden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0" fontId="23" fillId="40" borderId="55" xfId="0" applyFont="1" applyFill="1" applyBorder="1" applyNumberFormat="1">
      <alignment vertical="center" wrapText="1"/>
    </xf>
    <xf numFmtId="49" fontId="0" fillId="38" borderId="38" xfId="0" applyFont="1" applyFill="1" applyBorder="1" applyNumberFormat="1">
      <alignment vertical="top"/>
    </xf>
    <xf numFmtId="49" fontId="0" fillId="0" borderId="38" xfId="0" applyFont="1" applyBorder="1" applyNumberFormat="1">
      <alignment vertical="top"/>
    </xf>
    <xf numFmtId="49" fontId="23" fillId="43" borderId="19" xfId="0" applyFont="1" applyFill="1" applyBorder="1" applyNumberFormat="1">
      <alignment vertical="center" wrapText="1"/>
    </xf>
    <xf numFmtId="49" fontId="0" fillId="42" borderId="38" xfId="0" applyFont="1" applyFill="1" applyBorder="1" applyNumberFormat="1">
      <alignment vertical="top"/>
      <protection locked="0"/>
    </xf>
    <xf numFmtId="49" fontId="128" fillId="0" borderId="14" xfId="0" applyFont="1" applyBorder="1" applyNumberFormat="1">
      <alignment horizontal="center" vertical="center" wrapText="1"/>
    </xf>
    <xf numFmtId="49" fontId="0" fillId="42" borderId="19" xfId="0" applyFont="1" applyFill="1" applyBorder="1" applyNumberFormat="1">
      <alignment vertical="top"/>
      <protection locked="0"/>
    </xf>
    <xf numFmtId="14" fontId="23" fillId="43" borderId="38" xfId="0" applyFont="1" applyFill="1" applyBorder="1" applyNumberFormat="1">
      <alignment horizontal="left" vertical="center" wrapText="1" inden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0" fontId="53" fillId="0" borderId="15" xfId="0" applyFont="1" applyBorder="1" applyNumberFormat="1">
      <alignment horizontal="center" vertical="center"/>
    </xf>
    <xf numFmtId="0" fontId="108" fillId="0" borderId="49" xfId="0" applyFont="1" applyBorder="1" applyNumberFormat="1">
      <alignment horizontal="left" vertical="center" indent="1"/>
    </xf>
    <xf numFmtId="49" fontId="23" fillId="0" borderId="58" xfId="0" applyFont="1" applyBorder="1" applyNumberFormat="1">
      <alignment horizontal="center" vertical="center"/>
    </xf>
    <xf numFmtId="0" fontId="23" fillId="0" borderId="58" xfId="0" applyFont="1" applyBorder="1" applyNumberFormat="1">
      <alignment horizontal="right" vertical="center"/>
    </xf>
    <xf numFmtId="0" fontId="23" fillId="0" borderId="58"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49" fontId="0" fillId="0" borderId="0" xfId="0" applyFont="1" applyNumberFormat="1">
      <alignment vertical="top"/>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39" borderId="14" xfId="0" applyFont="1" applyFill="1" applyBorder="1" applyNumberFormat="1">
      <alignment horizontal="left" vertical="center"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9"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48" fillId="0" borderId="14" xfId="0" applyFont="1" applyBorder="1" applyNumberFormat="1">
      <alignment horizontal="left" vertical="center" indent="1"/>
    </xf>
    <xf numFmtId="0" fontId="54" fillId="0" borderId="0" xfId="0" applyFont="1" applyNumberFormat="1">
      <alignment horizontal="center" vertical="top"/>
    </xf>
    <xf numFmtId="49" fontId="23" fillId="0" borderId="25" xfId="0" applyFont="1" applyBorder="1" applyNumberFormat="1">
      <alignment horizontal="center" vertical="center" wrapText="1"/>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49" fontId="55" fillId="0" borderId="15" xfId="0" applyFont="1" applyBorder="1" applyNumberFormat="1">
      <alignment horizontal="left" vertical="center" indent="1"/>
    </xf>
    <xf numFmtId="0" fontId="55" fillId="0" borderId="14" xfId="0" applyFont="1" applyBorder="1" applyNumberFormat="1">
      <alignment horizontal="left" vertical="center" indent="1"/>
    </xf>
    <xf numFmtId="49" fontId="0" fillId="0" borderId="21" xfId="0" applyFont="1" applyBorder="1" applyNumberFormat="1">
      <alignment vertical="top"/>
    </xf>
    <xf numFmtId="49" fontId="45" fillId="0" borderId="19"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0" fillId="0" borderId="15" xfId="0" applyFont="1" applyBorder="1" applyNumberFormat="1">
      <alignment horizontal="center" vertical="center" wrapText="1"/>
    </xf>
    <xf numFmtId="0" fontId="0" fillId="0" borderId="14" xfId="0" applyFont="1" applyBorder="1" applyNumberFormat="1">
      <alignment horizontal="left" vertical="center" wrapText="1"/>
    </xf>
    <xf numFmtId="49" fontId="0" fillId="0" borderId="14" xfId="0" applyFont="1" applyBorder="1" applyNumberFormat="1">
      <alignment horizontal="center" vertical="center"/>
    </xf>
    <xf numFmtId="0" fontId="0" fillId="0" borderId="14" xfId="0" applyFont="1" applyBorder="1" applyNumberFormat="1">
      <alignment horizontal="center" vertical="center" wrapText="1"/>
    </xf>
    <xf numFmtId="4" fontId="0" fillId="38" borderId="14" xfId="0" applyFont="1" applyFill="1" applyBorder="1" applyNumberFormat="1">
      <alignment horizontal="right" vertical="center" wrapText="1"/>
    </xf>
    <xf numFmtId="49" fontId="23" fillId="0" borderId="38" xfId="0" applyFont="1" applyBorder="1" applyNumberFormat="1">
      <alignment horizontal="center" vertical="top" wrapText="1"/>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2" borderId="14" xfId="0" applyFont="1" applyFill="1" applyBorder="1" applyNumberFormat="1">
      <alignment horizontal="left" vertical="center" wrapText="1"/>
      <protection locked="0"/>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23" fillId="0" borderId="25" xfId="0" applyFont="1" applyBorder="1" applyNumberFormat="1">
      <alignment horizontal="center" vertical="top" wrapText="1"/>
    </xf>
    <xf numFmtId="49" fontId="23" fillId="42" borderId="14" xfId="0" applyFont="1" applyFill="1" applyBorder="1" applyNumberFormat="1">
      <alignment horizontal="left" vertical="center" wrapText="1" indent="1"/>
      <protection locked="0"/>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45" fillId="0" borderId="0" xfId="0" applyFont="1" applyNumberFormat="1">
      <alignment horizontal="center" vertical="center" wrapText="1"/>
    </xf>
    <xf numFmtId="0" fontId="0" fillId="0" borderId="14" xfId="0" applyFont="1" applyBorder="1" applyNumberFormat="1">
      <alignment horizontal="center" vertical="center"/>
    </xf>
    <xf numFmtId="0" fontId="23" fillId="43" borderId="14" xfId="0" applyFont="1" applyFill="1" applyBorder="1" applyNumberFormat="1">
      <alignment horizontal="left" vertical="top" wrapText="1"/>
    </xf>
    <xf numFmtId="49" fontId="23" fillId="39" borderId="14" xfId="0" applyFont="1" applyFill="1" applyBorder="1" applyNumberFormat="1">
      <alignment horizontal="left" vertical="center" wrapText="1"/>
      <protection locked="0"/>
    </xf>
    <xf numFmtId="0" fontId="0" fillId="43" borderId="14"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23"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0" fillId="0" borderId="14" xfId="0" applyFont="1" applyBorder="1" applyNumberFormat="1">
      <alignment vertical="top"/>
    </xf>
    <xf numFmtId="49" fontId="0" fillId="0" borderId="14" xfId="0" applyFont="1" applyBorder="1" applyNumberFormat="1">
      <alignment horizontal="left" vertical="top"/>
    </xf>
    <xf numFmtId="49" fontId="0" fillId="43" borderId="14" xfId="0" applyFont="1" applyFill="1" applyBorder="1" applyNumberFormat="1">
      <alignment horizontal="left" vertical="top"/>
    </xf>
    <xf numFmtId="49" fontId="0" fillId="39" borderId="14" xfId="0" applyFont="1" applyFill="1" applyBorder="1" applyNumberFormat="1">
      <alignment horizontal="left" vertical="top"/>
      <protection locked="0"/>
    </xf>
    <xf numFmtId="49" fontId="0" fillId="43" borderId="14" xfId="0" applyFont="1" applyFill="1" applyBorder="1" applyNumberFormat="1">
      <alignment horizontal="left" vertical="center" wrapText="1"/>
      <protection locked="0"/>
    </xf>
    <xf numFmtId="0" fontId="0" fillId="40" borderId="17" xfId="0" applyFont="1" applyFill="1" applyBorder="1" applyNumberFormat="1">
      <alignment vertical="center"/>
    </xf>
    <xf numFmtId="49" fontId="0" fillId="0" borderId="38" xfId="0" applyFont="1" applyBorder="1" applyNumberFormat="1">
      <alignment horizontal="left" vertical="top"/>
    </xf>
    <xf numFmtId="0" fontId="23" fillId="43" borderId="38" xfId="0" applyFont="1" applyFill="1" applyBorder="1" applyNumberFormat="1">
      <alignment horizontal="center" vertical="top" wrapText="1"/>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23" fillId="43" borderId="0" xfId="0" applyFont="1" applyFill="1" applyNumberFormat="1">
      <alignment horizontal="center" vertical="center" wrapText="1"/>
    </xf>
    <xf numFmtId="0" fontId="48" fillId="0" borderId="38" xfId="0" applyFont="1" applyBorder="1" applyNumberFormat="1">
      <alignment horizontal="left" vertical="center"/>
    </xf>
    <xf numFmtId="49" fontId="0" fillId="43" borderId="38" xfId="0" applyFont="1" applyFill="1" applyBorder="1" applyNumberFormat="1">
      <alignment horizontal="left" vertical="center" wrapText="1"/>
      <protection locked="0"/>
    </xf>
    <xf numFmtId="49" fontId="23" fillId="43" borderId="38" xfId="0" applyFont="1" applyFill="1" applyBorder="1" applyNumberFormat="1">
      <alignment horizontal="center" vertical="center" wrapText="1"/>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0" fontId="48" fillId="40" borderId="31" xfId="0" applyFont="1" applyFill="1" applyBorder="1" applyNumberFormat="1">
      <alignment horizontal="left" vertical="center"/>
    </xf>
    <xf numFmtId="49" fontId="0" fillId="0" borderId="0" xfId="0" applyFont="1" applyNumberFormat="1">
      <alignment vertical="top"/>
    </xf>
    <xf numFmtId="49" fontId="0" fillId="39" borderId="38" xfId="0" applyFont="1" applyFill="1" applyBorder="1" applyNumberFormat="1">
      <alignment vertical="top"/>
      <protection locked="0"/>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0" fillId="0" borderId="24"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0" fontId="0" fillId="0" borderId="29" xfId="0" applyFont="1" applyBorder="1" applyNumberFormat="1">
      <alignment vertical="center"/>
    </xf>
    <xf numFmtId="49" fontId="23" fillId="0" borderId="38" xfId="0" applyFont="1" applyBorder="1" applyNumberFormat="1">
      <alignment horizontal="center" vertical="center"/>
    </xf>
    <xf numFmtId="49" fontId="23" fillId="0" borderId="38" xfId="0" applyFont="1" applyBorder="1" applyNumberFormat="1">
      <alignment vertical="center" wrapText="1"/>
    </xf>
    <xf numFmtId="0" fontId="23" fillId="0" borderId="26" xfId="0" applyFont="1" applyBorder="1" applyNumberFormat="1">
      <alignment horizontal="center" vertical="center"/>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45" fillId="0" borderId="38" xfId="0" applyFont="1" applyBorder="1" applyNumberFormat="1">
      <alignment vertical="center" wrapText="1"/>
    </xf>
    <xf numFmtId="0" fontId="23" fillId="43" borderId="19" xfId="0" applyFont="1" applyFill="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horizontal="left" vertical="center" wrapText="1"/>
    </xf>
    <xf numFmtId="0"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vertical="center" wrapText="1"/>
    </xf>
    <xf numFmtId="0" fontId="23" fillId="0" borderId="38" xfId="0" applyFont="1" applyBorder="1" applyNumberFormat="1">
      <alignment horizontal="left" vertical="center" wrapText="1"/>
    </xf>
    <xf numFmtId="49" fontId="23" fillId="0" borderId="38" xfId="0" applyFont="1" applyBorder="1" applyNumberFormat="1">
      <alignment horizontal="left" vertical="center" wrapText="1"/>
    </xf>
    <xf numFmtId="0" fontId="23" fillId="43" borderId="38" xfId="0" applyFont="1" applyFill="1" applyBorder="1" applyNumberFormat="1">
      <alignment horizontal="left" vertical="center" wrapText="1"/>
    </xf>
    <xf numFmtId="49" fontId="23" fillId="0" borderId="38" xfId="0" applyFont="1" applyBorder="1" applyNumberFormat="1">
      <alignment horizontal="center"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23" fillId="0" borderId="38" xfId="0" applyFont="1" applyBorder="1" applyNumberFormat="1">
      <alignment horizontal="center" vertical="center" wrapText="1"/>
    </xf>
    <xf numFmtId="0" fontId="48" fillId="40" borderId="39"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45" fillId="0" borderId="38" xfId="0" applyFont="1" applyBorder="1" applyNumberFormat="1">
      <alignment horizontal="center" vertical="center" wrapText="1"/>
    </xf>
    <xf numFmtId="0" fontId="48" fillId="40" borderId="39" xfId="0" applyFont="1" applyFill="1" applyBorder="1" applyNumberFormat="1">
      <alignment vertical="center"/>
    </xf>
    <xf numFmtId="0" fontId="48" fillId="0" borderId="38" xfId="0" applyFont="1" applyBorder="1" applyNumberFormat="1">
      <alignment horizontal="left" vertical="center"/>
    </xf>
    <xf numFmtId="49" fontId="23" fillId="39" borderId="19" xfId="0" applyFont="1" applyFill="1" applyBorder="1" applyNumberFormat="1">
      <alignment horizontal="left" vertical="center" wrapText="1"/>
      <protection locked="0"/>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0" borderId="21" xfId="0" applyFont="1" applyBorder="1" applyNumberFormat="1">
      <alignment horizontal="lef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49" fontId="100" fillId="0" borderId="14" xfId="0" applyFont="1" applyBorder="1" applyNumberFormat="1">
      <alignment vertical="top" wrapText="1"/>
    </xf>
    <xf numFmtId="49" fontId="96" fillId="0" borderId="14" xfId="0" applyFont="1" applyBorder="1" applyNumberFormat="1">
      <alignment horizontal="center" vertical="top" wrapText="1"/>
    </xf>
    <xf numFmtId="49" fontId="96" fillId="34" borderId="14" xfId="0" applyFont="1" applyFill="1" applyBorder="1" applyNumberFormat="1">
      <alignment horizontal="center" vertical="top"/>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0" fontId="100" fillId="0" borderId="14" xfId="0" applyFont="1" applyBorder="1" applyNumberFormat="1">
      <alignment vertical="top" wrapText="1"/>
    </xf>
    <xf numFmtId="49" fontId="100" fillId="0" borderId="0" xfId="0" applyFont="1" applyNumberFormat="1">
      <alignment vertical="top" wrapText="1"/>
    </xf>
    <xf numFmtId="49" fontId="100" fillId="0" borderId="0" xfId="0" applyFont="1" applyNumberFormat="1">
      <alignment vertical="top"/>
    </xf>
    <xf numFmtId="49" fontId="100" fillId="0" borderId="0" xfId="0" applyFont="1" applyNumberFormat="1">
      <alignment horizontal="center" vertical="top" wrapText="1"/>
    </xf>
    <xf numFmtId="49" fontId="100" fillId="0" borderId="14" xfId="0" applyFont="1" applyBorder="1" applyNumberFormat="1">
      <alignment horizontal="center" vertical="top" wrapText="1"/>
    </xf>
    <xf numFmtId="49" fontId="100" fillId="0" borderId="14" xfId="0" applyFont="1" applyBorder="1" applyNumberFormat="1">
      <alignment horizontal="center" vertical="top" wrapText="1"/>
    </xf>
    <xf numFmtId="49" fontId="100" fillId="34" borderId="14" xfId="0" applyFont="1" applyFill="1" applyBorder="1" applyNumberFormat="1">
      <alignment horizontal="center" vertical="top" wrapText="1"/>
    </xf>
    <xf numFmtId="49" fontId="96" fillId="34" borderId="14" xfId="0" applyFont="1" applyFill="1" applyBorder="1" applyNumberFormat="1">
      <alignment horizontal="center" vertical="top" wrapText="1"/>
    </xf>
    <xf numFmtId="49" fontId="100" fillId="0" borderId="14" xfId="0" applyFont="1" applyBorder="1" applyNumberFormat="1">
      <alignment horizontal="left" vertical="top" wrapText="1"/>
    </xf>
    <xf numFmtId="0" fontId="96" fillId="34" borderId="14" xfId="0" applyFont="1" applyFill="1" applyBorder="1" applyNumberFormat="1">
      <alignment horizontal="center" vertical="top" wrapText="1"/>
    </xf>
    <xf numFmtId="0" fontId="100" fillId="34" borderId="14" xfId="0" applyFont="1" applyFill="1" applyBorder="1" applyNumberFormat="1">
      <alignment horizontal="right" vertical="center"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0" fontId="100" fillId="0" borderId="14" xfId="0" applyFont="1" applyBorder="1" applyNumberFormat="1">
      <alignment horizontal="left" vertical="top" wrapText="1"/>
    </xf>
    <xf numFmtId="49" fontId="100" fillId="34" borderId="14" xfId="0" applyFont="1" applyFill="1" applyBorder="1" applyNumberFormat="1">
      <alignment horizontal="left" vertical="top" wrapText="1"/>
    </xf>
    <xf numFmtId="0" fontId="100" fillId="34" borderId="14" xfId="0" applyFont="1" applyFill="1" applyBorder="1" applyNumberFormat="1">
      <alignment horizontal="center" vertical="center" wrapText="1"/>
    </xf>
    <xf numFmtId="0" fontId="100" fillId="34" borderId="14" xfId="0" applyFont="1" applyFill="1" applyBorder="1" applyNumberFormat="1">
      <alignment horizontal="center" vertical="center"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19" xfId="0" applyFont="1" applyBorder="1" applyNumberFormat="1">
      <alignment horizontal="center" vertical="top" wrapText="1"/>
    </xf>
    <xf numFmtId="0" fontId="100" fillId="0" borderId="19" xfId="0" applyFont="1" applyBorder="1" applyNumberFormat="1">
      <alignment horizontal="left" vertical="top" wrapText="1"/>
    </xf>
    <xf numFmtId="49" fontId="100" fillId="0" borderId="39" xfId="0" applyFont="1" applyBorder="1" applyNumberFormat="1">
      <alignment horizontal="center" vertical="top" wrapText="1"/>
    </xf>
    <xf numFmtId="49" fontId="100" fillId="0" borderId="39" xfId="0" applyFont="1" applyBorder="1" applyNumberFormat="1">
      <alignment horizontal="center" vertical="top" wrapText="1"/>
    </xf>
    <xf numFmtId="0" fontId="100" fillId="0" borderId="15" xfId="0" applyFont="1" applyBorder="1" applyNumberFormat="1">
      <alignment horizontal="left" vertical="top" wrapText="1"/>
    </xf>
    <xf numFmtId="49" fontId="100" fillId="0" borderId="25"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24" xfId="0" applyFont="1" applyBorder="1" applyNumberFormat="1">
      <alignment horizontal="center" vertical="top" wrapText="1"/>
    </xf>
    <xf numFmtId="0" fontId="100" fillId="0" borderId="19" xfId="0" applyFont="1" applyBorder="1" applyNumberFormat="1">
      <alignment vertical="top" wrapText="1"/>
    </xf>
    <xf numFmtId="49" fontId="96" fillId="0" borderId="14" xfId="0" applyFont="1" applyBorder="1" applyNumberFormat="1">
      <alignment horizontal="left" vertical="top" wrapText="1"/>
    </xf>
    <xf numFmtId="0" fontId="96" fillId="0" borderId="16" xfId="0" applyFont="1" applyBorder="1" applyNumberFormat="1">
      <alignment horizontal="center" vertical="center" wrapText="1"/>
    </xf>
    <xf numFmtId="0" fontId="96" fillId="0" borderId="16" xfId="0" applyFont="1" applyBorder="1" applyNumberFormat="1">
      <alignment horizontal="center" vertical="center"/>
    </xf>
    <xf numFmtId="49" fontId="96" fillId="0" borderId="14" xfId="0" applyFont="1" applyBorder="1" applyNumberFormat="1">
      <alignment horizontal="center" vertical="center" wrapText="1"/>
    </xf>
    <xf numFmtId="0" fontId="96" fillId="0" borderId="14" xfId="0" applyFont="1" applyBorder="1" applyNumberFormat="1">
      <alignment vertical="center" wrapText="1"/>
    </xf>
    <xf numFmtId="49" fontId="100" fillId="0" borderId="16" xfId="0" applyFont="1" applyBorder="1" applyNumberFormat="1">
      <alignment horizontal="left" vertical="top" wrapText="1"/>
    </xf>
    <xf numFmtId="0" fontId="96" fillId="0" borderId="14" xfId="0" applyFont="1" applyBorder="1" applyNumberFormat="1">
      <alignment horizontal="center"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100" fillId="0" borderId="32" xfId="0" applyFont="1" applyBorder="1" applyNumberFormat="1">
      <alignment horizontal="left" vertical="top" wrapText="1"/>
    </xf>
    <xf numFmtId="49" fontId="100" fillId="0" borderId="15" xfId="0" applyFont="1" applyBorder="1" applyNumberFormat="1">
      <alignment horizontal="left" vertical="top"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38" xfId="0" applyFont="1" applyBorder="1" applyNumberFormat="1">
      <alignment horizontal="left" vertical="top" wrapText="1"/>
    </xf>
    <xf numFmtId="0" fontId="100" fillId="0" borderId="38" xfId="0" applyFont="1" applyBorder="1" applyNumberFormat="1">
      <alignment horizontal="left" vertical="top" wrapText="1"/>
    </xf>
    <xf numFmtId="49" fontId="100" fillId="0" borderId="0" xfId="0" applyFont="1" applyNumberFormat="1">
      <alignment horizontal="left" vertical="top" wrapText="1"/>
    </xf>
    <xf numFmtId="49" fontId="100" fillId="34" borderId="0" xfId="0" applyFont="1" applyFill="1" applyNumberFormat="1">
      <alignment horizontal="left" vertical="top" wrapText="1"/>
    </xf>
    <xf numFmtId="0" fontId="100" fillId="0" borderId="0" xfId="0" applyFont="1" applyNumberFormat="1">
      <alignment vertical="top" wrapText="1"/>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0" fontId="0" fillId="0" borderId="0" xfId="0" applyFont="1" applyNumberFormat="1">
      <alignment horizontal="left" vertical="center"/>
    </xf>
    <xf numFmtId="0" fontId="0" fillId="37" borderId="14" xfId="0" applyFont="1" applyFill="1" applyBorder="1" applyNumberFormat="1">
      <alignment horizontal="right" vertical="center" wrapText="1" indent="1"/>
    </xf>
    <xf numFmtId="0" fontId="0" fillId="0" borderId="16" xfId="0" applyFont="1" applyBorder="1" applyNumberFormat="1">
      <alignment vertical="center"/>
    </xf>
    <xf numFmtId="0" fontId="23" fillId="0" borderId="0" xfId="0" applyFont="1" applyNumberFormat="1">
      <alignment horizontal="left" vertical="center" wrapText="1"/>
    </xf>
    <xf numFmtId="0" fontId="23" fillId="0" borderId="0" xfId="0" applyFont="1" applyNumberFormat="1">
      <alignment horizontal="righ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 fontId="23" fillId="38" borderId="14" xfId="0" applyFont="1" applyFill="1" applyBorder="1" applyNumberFormat="1">
      <alignment horizontal="left"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indent="6"/>
      <protection locked="0"/>
    </xf>
    <xf numFmtId="167" fontId="0" fillId="42" borderId="14" xfId="0" applyFont="1" applyFill="1" applyBorder="1" applyNumberFormat="1">
      <alignment horizontal="center" vertical="center" wrapText="1"/>
      <protection locked="0"/>
    </xf>
    <xf numFmtId="49" fontId="23" fillId="0" borderId="14" xfId="0" applyFont="1" applyBorder="1" applyNumberFormat="1">
      <alignment horizontal="left" vertical="center" wrapText="1"/>
    </xf>
    <xf numFmtId="49" fontId="106" fillId="40" borderId="16" xfId="0" applyFont="1" applyFill="1" applyBorder="1" applyNumberFormat="1">
      <alignment horizontal="left" vertical="center"/>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54" fillId="0" borderId="0" xfId="0" applyFont="1" applyNumberFormat="1">
      <alignment horizontal="left" vertical="center"/>
    </xf>
    <xf numFmtId="49" fontId="40" fillId="0" borderId="0" xfId="0" applyFont="1" applyNumberFormat="1">
      <alignment vertical="top"/>
    </xf>
    <xf numFmtId="49" fontId="0" fillId="0" borderId="26" xfId="0" applyFont="1" applyBorder="1" applyNumberFormat="1">
      <alignment vertical="top"/>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54" fillId="0" borderId="0" xfId="0" applyFont="1" applyNumberFormat="1">
      <alignment horizontal="left" vertical="center"/>
    </xf>
    <xf numFmtId="49" fontId="54" fillId="0" borderId="0" xfId="0" applyFont="1" applyNumberFormat="1">
      <alignment horizontal="left" vertical="top"/>
    </xf>
    <xf numFmtId="49" fontId="72" fillId="40" borderId="16" xfId="0" applyFont="1" applyFill="1" applyBorder="1" applyNumberFormat="1">
      <alignment horizontal="left" vertical="top"/>
    </xf>
    <xf numFmtId="49" fontId="114" fillId="40" borderId="17" xfId="0" applyFont="1" applyFill="1" applyBorder="1" applyNumberFormat="1">
      <alignment horizontal="left" vertical="center"/>
    </xf>
    <xf numFmtId="49" fontId="55" fillId="0" borderId="0" xfId="0" applyFont="1" applyNumberFormat="1">
      <alignment vertical="top"/>
    </xf>
    <xf numFmtId="0" fontId="23" fillId="0" borderId="0" xfId="0" applyFont="1" applyNumberFormat="1">
      <alignment horizontal="left" vertical="top" wrapText="1"/>
    </xf>
    <xf numFmtId="49" fontId="23" fillId="0" borderId="0" xfId="0" applyFont="1" applyNumberFormat="1">
      <alignment vertical="center" wrapText="1"/>
    </xf>
    <xf numFmtId="49" fontId="0" fillId="0" borderId="0" xfId="0" applyFont="1" applyNumberFormat="1">
      <alignment vertical="top"/>
    </xf>
    <xf numFmtId="49" fontId="0" fillId="0" borderId="14" xfId="0" applyFont="1" applyBorder="1" applyNumberFormat="1">
      <alignment vertical="top"/>
    </xf>
    <xf numFmtId="49" fontId="0" fillId="0" borderId="16" xfId="0" applyFont="1" applyBorder="1" applyNumberFormat="1">
      <alignment vertical="top"/>
    </xf>
    <xf numFmtId="49" fontId="0" fillId="0" borderId="14" xfId="0" applyFont="1" applyBorder="1" applyNumberFormat="1">
      <alignment horizontal="center"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45" borderId="19" xfId="0" applyFont="1" applyFill="1" applyBorder="1" applyNumberFormat="1">
      <alignment vertical="top"/>
    </xf>
    <xf numFmtId="49" fontId="0" fillId="0" borderId="16" xfId="0" applyFont="1" applyBorder="1" applyNumberFormat="1">
      <alignment horizontal="center" vertical="top"/>
    </xf>
    <xf numFmtId="49" fontId="0" fillId="46" borderId="14" xfId="0" applyFont="1" applyFill="1" applyBorder="1" applyNumberFormat="1">
      <alignment vertical="top"/>
    </xf>
    <xf numFmtId="49" fontId="0" fillId="0" borderId="17" xfId="0" applyFont="1" applyBorder="1" applyNumberFormat="1">
      <alignment horizontal="center" vertical="top"/>
    </xf>
    <xf numFmtId="49" fontId="0" fillId="3" borderId="14" xfId="0" applyFont="1" applyFill="1" applyBorder="1" applyNumberFormat="1">
      <alignment vertical="top"/>
    </xf>
    <xf numFmtId="49" fontId="0" fillId="47" borderId="14" xfId="0" applyFont="1" applyFill="1" applyBorder="1" applyNumberFormat="1">
      <alignment vertical="top"/>
    </xf>
    <xf numFmtId="49" fontId="0" fillId="16" borderId="19" xfId="0" applyFont="1" applyFill="1" applyBorder="1" applyNumberFormat="1">
      <alignment vertical="top"/>
    </xf>
    <xf numFmtId="49" fontId="0" fillId="5" borderId="16" xfId="0" applyFont="1" applyFill="1" applyBorder="1" applyNumberFormat="1">
      <alignment vertical="top"/>
    </xf>
    <xf numFmtId="49" fontId="0" fillId="5" borderId="14" xfId="0" applyFont="1" applyFill="1" applyBorder="1" applyNumberFormat="1">
      <alignment vertical="top"/>
    </xf>
    <xf numFmtId="49" fontId="0" fillId="16" borderId="14" xfId="0" applyFont="1" applyFill="1" applyBorder="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xf numFmtId="0" fontId="1" fillId="0" borderId="0" xfId="0" applyFont="1" applyNumberFormat="1"/>
    <xf numFmtId="0" fontId="38" fillId="0" borderId="0" xfId="0" applyFont="1" applyNumberFormat="1"/>
    <xf numFmtId="0" fontId="38" fillId="0" borderId="0" xfId="0" applyFont="1" applyNumberFormat="1"/>
    <xf numFmtId="49" fontId="23" fillId="38" borderId="12" xfId="0" applyFont="1" applyFill="1" applyBorder="1" applyNumberFormat="1">
      <alignment horizontal="center" vertical="top"/>
    </xf>
    <xf numFmtId="49" fontId="46" fillId="0" borderId="13" xfId="0" applyFont="1" applyBorder="1" applyNumberFormat="1">
      <alignment vertical="top" wrapText="1"/>
    </xf>
    <xf numFmtId="0" fontId="0" fillId="0" borderId="13" xfId="0" applyFont="1" applyBorder="1" applyNumberFormat="1">
      <alignment vertical="top" wrapText="1"/>
    </xf>
    <xf numFmtId="0" fontId="22" fillId="0" borderId="20" xfId="0" applyFont="1" applyBorder="1" applyNumberFormat="1">
      <alignment vertical="top" wrapText="1"/>
    </xf>
    <xf numFmtId="0" fontId="0" fillId="0" borderId="0" xfId="0" applyFont="1" applyNumberFormat="1">
      <alignment vertical="top"/>
    </xf>
    <xf numFmtId="0" fontId="0" fillId="0" borderId="14" xfId="0" applyFont="1" applyBorder="1" applyNumberFormat="1">
      <alignment vertical="top" wrapText="1"/>
    </xf>
    <xf numFmtId="49" fontId="0" fillId="0" borderId="14" xfId="0" applyFont="1" applyBorder="1" applyNumberFormat="1">
      <alignment vertical="top" wrapText="1"/>
    </xf>
    <xf numFmtId="49" fontId="0" fillId="0" borderId="19" xfId="0" applyFont="1" applyBorder="1" applyNumberFormat="1">
      <alignment vertical="top"/>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107" fillId="0" borderId="0" xfId="0" applyFont="1" applyNumberFormat="1">
      <alignment vertical="center" wrapText="1"/>
    </xf>
    <xf numFmtId="0" fontId="107" fillId="0" borderId="0" xfId="0" applyFont="1" applyNumberFormat="1">
      <alignment horizontal="left" vertical="center" wrapText="1"/>
    </xf>
    <xf numFmtId="49" fontId="122" fillId="0" borderId="0" xfId="0" applyFont="1" applyNumberFormat="1">
      <alignment wrapText="1"/>
    </xf>
    <xf numFmtId="0" fontId="107" fillId="0" borderId="0" xfId="0" applyFont="1" applyNumberFormat="1">
      <alignment vertical="center"/>
    </xf>
    <xf numFmtId="0" fontId="22" fillId="0" borderId="0" xfId="0" applyFont="1" applyNumberFormat="1">
      <alignment horizontal="left" vertical="top" wrapText="1"/>
    </xf>
    <xf numFmtId="49" fontId="23" fillId="0" borderId="0" xfId="0" applyFont="1" applyNumberFormat="1">
      <alignment vertical="top" wrapText="1"/>
    </xf>
    <xf numFmtId="0" fontId="22" fillId="57" borderId="68" xfId="0" applyFont="1" applyFill="1" applyBorder="1" applyNumberFormat="1">
      <alignment horizontal="center" vertical="center" wrapText="1"/>
    </xf>
    <xf numFmtId="0" fontId="22" fillId="57" borderId="69" xfId="0" applyFont="1" applyFill="1" applyBorder="1" applyNumberFormat="1">
      <alignment horizontal="center" vertical="center" wrapText="1"/>
    </xf>
    <xf numFmtId="0" fontId="22" fillId="57" borderId="70" xfId="0" applyFont="1" applyFill="1" applyBorder="1" applyNumberFormat="1">
      <alignment horizontal="center" vertical="center" wrapText="1"/>
    </xf>
    <xf numFmtId="0" fontId="71" fillId="0" borderId="0" xfId="0" applyFont="1" applyNumberFormat="1">
      <alignment wrapText="1"/>
    </xf>
    <xf numFmtId="0" fontId="22" fillId="48" borderId="40" xfId="0" applyFont="1" applyFill="1" applyBorder="1" applyNumberFormat="1">
      <alignment horizontal="right" vertical="center" wrapText="1" indent="1"/>
    </xf>
    <xf numFmtId="0" fontId="22" fillId="48" borderId="67" xfId="0" applyFont="1" applyFill="1" applyBorder="1" applyNumberFormat="1">
      <alignment horizontal="right" vertical="center" wrapText="1" inden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3" xfId="0" applyFont="1" applyFill="1" applyBorder="1" applyNumberFormat="1">
      <alignment horizontal="center" vertical="center" wrapText="1"/>
    </xf>
    <xf numFmtId="0" fontId="125" fillId="0" borderId="40" xfId="0" applyFont="1" applyBorder="1" applyNumberFormat="1">
      <alignment vertical="center" wrapText="1"/>
    </xf>
    <xf numFmtId="0" fontId="125" fillId="0" borderId="0" xfId="0" applyFont="1" applyNumberFormat="1">
      <alignment vertical="center" wrapText="1"/>
    </xf>
    <xf numFmtId="0" fontId="0" fillId="55" borderId="63" xfId="0" applyFont="1" applyFill="1" applyBorder="1" applyNumberFormat="1">
      <alignment horizontal="center"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0" fillId="38" borderId="63" xfId="0" applyFont="1" applyFill="1" applyBorder="1" applyNumberFormat="1">
      <alignment horizontal="center" vertical="center" wrapText="1"/>
    </xf>
    <xf numFmtId="0" fontId="0" fillId="42" borderId="63" xfId="0" applyFont="1" applyFill="1" applyBorder="1" applyNumberFormat="1">
      <alignment horizontal="center" vertical="center" wrapText="1"/>
    </xf>
    <xf numFmtId="0" fontId="22" fillId="48" borderId="0" xfId="0" applyFont="1" applyFill="1" applyNumberFormat="1">
      <alignment horizontal="right" vertical="center" wrapText="1" indent="1"/>
    </xf>
    <xf numFmtId="0" fontId="123" fillId="0" borderId="40" xfId="0" applyFont="1" applyBorder="1" applyNumberFormat="1">
      <alignment horizontal="left" vertical="center" wrapText="1"/>
    </xf>
    <xf numFmtId="0" fontId="123" fillId="0" borderId="64" xfId="0" applyFont="1" applyBorder="1" applyNumberFormat="1">
      <alignment horizontal="left" vertical="center" wrapText="1"/>
    </xf>
    <xf numFmtId="0" fontId="22" fillId="48" borderId="63" xfId="0" applyFont="1" applyFill="1" applyBorder="1" applyNumberFormat="1">
      <alignment horizontal="right" vertical="center" wrapText="1" indent="1"/>
    </xf>
    <xf numFmtId="0" fontId="22" fillId="48" borderId="66" xfId="0" applyFont="1" applyFill="1" applyBorder="1" applyNumberFormat="1">
      <alignment horizontal="right" vertical="center" wrapText="1" indent="1"/>
    </xf>
    <xf numFmtId="0" fontId="125" fillId="0" borderId="0" xfId="0" applyFont="1" applyNumberFormat="1"/>
    <xf numFmtId="0" fontId="125" fillId="0" borderId="40" xfId="0" applyFont="1" applyBorder="1" applyNumberFormat="1">
      <alignment wrapText="1"/>
    </xf>
    <xf numFmtId="0" fontId="125" fillId="0" borderId="0" xfId="0" applyFont="1" applyNumberFormat="1">
      <alignment vertical="top" wrapText="1"/>
    </xf>
    <xf numFmtId="0" fontId="22" fillId="48" borderId="65"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71" fillId="0" borderId="65"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49" fontId="71" fillId="0" borderId="0" xfId="0" applyFont="1" applyNumberFormat="1">
      <alignment vertical="top" wrapText="1"/>
    </xf>
    <xf numFmtId="0" fontId="38" fillId="0" borderId="0" xfId="0" applyFont="1" applyNumberFormat="1"/>
    <xf numFmtId="0" fontId="68" fillId="0" borderId="0" xfId="0" applyFont="1" applyNumberFormat="1">
      <alignment vertical="center" wrapText="1"/>
    </xf>
    <xf numFmtId="0" fontId="96" fillId="0" borderId="0" xfId="0" applyFont="1" applyNumberFormat="1">
      <alignment horizontal="left" vertical="center" wrapText="1"/>
    </xf>
    <xf numFmtId="0" fontId="68" fillId="0" borderId="0" xfId="0" applyFont="1" applyNumberFormat="1">
      <alignment horizontal="left" vertical="center" wrapText="1"/>
    </xf>
    <xf numFmtId="0" fontId="68" fillId="0" borderId="0" xfId="0" applyFont="1" applyNumberFormat="1">
      <alignment vertical="center" wrapText="1"/>
    </xf>
    <xf numFmtId="0" fontId="40" fillId="0" borderId="0" xfId="0" applyFont="1" applyNumberFormat="1">
      <alignment horizontal="center" vertical="center" wrapText="1"/>
    </xf>
    <xf numFmtId="0" fontId="40"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horizontal="left" vertical="center" wrapText="1"/>
    </xf>
    <xf numFmtId="0" fontId="23" fillId="0" borderId="0" xfId="0" applyFont="1" applyNumberFormat="1">
      <alignment horizontal="left" vertical="top" indent="1"/>
    </xf>
    <xf numFmtId="49" fontId="71" fillId="0" borderId="0" xfId="0" applyFont="1" applyNumberFormat="1">
      <alignment vertical="top"/>
    </xf>
    <xf numFmtId="49" fontId="23" fillId="0" borderId="0" xfId="0" applyFont="1" applyNumberFormat="1">
      <alignment vertical="center" wrapText="1"/>
    </xf>
    <xf numFmtId="49" fontId="54"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54" fillId="0" borderId="0" xfId="0" applyFont="1" applyNumberFormat="1">
      <alignment vertical="top"/>
    </xf>
    <xf numFmtId="49" fontId="0" fillId="0" borderId="0" xfId="0" applyFont="1" applyNumberFormat="1">
      <alignment vertical="top"/>
    </xf>
    <xf numFmtId="0" fontId="65" fillId="0" borderId="0" xfId="0" applyFont="1" applyNumberFormat="1">
      <alignment vertical="center" wrapText="1"/>
    </xf>
    <xf numFmtId="0" fontId="96" fillId="0" borderId="0" xfId="0" applyFont="1" applyNumberFormat="1">
      <alignment horizontal="lef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3" fillId="0" borderId="0" xfId="0" applyFont="1" applyNumberFormat="1">
      <alignment vertical="center" wrapText="1"/>
    </xf>
    <xf numFmtId="0" fontId="42" fillId="37" borderId="0" xfId="0" applyFont="1" applyFill="1" applyNumberFormat="1">
      <alignment vertical="center"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36" fillId="37" borderId="0" xfId="0" applyFont="1" applyFill="1" applyNumberFormat="1">
      <alignment vertical="center" wrapText="1"/>
    </xf>
    <xf numFmtId="0" fontId="101"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23" fillId="37" borderId="28" xfId="0" applyFont="1" applyFill="1" applyBorder="1" applyNumberFormat="1">
      <alignment horizontal="right" vertical="center" wrapText="1" indent="1"/>
    </xf>
    <xf numFmtId="0" fontId="0" fillId="38" borderId="14" xfId="0" applyFont="1" applyFill="1" applyBorder="1" applyNumberFormat="1">
      <alignment horizontal="left" vertical="center" wrapText="1" indent="1"/>
    </xf>
    <xf numFmtId="14" fontId="96" fillId="37" borderId="0" xfId="0" applyFont="1" applyFill="1" applyNumberFormat="1">
      <alignment horizontal="left"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23" fillId="37" borderId="0" xfId="0" applyFont="1" applyFill="1" applyNumberFormat="1">
      <alignment horizontal="center" vertical="center" wrapText="1"/>
    </xf>
    <xf numFmtId="0" fontId="93" fillId="0" borderId="0" xfId="0" applyFont="1" applyNumberFormat="1">
      <alignment horizontal="center" vertical="center" wrapText="1"/>
    </xf>
    <xf numFmtId="0" fontId="23" fillId="0" borderId="0" xfId="0" applyFont="1" applyNumberFormat="1">
      <alignment vertical="center" wrapText="1"/>
    </xf>
    <xf numFmtId="0" fontId="41" fillId="0" borderId="0" xfId="0" applyFont="1" applyNumberFormat="1">
      <alignment vertical="center" wrapText="1"/>
    </xf>
    <xf numFmtId="0" fontId="42" fillId="37" borderId="0" xfId="0" applyFont="1" applyFill="1" applyNumberFormat="1">
      <alignment vertical="center" wrapText="1"/>
    </xf>
    <xf numFmtId="0" fontId="23" fillId="37" borderId="28" xfId="0" applyFont="1" applyFill="1" applyBorder="1" applyNumberFormat="1">
      <alignment horizontal="right" vertical="center" wrapText="1" indent="1"/>
    </xf>
    <xf numFmtId="0" fontId="23" fillId="42" borderId="14" xfId="0" applyFont="1" applyFill="1" applyBorder="1" applyNumberFormat="1">
      <alignment horizontal="left" vertical="top" wrapText="1" indent="1"/>
      <protection locked="0"/>
    </xf>
    <xf numFmtId="0" fontId="23" fillId="0" borderId="0" xfId="0" applyFont="1" applyNumberFormat="1">
      <alignment horizontal="left" vertical="center" wrapText="1"/>
    </xf>
    <xf numFmtId="0" fontId="54" fillId="0" borderId="0" xfId="0" applyFont="1" applyNumberFormat="1">
      <alignment vertical="center" wrapText="1"/>
    </xf>
    <xf numFmtId="0" fontId="65"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14" fontId="98" fillId="0" borderId="14" xfId="0" applyFont="1" applyBorder="1" applyNumberFormat="1">
      <alignment horizontal="center" vertical="center" wrapText="1"/>
    </xf>
    <xf numFmtId="167" fontId="0" fillId="42" borderId="14" xfId="0" applyFont="1" applyFill="1" applyBorder="1" applyNumberFormat="1">
      <alignment horizontal="left" vertical="center" wrapText="1" indent="1"/>
      <protection locked="0"/>
    </xf>
    <xf numFmtId="0" fontId="34" fillId="0" borderId="0" xfId="0" applyFont="1" applyNumberFormat="1">
      <alignment horizontal="left" vertical="center" indent="1"/>
    </xf>
    <xf numFmtId="0" fontId="23" fillId="37" borderId="0" xfId="0" applyFont="1" applyFill="1" applyNumberFormat="1">
      <alignment vertical="center" wrapText="1"/>
    </xf>
    <xf numFmtId="14" fontId="98" fillId="0" borderId="14" xfId="0" applyFont="1" applyBorder="1" applyNumberFormat="1">
      <alignment horizontal="left" vertical="center" wrapText="1"/>
    </xf>
    <xf numFmtId="49" fontId="23" fillId="37" borderId="28" xfId="0" applyFont="1" applyFill="1" applyBorder="1" applyNumberFormat="1">
      <alignment horizontal="right" vertical="center" wrapText="1" indent="1"/>
    </xf>
    <xf numFmtId="167" fontId="0" fillId="42" borderId="14" xfId="0" applyFont="1" applyFill="1" applyBorder="1" applyNumberFormat="1">
      <alignment horizontal="left" vertical="center" wrapText="1" indent="1"/>
      <protection locked="0"/>
    </xf>
    <xf numFmtId="49" fontId="54" fillId="0" borderId="0" xfId="0" applyFont="1" applyNumberFormat="1">
      <alignment vertical="center" wrapText="1"/>
    </xf>
    <xf numFmtId="0" fontId="0" fillId="42" borderId="14"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167" fontId="0" fillId="0" borderId="14" xfId="0" applyFont="1" applyBorder="1" applyNumberFormat="1">
      <alignment horizontal="left" vertical="center" wrapText="1" indent="1"/>
    </xf>
    <xf numFmtId="0" fontId="0" fillId="37" borderId="0" xfId="0" applyFont="1" applyFill="1" applyNumberFormat="1">
      <alignment horizontal="right" vertical="center" wrapText="1" indent="1"/>
    </xf>
    <xf numFmtId="0" fontId="101" fillId="0" borderId="0" xfId="0" applyFont="1" applyNumberFormat="1">
      <alignment horizontal="left" vertical="center" wrapText="1"/>
    </xf>
    <xf numFmtId="0" fontId="23" fillId="37" borderId="0" xfId="0" applyFont="1" applyFill="1" applyNumberFormat="1">
      <alignment horizontal="right" vertical="center" wrapText="1" indent="1"/>
    </xf>
    <xf numFmtId="0" fontId="23" fillId="0" borderId="0" xfId="0" applyFont="1" applyNumberFormat="1">
      <alignment horizontal="center" vertical="center" wrapText="1"/>
    </xf>
    <xf numFmtId="0" fontId="23" fillId="37" borderId="0" xfId="0" applyFont="1" applyFill="1" applyNumberFormat="1">
      <alignment horizontal="center" vertical="center" wrapText="1"/>
    </xf>
    <xf numFmtId="0" fontId="0" fillId="37" borderId="0" xfId="0" applyFont="1" applyFill="1" applyNumberFormat="1">
      <alignment horizontal="left" vertical="center" wrapText="1" indent="1"/>
    </xf>
    <xf numFmtId="49" fontId="23" fillId="0" borderId="14" xfId="0" applyFont="1" applyBorder="1" applyNumberFormat="1">
      <alignment horizontal="left" vertical="center" wrapText="1" indent="1"/>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49" fontId="23" fillId="38" borderId="14" xfId="0" applyFont="1" applyFill="1" applyBorder="1" applyNumberFormat="1">
      <alignment horizontal="left" vertical="center" wrapText="1" indent="1"/>
    </xf>
    <xf numFmtId="14" fontId="23" fillId="37" borderId="0" xfId="0" applyFont="1" applyFill="1" applyNumberFormat="1">
      <alignment horizontal="center" vertical="center" wrapText="1"/>
    </xf>
    <xf numFmtId="0" fontId="0" fillId="37" borderId="28" xfId="0" applyFont="1" applyFill="1" applyBorder="1" applyNumberFormat="1">
      <alignment horizontal="right" vertical="center" wrapText="1" indent="1"/>
    </xf>
    <xf numFmtId="0" fontId="23" fillId="0" borderId="0" xfId="0" applyFont="1" applyNumberFormat="1">
      <alignment vertical="center"/>
    </xf>
    <xf numFmtId="14" fontId="23" fillId="37" borderId="0" xfId="0" applyFont="1" applyFill="1" applyNumberFormat="1">
      <alignment horizontal="left" vertical="center" wrapText="1"/>
    </xf>
    <xf numFmtId="0" fontId="23" fillId="42" borderId="14" xfId="0" applyFont="1" applyFill="1" applyBorder="1" applyNumberFormat="1">
      <alignment horizontal="left" vertical="center" wrapText="1" indent="1"/>
      <protection locked="0"/>
    </xf>
    <xf numFmtId="0" fontId="23" fillId="42" borderId="14" xfId="0" applyFont="1" applyFill="1" applyBorder="1" applyNumberFormat="1">
      <alignment horizontal="left" vertical="center" wrapText="1" indent="1"/>
      <protection locked="0"/>
    </xf>
    <xf numFmtId="0" fontId="66" fillId="37" borderId="0" xfId="0" applyFont="1" applyFill="1" applyNumberFormat="1">
      <alignment horizontal="right" vertical="center" wrapText="1" indent="1"/>
    </xf>
    <xf numFmtId="0" fontId="66" fillId="37" borderId="0" xfId="0" applyFont="1" applyFill="1" applyNumberFormat="1">
      <alignment horizontal="left" vertical="center" wrapText="1" indent="1"/>
    </xf>
    <xf numFmtId="49" fontId="23" fillId="43" borderId="14" xfId="0" applyFont="1" applyFill="1" applyBorder="1" applyNumberFormat="1">
      <alignment horizontal="left" vertical="center" wrapText="1" inden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40" fillId="0" borderId="0" xfId="0" applyFont="1" applyNumberFormat="1">
      <alignment horizontal="left" vertical="center" wrapText="1"/>
    </xf>
    <xf numFmtId="49" fontId="32" fillId="0" borderId="14" xfId="0" applyFont="1" applyBorder="1" applyNumberFormat="1">
      <alignment horizontal="left" vertical="center" wrapText="1" indent="1"/>
    </xf>
    <xf numFmtId="0" fontId="40" fillId="0" borderId="0" xfId="0" applyFont="1" applyNumberFormat="1">
      <alignment horizontal="left" vertical="center" wrapText="1"/>
    </xf>
    <xf numFmtId="0" fontId="23" fillId="0" borderId="0" xfId="0" applyFont="1" applyNumberFormat="1">
      <alignment vertical="center" wrapText="1"/>
    </xf>
    <xf numFmtId="14" fontId="97" fillId="0" borderId="0" xfId="0" applyFont="1" applyNumberFormat="1">
      <alignment horizontal="center" vertical="center" wrapText="1"/>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4" fillId="0" borderId="0" xfId="0" applyFont="1" applyNumberFormat="1">
      <alignment vertical="center" wrapText="1"/>
    </xf>
    <xf numFmtId="0" fontId="88" fillId="0" borderId="0" xfId="0" applyFont="1" applyNumberFormat="1">
      <alignment vertical="center" wrapText="1"/>
    </xf>
    <xf numFmtId="0" fontId="23" fillId="43" borderId="14" xfId="0" applyFont="1" applyFill="1" applyBorder="1" applyNumberFormat="1">
      <alignment horizontal="left" vertical="center" wrapText="1" indent="1"/>
    </xf>
    <xf numFmtId="167" fontId="0" fillId="0" borderId="13" xfId="0" applyFont="1" applyBorder="1" applyNumberFormat="1">
      <alignment horizontal="left" vertical="center" wrapText="1" indent="1"/>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xf>
    <xf numFmtId="0" fontId="96" fillId="0" borderId="0" xfId="0" applyFont="1" applyNumberFormat="1">
      <alignment horizontal="left" vertical="center" wrapText="1"/>
    </xf>
    <xf numFmtId="49" fontId="40" fillId="0" borderId="0" xfId="0" applyFont="1" applyNumberFormat="1">
      <alignment horizontal="left" vertical="center" wrapText="1"/>
    </xf>
    <xf numFmtId="49" fontId="42" fillId="37" borderId="0" xfId="0" applyFont="1" applyFill="1" applyNumberFormat="1">
      <alignment horizontal="center" vertical="center" wrapText="1"/>
    </xf>
    <xf numFmtId="0" fontId="23" fillId="0" borderId="0" xfId="0" applyFont="1" applyNumberFormat="1">
      <alignment horizontal="left" vertical="center" wrapText="1" indent="4"/>
    </xf>
    <xf numFmtId="0" fontId="23" fillId="0" borderId="0" xfId="0" applyFont="1" applyNumberFormat="1">
      <alignment horizontal="left" vertical="center" wrapText="1" indent="1"/>
    </xf>
    <xf numFmtId="49" fontId="23" fillId="42" borderId="14"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3" fillId="37" borderId="0" xfId="0" applyFont="1" applyFill="1" applyNumberFormat="1">
      <alignment horizontal="right" vertical="center" wrapText="1" indent="1"/>
    </xf>
    <xf numFmtId="49" fontId="23" fillId="0" borderId="0" xfId="0" applyFont="1" applyNumberFormat="1">
      <alignment horizontal="center" vertical="center" wrapText="1"/>
    </xf>
    <xf numFmtId="49" fontId="0" fillId="37" borderId="0" xfId="0" applyFont="1" applyFill="1" applyNumberFormat="1">
      <alignment horizontal="right" vertical="center" wrapText="1" indent="1"/>
    </xf>
    <xf numFmtId="0" fontId="36" fillId="0" borderId="0" xfId="0" applyFont="1" applyNumberFormat="1">
      <alignment vertical="top" wrapText="1"/>
    </xf>
    <xf numFmtId="0" fontId="96" fillId="0" borderId="0" xfId="0" applyFont="1" applyNumberFormat="1">
      <alignment horizontal="left" vertical="center" wrapText="1"/>
    </xf>
    <xf numFmtId="0" fontId="40" fillId="0" borderId="0" xfId="0" applyFont="1" applyNumberFormat="1">
      <alignment horizontal="left" vertical="center" wrapText="1"/>
    </xf>
    <xf numFmtId="0" fontId="41"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center" vertical="center" wrapText="1"/>
    </xf>
    <xf numFmtId="0" fontId="40" fillId="0" borderId="0" xfId="0" applyFont="1" applyNumberFormat="1">
      <alignment horizontal="center" vertical="center" wrapText="1"/>
    </xf>
    <xf numFmtId="0" fontId="54" fillId="0" borderId="0" xfId="0" applyFont="1" applyNumberFormat="1">
      <alignment vertical="center" wrapText="1"/>
    </xf>
    <xf numFmtId="0" fontId="55" fillId="0" borderId="0" xfId="0" applyFont="1" applyNumberFormat="1">
      <alignment vertical="center" wrapText="1"/>
    </xf>
    <xf numFmtId="0" fontId="77" fillId="0" borderId="0" xfId="0" applyFont="1" applyNumberFormat="1">
      <alignment vertical="center" wrapText="1"/>
    </xf>
    <xf numFmtId="0" fontId="55"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center" vertical="center" wrapText="1"/>
    </xf>
    <xf numFmtId="0" fontId="55" fillId="0" borderId="0" xfId="0" applyFont="1" applyNumberFormat="1">
      <alignment horizontal="left" vertical="center" wrapText="1" indent="1"/>
    </xf>
    <xf numFmtId="0" fontId="55" fillId="0" borderId="0" xfId="0" applyFont="1" applyNumberFormat="1">
      <alignment horizontal="left" vertical="center" indent="1"/>
    </xf>
    <xf numFmtId="0" fontId="61" fillId="0" borderId="0" xfId="0" applyFont="1" applyNumberFormat="1">
      <alignment vertical="center" wrapText="1"/>
    </xf>
    <xf numFmtId="0" fontId="23"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50" fillId="0" borderId="0" xfId="0" applyFont="1" applyNumberFormat="1">
      <alignment vertical="center" wrapText="1"/>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17" xfId="0" applyFont="1" applyBorder="1" applyNumberFormat="1">
      <alignment horizontal="left" vertical="center" wrapText="1" inden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23" fillId="0" borderId="0" xfId="0" applyFont="1" applyNumberFormat="1">
      <alignment horizontal="center" vertical="center" wrapText="1"/>
    </xf>
    <xf numFmtId="4" fontId="23"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4" xfId="0" applyFont="1" applyBorder="1" applyNumberFormat="1">
      <alignment horizontal="center" vertical="center" wrapText="1"/>
    </xf>
    <xf numFmtId="0" fontId="44" fillId="0" borderId="0" xfId="0" applyFont="1" applyNumberFormat="1">
      <alignment horizontal="center" vertical="center" wrapText="1"/>
    </xf>
    <xf numFmtId="49" fontId="44" fillId="0" borderId="17" xfId="0" applyFont="1" applyBorder="1" applyNumberFormat="1">
      <alignment horizontal="center" vertical="center" wrapText="1"/>
    </xf>
    <xf numFmtId="49" fontId="44" fillId="0" borderId="17" xfId="0" applyFont="1" applyBorder="1" applyNumberFormat="1">
      <alignment horizontal="center" vertical="center" wrapText="1"/>
    </xf>
    <xf numFmtId="0" fontId="54" fillId="0" borderId="0" xfId="0" applyFont="1" applyNumberFormat="1">
      <alignment vertical="center"/>
    </xf>
    <xf numFmtId="0" fontId="54" fillId="0" borderId="0" xfId="0" applyFont="1" applyNumberFormat="1">
      <alignment vertical="center"/>
    </xf>
    <xf numFmtId="0" fontId="59" fillId="0" borderId="0" xfId="0" applyFont="1" applyNumberFormat="1">
      <alignment vertical="center"/>
    </xf>
    <xf numFmtId="49" fontId="23" fillId="40" borderId="21" xfId="0" applyFont="1" applyFill="1" applyBorder="1" applyNumberFormat="1">
      <alignment horizontal="center" vertical="center" wrapText="1"/>
    </xf>
    <xf numFmtId="49" fontId="54" fillId="40" borderId="21" xfId="0" applyFont="1" applyFill="1" applyBorder="1" applyNumberFormat="1">
      <alignment horizontal="left" vertical="center" wrapText="1"/>
    </xf>
    <xf numFmtId="49" fontId="54" fillId="40" borderId="22" xfId="0" applyFont="1" applyFill="1" applyBorder="1" applyNumberFormat="1">
      <alignment horizontal="left" vertical="center" wrapText="1"/>
    </xf>
    <xf numFmtId="0" fontId="55" fillId="0" borderId="24" xfId="0" applyFont="1" applyBorder="1" applyNumberFormat="1">
      <alignment vertical="center"/>
    </xf>
    <xf numFmtId="0" fontId="50" fillId="0" borderId="0" xfId="0" applyFont="1" applyNumberFormat="1">
      <alignment vertical="center" wrapText="1"/>
    </xf>
    <xf numFmtId="0" fontId="23" fillId="0" borderId="0" xfId="0" applyFont="1" applyNumberFormat="1">
      <alignment horizontal="center"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9" fontId="54" fillId="0" borderId="14" xfId="0" applyFont="1" applyBorder="1" applyNumberFormat="1">
      <alignment horizontal="left" vertical="center" wrapText="1"/>
    </xf>
    <xf numFmtId="0" fontId="55" fillId="0" borderId="0" xfId="0" applyFont="1" applyNumberFormat="1">
      <alignment vertical="center"/>
    </xf>
    <xf numFmtId="0" fontId="55" fillId="0" borderId="0" xfId="0" applyFont="1" applyNumberFormat="1">
      <alignment vertical="center"/>
    </xf>
    <xf numFmtId="49" fontId="0" fillId="0" borderId="0" xfId="0" applyFont="1" applyNumberFormat="1">
      <alignment vertical="top"/>
    </xf>
    <xf numFmtId="0" fontId="44" fillId="0" borderId="26" xfId="0" applyFont="1" applyBorder="1" applyNumberFormat="1">
      <alignment vertical="top" wrapText="1"/>
    </xf>
    <xf numFmtId="0" fontId="23" fillId="0" borderId="25" xfId="0" applyFont="1" applyBorder="1" applyNumberFormat="1">
      <alignment horizontal="center" vertical="center" wrapText="1"/>
    </xf>
    <xf numFmtId="0" fontId="55" fillId="0" borderId="25" xfId="0" applyFont="1" applyBorder="1" applyNumberFormat="1">
      <alignment horizontal="center" vertical="center" wrapText="1"/>
    </xf>
    <xf numFmtId="14" fontId="23" fillId="43" borderId="25" xfId="0" applyFont="1" applyFill="1" applyBorder="1" applyNumberFormat="1">
      <alignment horizontal="left" vertical="center" wrapText="1" indent="1"/>
    </xf>
    <xf numFmtId="49" fontId="23" fillId="38" borderId="25" xfId="0" applyFont="1" applyFill="1" applyBorder="1" applyNumberFormat="1">
      <alignment horizontal="center" vertical="center" wrapText="1"/>
    </xf>
    <xf numFmtId="0" fontId="79" fillId="0" borderId="0" xfId="0" applyFont="1" applyNumberFormat="1">
      <alignment vertical="center" wrapText="1"/>
    </xf>
    <xf numFmtId="49" fontId="54" fillId="0" borderId="0" xfId="0" applyFont="1" applyNumberFormat="1">
      <alignment vertical="top"/>
    </xf>
    <xf numFmtId="49" fontId="55" fillId="0" borderId="0" xfId="0" applyFont="1" applyNumberFormat="1">
      <alignment vertical="top"/>
    </xf>
    <xf numFmtId="0" fontId="0" fillId="0" borderId="0" xfId="0" applyFont="1" applyNumberFormat="1">
      <alignment vertical="center" wrapText="1"/>
    </xf>
    <xf numFmtId="0" fontId="44" fillId="0" borderId="0" xfId="0" applyFont="1" applyNumberFormat="1">
      <alignment vertical="top" wrapText="1"/>
    </xf>
    <xf numFmtId="49" fontId="36" fillId="40" borderId="16" xfId="0" applyFont="1" applyFill="1" applyBorder="1" applyNumberFormat="1">
      <alignment horizontal="right" vertical="center" wrapText="1"/>
    </xf>
    <xf numFmtId="49" fontId="36" fillId="40" borderId="17"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0" fillId="40" borderId="17" xfId="0" applyFont="1" applyFill="1" applyBorder="1" applyNumberFormat="1">
      <alignment horizontal="right" vertical="center" wrapText="1"/>
    </xf>
    <xf numFmtId="49" fontId="0" fillId="40" borderId="15" xfId="0" applyFont="1" applyFill="1" applyBorder="1" applyNumberFormat="1">
      <alignment horizontal="right" vertical="center" wrapText="1"/>
    </xf>
    <xf numFmtId="49" fontId="23" fillId="40" borderId="16"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48" fillId="40" borderId="17" xfId="0" applyFont="1" applyFill="1" applyBorder="1" applyNumberFormat="1">
      <alignment horizontal="left" vertical="center"/>
    </xf>
    <xf numFmtId="49" fontId="23" fillId="40" borderId="15" xfId="0" applyFont="1" applyFill="1" applyBorder="1" applyNumberFormat="1">
      <alignment horizontal="right" vertical="center" wrapText="1"/>
    </xf>
    <xf numFmtId="0" fontId="45" fillId="0" borderId="0" xfId="0" applyFont="1" applyNumberFormat="1">
      <alignment horizontal="center" vertical="center" wrapText="1"/>
    </xf>
    <xf numFmtId="0" fontId="23" fillId="0" borderId="23" xfId="0" applyFont="1" applyBorder="1" applyNumberFormat="1">
      <alignment vertical="center" wrapText="1"/>
    </xf>
    <xf numFmtId="0" fontId="23" fillId="0" borderId="0" xfId="0" applyFont="1" applyNumberFormat="1">
      <alignment vertical="center" wrapText="1"/>
    </xf>
    <xf numFmtId="0" fontId="53" fillId="0" borderId="0" xfId="0" applyFont="1" applyNumberFormat="1">
      <alignment vertical="center" wrapText="1"/>
    </xf>
    <xf numFmtId="0" fontId="99" fillId="0" borderId="0" xfId="0" applyFont="1" applyNumberFormat="1">
      <alignment vertical="center" wrapText="1"/>
    </xf>
    <xf numFmtId="0" fontId="57" fillId="0" borderId="0" xfId="0" applyFont="1" applyNumberFormat="1">
      <alignment horizontal="center" vertical="center" wrapText="1"/>
    </xf>
    <xf numFmtId="49" fontId="0"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0" xfId="0" applyFont="1" applyNumberFormat="1">
      <alignment vertical="center"/>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54" fillId="0" borderId="0" xfId="0" applyFont="1" applyNumberFormat="1">
      <alignment vertical="center"/>
    </xf>
    <xf numFmtId="0" fontId="49" fillId="0" borderId="0" xfId="0" applyFont="1" applyNumberFormat="1">
      <alignment vertical="center"/>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49" fillId="0" borderId="0" xfId="0" applyFont="1" applyNumberFormat="1">
      <alignmen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7" fillId="0" borderId="0" xfId="0" applyFont="1" applyNumberFormat="1">
      <alignment vertical="center"/>
    </xf>
    <xf numFmtId="0" fontId="49" fillId="0" borderId="0" xfId="0" applyFont="1" applyNumberFormat="1">
      <alignment vertical="center"/>
    </xf>
    <xf numFmtId="0" fontId="23" fillId="44" borderId="0" xfId="0" applyFont="1" applyFill="1" applyNumberFormat="1">
      <alignment horizontal="center" vertical="center" wrapText="1"/>
    </xf>
    <xf numFmtId="0" fontId="23" fillId="0" borderId="0" xfId="0" applyFont="1" applyNumberFormat="1">
      <alignment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80" fillId="0" borderId="14" xfId="0" applyFont="1" applyBorder="1" applyNumberFormat="1">
      <alignment horizontal="center" vertical="center" wrapText="1"/>
    </xf>
    <xf numFmtId="0" fontId="23" fillId="0" borderId="0" xfId="0" applyFont="1" applyNumberFormat="1">
      <alignment horizontal="center" vertical="center" wrapText="1"/>
    </xf>
    <xf numFmtId="0" fontId="87"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54" fillId="0" borderId="24" xfId="0" applyFont="1" applyBorder="1" applyNumberFormat="1">
      <alignment vertical="center"/>
    </xf>
    <xf numFmtId="0" fontId="0" fillId="0" borderId="0" xfId="0" applyFont="1" applyNumberFormat="1">
      <alignment vertical="center"/>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54" fillId="0" borderId="24" xfId="0" applyFont="1" applyBorder="1" applyNumberFormat="1">
      <alignment vertical="center"/>
    </xf>
    <xf numFmtId="0" fontId="55"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43" xfId="0" applyFont="1" applyFill="1" applyBorder="1" applyNumberFormat="1">
      <alignment horizontal="center" vertical="center" wrapText="1"/>
    </xf>
    <xf numFmtId="49" fontId="0" fillId="40" borderId="17" xfId="0" applyFont="1" applyFill="1" applyBorder="1" applyNumberFormat="1">
      <alignment horizontal="left" vertical="center"/>
    </xf>
    <xf numFmtId="0" fontId="0" fillId="40" borderId="15"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5" xfId="0" applyFont="1" applyBorder="1" applyNumberFormat="1">
      <alignment horizontal="center" vertical="center" wrapText="1"/>
    </xf>
    <xf numFmtId="0" fontId="23" fillId="0" borderId="75"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0" borderId="14" xfId="0" applyFont="1" applyBorder="1" applyNumberFormat="1">
      <alignment horizontal="left" vertical="center" wrapText="1" indent="1"/>
    </xf>
    <xf numFmtId="0" fontId="54" fillId="0" borderId="24" xfId="0" applyFont="1" applyBorder="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1"/>
      <protection locked="0"/>
    </xf>
    <xf numFmtId="49" fontId="48" fillId="40" borderId="15" xfId="0" applyFont="1" applyFill="1" applyBorder="1" applyNumberFormat="1">
      <alignment horizontal="left" vertical="center" indent="1"/>
    </xf>
    <xf numFmtId="0" fontId="23" fillId="43" borderId="25" xfId="0" applyFont="1" applyFill="1" applyBorder="1" applyNumberFormat="1">
      <alignment horizontal="left" vertical="center" wrapText="1" indent="2"/>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0" fontId="80" fillId="44" borderId="0" xfId="0" applyFont="1" applyFill="1" applyNumberFormat="1">
      <alignment vertical="top"/>
    </xf>
    <xf numFmtId="49" fontId="23" fillId="0" borderId="0" xfId="0" applyFont="1" applyNumberFormat="1">
      <alignment vertical="center" wrapText="1"/>
    </xf>
    <xf numFmtId="49" fontId="23" fillId="0" borderId="0" xfId="0" applyFont="1" applyNumberFormat="1">
      <alignment horizontal="center" vertical="center" wrapText="1"/>
    </xf>
    <xf numFmtId="49" fontId="48" fillId="40" borderId="17" xfId="0" applyFont="1" applyFill="1" applyBorder="1" applyNumberFormat="1">
      <alignment horizontal="left" vertical="center" indent="2"/>
    </xf>
    <xf numFmtId="0" fontId="0" fillId="0" borderId="0" xfId="0" applyFont="1" applyNumberFormat="1">
      <alignment vertical="center"/>
    </xf>
    <xf numFmtId="0" fontId="54"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5" fillId="0" borderId="0" xfId="0" applyFont="1" applyNumberFormat="1">
      <alignment vertical="center"/>
    </xf>
    <xf numFmtId="0" fontId="49" fillId="0" borderId="0" xfId="0" applyFont="1" applyNumberFormat="1">
      <alignment vertical="center"/>
    </xf>
    <xf numFmtId="0" fontId="56" fillId="0" borderId="0" xfId="0" applyFont="1" applyNumberFormat="1">
      <alignment vertical="center"/>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69"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113" fillId="0" borderId="0" xfId="0" applyFont="1" applyNumberFormat="1">
      <alignment vertical="center"/>
    </xf>
    <xf numFmtId="0" fontId="23" fillId="0" borderId="29" xfId="0" applyFont="1" applyBorder="1" applyNumberFormat="1">
      <alignment horizontal="left" vertical="center" indent="1"/>
    </xf>
    <xf numFmtId="0" fontId="72" fillId="0" borderId="0" xfId="0" applyFont="1" applyNumberFormat="1">
      <alignment vertical="center"/>
    </xf>
    <xf numFmtId="0" fontId="55" fillId="0" borderId="0" xfId="0" applyFont="1" applyNumberFormat="1">
      <alignment vertical="center"/>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72" fillId="0" borderId="0" xfId="0" applyFont="1" applyNumberFormat="1">
      <alignment vertical="center"/>
    </xf>
    <xf numFmtId="0" fontId="23" fillId="0" borderId="0" xfId="0" applyFont="1" applyNumberFormat="1">
      <alignment vertical="center"/>
    </xf>
    <xf numFmtId="0" fontId="37" fillId="0" borderId="0" xfId="0" applyFont="1" applyNumberFormat="1">
      <alignment vertical="center"/>
    </xf>
    <xf numFmtId="0" fontId="49" fillId="0" borderId="0" xfId="0" applyFont="1" applyNumberFormat="1">
      <alignment vertical="center"/>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xf>
    <xf numFmtId="0" fontId="55" fillId="0" borderId="0" xfId="0" applyFont="1" applyNumberFormat="1">
      <alignment vertical="center"/>
    </xf>
    <xf numFmtId="49" fontId="55" fillId="37" borderId="0" xfId="0" applyFont="1" applyFill="1" applyNumberFormat="1">
      <alignment horizontal="center" vertical="center" wrapText="1"/>
    </xf>
    <xf numFmtId="49" fontId="55" fillId="37" borderId="29" xfId="0" applyFont="1" applyFill="1" applyBorder="1" applyNumberFormat="1">
      <alignment horizontal="center" vertical="center" wrapText="1"/>
    </xf>
    <xf numFmtId="0" fontId="45" fillId="0" borderId="0" xfId="0" applyFont="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4" xfId="0" applyFont="1" applyBorder="1" applyNumberFormat="1">
      <alignment horizontal="center" vertical="top"/>
    </xf>
    <xf numFmtId="0" fontId="23" fillId="0" borderId="14" xfId="0" applyFont="1" applyBorder="1" applyNumberFormat="1">
      <alignment horizontal="left" vertical="top" wrapText="1"/>
    </xf>
    <xf numFmtId="0" fontId="23" fillId="43" borderId="19"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22" xfId="0" applyFont="1" applyBorder="1" applyNumberFormat="1">
      <alignment horizontal="left" vertical="center" wrapText="1"/>
    </xf>
    <xf numFmtId="0" fontId="23" fillId="0" borderId="0" xfId="0" applyFont="1" applyNumberFormat="1">
      <alignment horizontal="left" vertical="center" indent="1"/>
    </xf>
    <xf numFmtId="0" fontId="0" fillId="0" borderId="0" xfId="0" applyFont="1" applyNumberFormat="1">
      <alignment vertical="center"/>
    </xf>
    <xf numFmtId="0" fontId="23" fillId="43" borderId="38" xfId="0" applyFont="1" applyFill="1" applyBorder="1" applyNumberFormat="1">
      <alignment horizontal="center" vertical="top" wrapText="1"/>
    </xf>
    <xf numFmtId="0" fontId="0" fillId="0" borderId="24" xfId="0" applyFont="1" applyBorder="1" applyNumberFormat="1">
      <alignment horizontal="center" vertical="center"/>
    </xf>
    <xf numFmtId="0" fontId="0" fillId="0" borderId="0" xfId="0" applyFont="1" applyNumberFormat="1">
      <alignment horizontal="center" vertical="center"/>
    </xf>
    <xf numFmtId="49" fontId="23" fillId="0" borderId="0" xfId="0" applyFont="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horizontal="left" vertical="top"/>
    </xf>
    <xf numFmtId="0" fontId="23" fillId="43" borderId="25" xfId="0" applyFont="1" applyFill="1" applyBorder="1" applyNumberFormat="1">
      <alignment horizontal="center" vertical="top" wrapText="1"/>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0" fontId="0" fillId="0" borderId="0" xfId="0" applyFont="1" applyNumberFormat="1">
      <alignment vertical="center"/>
    </xf>
    <xf numFmtId="49" fontId="23"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9" xfId="0" applyFont="1" applyBorder="1" applyNumberFormat="1">
      <alignment horizontal="center" vertical="top"/>
    </xf>
    <xf numFmtId="0" fontId="23" fillId="0" borderId="19" xfId="0" applyFont="1" applyBorder="1" applyNumberFormat="1">
      <alignment horizontal="left" vertical="top" wrapText="1"/>
    </xf>
    <xf numFmtId="0" fontId="0" fillId="0" borderId="38" xfId="0" applyFont="1" applyBorder="1" applyNumberFormat="1">
      <alignment horizontal="center" vertical="top"/>
    </xf>
    <xf numFmtId="0" fontId="23" fillId="0" borderId="38" xfId="0" applyFont="1" applyBorder="1" applyNumberFormat="1">
      <alignment horizontal="left" vertical="top" wrapText="1"/>
    </xf>
    <xf numFmtId="0" fontId="0" fillId="0" borderId="25" xfId="0" applyFont="1" applyBorder="1" applyNumberFormat="1">
      <alignment horizontal="center" vertical="top"/>
    </xf>
    <xf numFmtId="0" fontId="23" fillId="0" borderId="25" xfId="0" applyFont="1" applyBorder="1" applyNumberFormat="1">
      <alignment horizontal="left" vertical="top"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43" borderId="14" xfId="0" applyFont="1" applyFill="1" applyBorder="1" applyNumberFormat="1">
      <alignment horizontal="left" vertical="top" wrapText="1"/>
    </xf>
    <xf numFmtId="0" fontId="0"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49" fontId="23" fillId="43" borderId="19"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0" fillId="37" borderId="14" xfId="0" applyFont="1" applyFill="1" applyBorder="1" applyNumberFormat="1">
      <alignment horizontal="left" vertical="center" wrapText="1"/>
    </xf>
    <xf numFmtId="49" fontId="0" fillId="37" borderId="14" xfId="0" applyFont="1" applyFill="1" applyBorder="1" applyNumberFormat="1">
      <alignment horizontal="left" vertical="center" wrapText="1"/>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49" fontId="23" fillId="43" borderId="38" xfId="0" applyFont="1" applyFill="1" applyBorder="1" applyNumberFormat="1">
      <alignment horizontal="center"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49" fontId="0" fillId="43" borderId="14" xfId="0" applyFont="1" applyFill="1" applyBorder="1" applyNumberFormat="1">
      <alignment horizontal="left" vertical="top"/>
    </xf>
    <xf numFmtId="49" fontId="0" fillId="0" borderId="14" xfId="0" applyFont="1" applyBorder="1" applyNumberFormat="1">
      <alignment vertical="top"/>
    </xf>
    <xf numFmtId="49" fontId="0" fillId="39" borderId="14" xfId="0" applyFont="1" applyFill="1" applyBorder="1" applyNumberFormat="1">
      <alignment horizontal="left" vertical="top"/>
      <protection locked="0"/>
    </xf>
    <xf numFmtId="49" fontId="23" fillId="43" borderId="25" xfId="0" applyFont="1" applyFill="1" applyBorder="1" applyNumberFormat="1">
      <alignment horizontal="center" vertical="center" wrapText="1"/>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31" xfId="0" applyFont="1" applyFill="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15" xfId="0" applyFont="1" applyFill="1" applyBorder="1" applyNumberFormat="1">
      <alignment horizontal="left" vertical="center"/>
    </xf>
    <xf numFmtId="49" fontId="0" fillId="0" borderId="0" xfId="0" applyFont="1" applyNumberFormat="1">
      <alignment vertical="center"/>
    </xf>
    <xf numFmtId="0" fontId="0" fillId="0" borderId="0" xfId="0" applyFont="1" applyNumberFormat="1">
      <alignment vertical="center"/>
    </xf>
    <xf numFmtId="0" fontId="45" fillId="0" borderId="0" xfId="0" applyFont="1" applyNumberFormat="1">
      <alignment horizontal="center" vertical="center" wrapText="1"/>
    </xf>
    <xf numFmtId="49" fontId="0" fillId="0" borderId="38" xfId="0" applyFont="1" applyBorder="1" applyNumberFormat="1">
      <alignment vertical="top"/>
    </xf>
    <xf numFmtId="49" fontId="0" fillId="0" borderId="38" xfId="0" applyFont="1" applyBorder="1" applyNumberFormat="1">
      <alignment horizontal="left" vertical="top"/>
    </xf>
    <xf numFmtId="0" fontId="23" fillId="43" borderId="38" xfId="0" applyFont="1" applyFill="1" applyBorder="1" applyNumberFormat="1">
      <alignment horizontal="center" vertical="top" wrapText="1"/>
    </xf>
    <xf numFmtId="49" fontId="0" fillId="43" borderId="38" xfId="0" applyFont="1" applyFill="1" applyBorder="1" applyNumberFormat="1">
      <alignment horizontal="left" vertical="top"/>
    </xf>
    <xf numFmtId="0" fontId="0"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49" fontId="23" fillId="43" borderId="19" xfId="0" applyFont="1" applyFill="1" applyBorder="1" applyNumberFormat="1">
      <alignment horizontal="center" vertical="center" wrapText="1"/>
    </xf>
    <xf numFmtId="0" fontId="0" fillId="37" borderId="14" xfId="0" applyFont="1" applyFill="1" applyBorder="1" applyNumberFormat="1">
      <alignment horizontal="left" vertical="center" wrapText="1"/>
    </xf>
    <xf numFmtId="49" fontId="0" fillId="42" borderId="14" xfId="0" applyFont="1" applyFill="1" applyBorder="1" applyNumberFormat="1">
      <alignment horizontal="left" vertical="center" wrapText="1"/>
      <protection locked="0"/>
    </xf>
    <xf numFmtId="49"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0" fontId="23" fillId="0" borderId="0" xfId="0" applyFont="1" applyNumberFormat="1">
      <alignment horizontal="left" vertical="center" indent="1"/>
    </xf>
    <xf numFmtId="0" fontId="0" fillId="0" borderId="0" xfId="0" applyFont="1" applyNumberFormat="1">
      <alignment horizontal="left" vertical="center" indent="1"/>
    </xf>
    <xf numFmtId="0" fontId="0" fillId="0" borderId="0" xfId="0" applyFont="1" applyNumberFormat="1">
      <alignment vertical="center"/>
    </xf>
    <xf numFmtId="49" fontId="23" fillId="43" borderId="38" xfId="0" applyFont="1" applyFill="1" applyBorder="1" applyNumberFormat="1">
      <alignment horizontal="center"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49" fontId="0" fillId="39" borderId="38" xfId="0" applyFont="1" applyFill="1" applyBorder="1" applyNumberFormat="1">
      <alignment vertical="top"/>
      <protection locked="0"/>
    </xf>
    <xf numFmtId="49" fontId="0" fillId="43" borderId="38" xfId="0" applyFont="1" applyFill="1" applyBorder="1" applyNumberFormat="1">
      <alignment horizontal="left" vertical="center" wrapText="1"/>
      <protection locked="0"/>
    </xf>
    <xf numFmtId="49" fontId="23" fillId="43" borderId="38" xfId="0" applyFont="1" applyFill="1" applyBorder="1" applyNumberFormat="1">
      <alignment horizontal="center" vertical="center" wrapText="1"/>
    </xf>
    <xf numFmtId="49" fontId="0" fillId="0" borderId="14" xfId="0" applyFont="1" applyBorder="1" applyNumberFormat="1">
      <alignment vertical="top"/>
    </xf>
    <xf numFmtId="49" fontId="0" fillId="39" borderId="14" xfId="0" applyFont="1" applyFill="1" applyBorder="1" applyNumberFormat="1">
      <alignment horizontal="left" vertical="top"/>
      <protection locked="0"/>
    </xf>
    <xf numFmtId="49" fontId="0" fillId="37" borderId="14" xfId="0" applyFont="1" applyFill="1" applyBorder="1" applyNumberFormat="1">
      <alignment horizontal="left" vertical="center" wrapText="1"/>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48" fillId="40" borderId="31" xfId="0" applyFont="1" applyFill="1" applyBorder="1" applyNumberFormat="1">
      <alignment horizontal="left" vertical="center"/>
    </xf>
    <xf numFmtId="0" fontId="48" fillId="40" borderId="15" xfId="0" applyFont="1" applyFill="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15" xfId="0" applyFont="1" applyFill="1" applyBorder="1" applyNumberFormat="1">
      <alignment horizontal="left" vertical="center"/>
    </xf>
    <xf numFmtId="0" fontId="0"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0" fontId="23" fillId="0" borderId="0" xfId="0" applyFont="1" applyNumberFormat="1">
      <alignment vertical="center"/>
    </xf>
    <xf numFmtId="49" fontId="55" fillId="0" borderId="0" xfId="0" applyFont="1" applyNumberFormat="1">
      <alignment vertical="top"/>
    </xf>
    <xf numFmtId="49" fontId="55" fillId="0" borderId="0" xfId="0" applyFont="1" applyNumberFormat="1">
      <alignment horizontal="center" vertical="center"/>
    </xf>
    <xf numFmtId="49" fontId="55" fillId="0" borderId="0" xfId="0" applyFont="1" applyNumberFormat="1">
      <alignment horizontal="center" vertical="center"/>
    </xf>
    <xf numFmtId="49" fontId="54" fillId="0" borderId="0" xfId="0" applyFont="1" applyNumberFormat="1">
      <alignment horizontal="center" vertical="center"/>
    </xf>
    <xf numFmtId="49" fontId="72"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21" xfId="0" applyFont="1" applyBorder="1" applyNumberFormat="1">
      <alignment horizontal="left" vertical="center" wrapText="1" indent="1"/>
    </xf>
    <xf numFmtId="0" fontId="22" fillId="0" borderId="0" xfId="0" applyFont="1" applyNumberFormat="1">
      <alignment horizontal="left" vertical="center" wrapText="1" indent="1"/>
    </xf>
    <xf numFmtId="0" fontId="50" fillId="0" borderId="0" xfId="0" applyFont="1" applyNumberFormat="1">
      <alignment vertical="center"/>
    </xf>
    <xf numFmtId="0" fontId="118" fillId="0" borderId="0" xfId="0" applyFont="1" applyNumberFormat="1">
      <alignment vertical="center" wrapText="1"/>
    </xf>
    <xf numFmtId="0" fontId="119" fillId="0" borderId="0" xfId="0" applyFont="1" applyNumberFormat="1">
      <alignment vertical="center" wrapText="1"/>
    </xf>
    <xf numFmtId="0" fontId="5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49" fontId="23" fillId="0" borderId="0" xfId="0" applyFont="1" applyNumberFormat="1">
      <alignment vertical="top"/>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xf>
    <xf numFmtId="49" fontId="23" fillId="0" borderId="39" xfId="0" applyFont="1" applyBorder="1" applyNumberFormat="1">
      <alignment vertical="center" wrapText="1"/>
    </xf>
    <xf numFmtId="0" fontId="23"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23" fillId="0" borderId="21" xfId="0" applyFont="1" applyBorder="1" applyNumberFormat="1">
      <alignment vertical="center" wrapText="1"/>
    </xf>
    <xf numFmtId="49" fontId="23" fillId="0" borderId="24" xfId="0" applyFont="1" applyBorder="1" applyNumberFormat="1">
      <alignment vertical="center" wrapText="1"/>
    </xf>
    <xf numFmtId="0" fontId="23" fillId="0" borderId="0" xfId="0" applyFont="1" applyNumberFormat="1">
      <alignment horizontal="center" vertical="center"/>
    </xf>
    <xf numFmtId="0" fontId="23"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49" fontId="45" fillId="0" borderId="0" xfId="0" applyFont="1" applyNumberFormat="1">
      <alignment horizontal="center" vertical="center" wrapText="1"/>
    </xf>
    <xf numFmtId="0" fontId="48" fillId="0" borderId="0" xfId="0" applyFont="1" applyNumberFormat="1">
      <alignment vertical="center"/>
    </xf>
    <xf numFmtId="0" fontId="48" fillId="0" borderId="24" xfId="0" applyFont="1" applyBorder="1" applyNumberFormat="1">
      <alignment horizontal="left" vertical="center"/>
    </xf>
    <xf numFmtId="49" fontId="23" fillId="0" borderId="19" xfId="0" applyFont="1" applyBorder="1" applyNumberFormat="1">
      <alignment horizontal="center" vertical="center"/>
    </xf>
    <xf numFmtId="0" fontId="23" fillId="0" borderId="19" xfId="0" applyFont="1" applyBorder="1" applyNumberFormat="1">
      <alignment horizontal="left" vertical="center" wrapText="1"/>
    </xf>
    <xf numFmtId="0" fontId="23" fillId="0" borderId="39" xfId="0" applyFont="1" applyBorder="1" applyNumberFormat="1">
      <alignment horizontal="left" vertical="center" wrapText="1"/>
    </xf>
    <xf numFmtId="49" fontId="72" fillId="0" borderId="32" xfId="0" applyFont="1" applyBorder="1" applyNumberFormat="1">
      <alignment vertical="top"/>
    </xf>
    <xf numFmtId="49" fontId="72" fillId="0" borderId="29" xfId="0" applyFont="1" applyBorder="1" applyNumberFormat="1">
      <alignment vertical="top"/>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0" borderId="0" xfId="0" applyFont="1" applyNumberFormat="1">
      <alignment horizontal="left" vertical="center" wrapText="1"/>
    </xf>
    <xf numFmtId="0" fontId="23" fillId="0" borderId="16" xfId="0" applyFont="1" applyBorder="1" applyNumberFormat="1">
      <alignment horizontal="left" vertical="center" wrapText="1"/>
    </xf>
    <xf numFmtId="49" fontId="0"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23" fillId="37" borderId="0" xfId="0" applyFont="1" applyFill="1" applyNumberFormat="1"/>
    <xf numFmtId="0" fontId="66" fillId="37" borderId="0" xfId="0" applyFont="1" applyFill="1" applyNumberFormat="1"/>
    <xf numFmtId="0" fontId="55" fillId="37" borderId="0" xfId="0" applyFont="1" applyFill="1" applyNumberFormat="1"/>
    <xf numFmtId="0" fontId="66" fillId="37" borderId="0" xfId="0" applyFont="1" applyFill="1" applyNumberFormat="1">
      <alignment horizontal="center"/>
    </xf>
    <xf numFmtId="0" fontId="95" fillId="0" borderId="0" xfId="0" applyFont="1" applyNumberFormat="1">
      <alignment vertical="center"/>
    </xf>
    <xf numFmtId="0" fontId="94" fillId="0" borderId="0" xfId="0" applyFont="1" applyNumberFormat="1">
      <alignment vertical="center"/>
    </xf>
    <xf numFmtId="0" fontId="78" fillId="37" borderId="0" xfId="0" applyFont="1" applyFill="1" applyNumberFormat="1">
      <alignment horizontal="right" vertical="center"/>
    </xf>
    <xf numFmtId="0" fontId="23" fillId="37" borderId="0" xfId="0" applyFont="1" applyFill="1" applyNumberFormat="1">
      <alignment vertical="center" wrapText="1"/>
    </xf>
    <xf numFmtId="0" fontId="55" fillId="37" borderId="0" xfId="0" applyFont="1" applyFill="1" applyNumberFormat="1">
      <alignment vertical="center" wrapText="1"/>
    </xf>
    <xf numFmtId="0" fontId="23" fillId="37" borderId="0" xfId="0" applyFont="1" applyFill="1" applyNumberFormat="1">
      <alignment horizontal="center" vertical="center" wrapText="1"/>
    </xf>
    <xf numFmtId="0" fontId="98" fillId="37" borderId="0" xfId="0" applyFont="1" applyFill="1" applyNumberFormat="1">
      <alignment horizontal="left" vertical="center"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44" fillId="37" borderId="0" xfId="0" applyFont="1" applyFill="1" applyNumberFormat="1">
      <alignment horizontal="center" vertical="center"/>
    </xf>
    <xf numFmtId="49" fontId="55" fillId="0" borderId="14" xfId="0" applyFont="1" applyBorder="1" applyNumberFormat="1">
      <alignment horizontal="center" vertical="center"/>
    </xf>
    <xf numFmtId="0" fontId="55" fillId="0" borderId="14" xfId="0" applyFont="1" applyBorder="1" applyNumberFormat="1">
      <alignment vertical="center" wrapText="1"/>
    </xf>
    <xf numFmtId="0" fontId="55" fillId="0" borderId="14" xfId="0" applyFont="1" applyBorder="1" applyNumberFormat="1">
      <alignment horizontal="left" vertical="center" wrapText="1"/>
    </xf>
    <xf numFmtId="0" fontId="70" fillId="37" borderId="0" xfId="0" applyFont="1" applyFill="1" applyNumberFormat="1"/>
    <xf numFmtId="49" fontId="0" fillId="37" borderId="14" xfId="0" applyFont="1" applyFill="1" applyBorder="1" applyNumberFormat="1">
      <alignment horizontal="center" vertical="center"/>
    </xf>
    <xf numFmtId="0" fontId="0" fillId="37" borderId="14" xfId="0" applyFont="1" applyFill="1" applyBorder="1" applyNumberFormat="1">
      <alignment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vertical="center" wrapText="1"/>
    </xf>
    <xf numFmtId="0" fontId="0" fillId="37" borderId="14" xfId="0" applyFont="1" applyFill="1" applyBorder="1" applyNumberFormat="1">
      <alignment horizontal="left" vertical="center" wrapText="1" indent="1"/>
    </xf>
    <xf numFmtId="49" fontId="0" fillId="42" borderId="14" xfId="0" applyFont="1" applyFill="1" applyBorder="1" applyNumberFormat="1">
      <alignment horizontal="left" vertical="center" wrapText="1"/>
      <protection locked="0"/>
    </xf>
    <xf numFmtId="0" fontId="55" fillId="0" borderId="14" xfId="0" applyFont="1" applyBorder="1" applyNumberFormat="1">
      <alignment horizontal="left" vertical="center" wrapText="1" indent="1"/>
    </xf>
    <xf numFmtId="49" fontId="23"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95" fillId="0" borderId="0" xfId="0" applyFont="1" applyNumberFormat="1">
      <alignment vertical="center" wrapText="1"/>
    </xf>
    <xf numFmtId="0" fontId="0" fillId="37" borderId="14" xfId="0" applyFont="1" applyFill="1" applyBorder="1" applyNumberFormat="1">
      <alignment horizontal="center" vertical="center"/>
    </xf>
    <xf numFmtId="0" fontId="0" fillId="37" borderId="14" xfId="0" applyFont="1" applyFill="1" applyBorder="1" applyNumberFormat="1">
      <alignment horizontal="left" vertical="center" wrapText="1" indent="2"/>
    </xf>
    <xf numFmtId="49" fontId="0" fillId="0" borderId="14" xfId="0" applyFont="1" applyBorder="1" applyNumberFormat="1">
      <alignment horizontal="left" vertical="center" wrapText="1"/>
    </xf>
    <xf numFmtId="49" fontId="23" fillId="37" borderId="0" xfId="0" applyFont="1" applyFill="1" applyNumberFormat="1">
      <alignment vertical="center" wrapText="1"/>
    </xf>
    <xf numFmtId="0" fontId="23" fillId="37" borderId="26" xfId="0" applyFont="1" applyFill="1" applyBorder="1" applyNumberFormat="1">
      <alignment vertical="center" wrapText="1"/>
    </xf>
    <xf numFmtId="0" fontId="23" fillId="40" borderId="16" xfId="0" applyFont="1" applyFill="1" applyBorder="1" applyNumberFormat="1">
      <alignment horizontal="center"/>
    </xf>
    <xf numFmtId="49" fontId="48" fillId="40" borderId="17" xfId="0" applyFont="1" applyFill="1" applyBorder="1" applyNumberFormat="1">
      <alignment horizontal="left" vertical="center" indent="1"/>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0" fontId="55" fillId="37" borderId="0" xfId="0" applyFont="1" applyFill="1" applyNumberFormat="1"/>
    <xf numFmtId="49" fontId="55" fillId="37" borderId="14" xfId="0" applyFont="1" applyFill="1" applyBorder="1" applyNumberFormat="1">
      <alignment horizontal="center" vertical="center"/>
    </xf>
    <xf numFmtId="0" fontId="55" fillId="37" borderId="14" xfId="0" applyFont="1" applyFill="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0" fontId="0" fillId="37" borderId="14" xfId="0" applyFont="1" applyFill="1" applyBorder="1" applyNumberFormat="1">
      <alignment horizontal="left" vertical="center" wrapText="1"/>
    </xf>
    <xf numFmtId="49" fontId="0" fillId="39" borderId="14" xfId="0" applyFont="1" applyFill="1" applyBorder="1" applyNumberFormat="1">
      <alignment horizontal="left" vertical="center" wrapText="1"/>
      <protection locked="0"/>
    </xf>
    <xf numFmtId="0" fontId="0" fillId="37" borderId="19" xfId="0" applyFont="1" applyFill="1" applyBorder="1" applyNumberFormat="1">
      <alignment horizontal="left" vertical="center" wrapText="1"/>
    </xf>
    <xf numFmtId="0" fontId="23" fillId="37" borderId="19" xfId="0" applyFont="1" applyFill="1" applyBorder="1" applyNumberFormat="1">
      <alignment horizontal="left" vertical="top" wrapText="1"/>
    </xf>
    <xf numFmtId="49" fontId="0" fillId="0" borderId="14" xfId="0" applyFont="1" applyBorder="1" applyNumberFormat="1">
      <alignment horizontal="left" vertical="center" wrapText="1" indent="1"/>
    </xf>
    <xf numFmtId="0" fontId="23" fillId="37" borderId="38" xfId="0" applyFont="1" applyFill="1" applyBorder="1" applyNumberFormat="1">
      <alignment horizontal="left" vertical="top" wrapText="1"/>
    </xf>
    <xf numFmtId="0" fontId="45" fillId="37" borderId="0" xfId="0" applyFont="1" applyFill="1" applyNumberFormat="1">
      <alignment horizontal="center" vertical="center"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37" borderId="25" xfId="0" applyFont="1" applyFill="1" applyBorder="1" applyNumberFormat="1">
      <alignment horizontal="left" vertical="top" wrapText="1"/>
    </xf>
    <xf numFmtId="0" fontId="58" fillId="37" borderId="0" xfId="0" applyFont="1" applyFill="1" applyNumberFormat="1"/>
    <xf numFmtId="49" fontId="23" fillId="42" borderId="14" xfId="0" applyFont="1" applyFill="1" applyBorder="1" applyNumberFormat="1" quotePrefix="1">
      <alignment horizontal="left" vertical="center" wrapText="1"/>
      <protection locked="0"/>
    </xf>
    <xf numFmtId="49" fontId="23" fillId="39"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0" fillId="37" borderId="16" xfId="0" applyFont="1" applyFill="1" applyBorder="1" applyNumberFormat="1">
      <alignment horizontal="left" vertical="center" wrapText="1" indent="1"/>
    </xf>
    <xf numFmtId="49" fontId="23" fillId="43" borderId="16" xfId="0" applyFont="1" applyFill="1" applyBorder="1" applyNumberFormat="1">
      <alignment horizontal="left" vertical="center" wrapText="1"/>
    </xf>
    <xf numFmtId="0" fontId="0" fillId="37" borderId="14" xfId="0" applyFont="1" applyFill="1" applyBorder="1" applyNumberFormat="1">
      <alignment vertical="top" wrapText="1"/>
    </xf>
    <xf numFmtId="49" fontId="23" fillId="37" borderId="0" xfId="0" applyFont="1" applyFill="1" applyNumberFormat="1">
      <alignment horizontal="center" vertical="center" wrapText="1"/>
    </xf>
    <xf numFmtId="0" fontId="0" fillId="37" borderId="16" xfId="0" applyFont="1" applyFill="1" applyBorder="1" applyNumberFormat="1">
      <alignment horizontal="left" vertical="center" wrapText="1"/>
    </xf>
    <xf numFmtId="0" fontId="0" fillId="37" borderId="25" xfId="0" applyFont="1" applyFill="1" applyBorder="1" applyNumberFormat="1">
      <alignment vertical="center" wrapText="1"/>
    </xf>
    <xf numFmtId="0" fontId="81" fillId="37" borderId="0" xfId="0" applyFont="1" applyFill="1" applyNumberFormat="1"/>
    <xf numFmtId="0" fontId="23" fillId="0" borderId="0" xfId="0" applyFont="1" applyNumberFormat="1">
      <alignment vertical="top" wrapText="1"/>
    </xf>
    <xf numFmtId="0" fontId="55" fillId="0" borderId="0" xfId="0" applyFont="1" applyNumberFormat="1">
      <alignment vertical="center" wrapText="1"/>
    </xf>
    <xf numFmtId="0" fontId="53" fillId="0" borderId="0" xfId="0" applyFont="1" applyNumberFormat="1">
      <alignment horizontal="right" vertical="top" wrapText="1"/>
    </xf>
    <xf numFmtId="0" fontId="53" fillId="0" borderId="0" xfId="0" applyFont="1" applyNumberFormat="1">
      <alignment horizontal="left" vertical="top" wrapText="1" indent="1"/>
    </xf>
    <xf numFmtId="0" fontId="53" fillId="0" borderId="0" xfId="0" applyFont="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2" fillId="37" borderId="0" xfId="0" applyFont="1" applyFill="1" applyNumberFormat="1">
      <alignment horizontal="right" vertical="center"/>
    </xf>
    <xf numFmtId="0" fontId="83" fillId="37" borderId="0" xfId="0" applyFont="1" applyFill="1" applyNumberFormat="1">
      <alignment vertical="center"/>
    </xf>
    <xf numFmtId="0" fontId="82" fillId="37" borderId="0" xfId="0" applyFont="1" applyFill="1" applyNumberFormat="1">
      <alignment horizontal="right" vertical="top"/>
    </xf>
    <xf numFmtId="0" fontId="83" fillId="37" borderId="0" xfId="0" applyFont="1" applyFill="1" applyNumberFormat="1">
      <alignment vertical="center" wrapText="1"/>
    </xf>
    <xf numFmtId="0" fontId="23" fillId="37" borderId="0" xfId="0" applyFont="1" applyFill="1" applyNumberFormat="1"/>
    <xf numFmtId="0" fontId="0" fillId="37" borderId="0" xfId="0" applyFont="1" applyFill="1" applyNumberFormat="1"/>
    <xf numFmtId="0" fontId="0" fillId="37" borderId="0" xfId="0" applyFont="1" applyFill="1" applyNumberFormat="1">
      <alignment horizontal="center"/>
    </xf>
    <xf numFmtId="0" fontId="54" fillId="0" borderId="0" xfId="0" applyFont="1" applyNumberFormat="1">
      <alignment horizontal="center" vertical="center" wrapTex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45" fillId="37" borderId="0" xfId="0" applyFont="1" applyFill="1" applyNumberFormat="1">
      <alignment horizontal="center" vertical="center" wrapText="1"/>
    </xf>
    <xf numFmtId="0" fontId="22" fillId="0" borderId="0" xfId="0" applyFont="1" applyNumberFormat="1">
      <alignment horizontal="left" vertical="center" wrapText="1" indent="3"/>
    </xf>
    <xf numFmtId="0" fontId="69" fillId="0" borderId="0" xfId="0" applyFont="1" applyNumberFormat="1">
      <alignment horizontal="center" vertical="center" wrapText="1"/>
    </xf>
    <xf numFmtId="0" fontId="69" fillId="0" borderId="0" xfId="0" applyFont="1" applyNumberFormat="1">
      <alignment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65" fillId="0" borderId="0" xfId="0" applyFont="1" applyNumberFormat="1">
      <alignment vertical="center" wrapText="1"/>
    </xf>
    <xf numFmtId="0" fontId="63" fillId="0" borderId="0" xfId="0" applyFont="1" applyNumberFormat="1">
      <alignment vertical="center" wrapText="1"/>
    </xf>
    <xf numFmtId="0" fontId="84" fillId="37" borderId="0" xfId="0" applyFont="1" applyFill="1" applyNumberFormat="1">
      <alignment horizontal="center" vertical="center" wrapText="1"/>
    </xf>
    <xf numFmtId="0" fontId="65" fillId="0" borderId="0" xfId="0" applyFont="1" applyNumberFormat="1">
      <alignment horizontal="left" vertical="center" wrapText="1" indent="1"/>
    </xf>
    <xf numFmtId="0" fontId="23" fillId="0" borderId="0" xfId="0" applyFont="1" applyNumberFormat="1">
      <alignment horizontal="right" vertical="center"/>
    </xf>
    <xf numFmtId="0" fontId="55" fillId="0" borderId="0" xfId="0" applyFont="1" applyNumberFormat="1">
      <alignment vertical="center" wrapText="1"/>
    </xf>
    <xf numFmtId="0" fontId="0" fillId="0" borderId="16"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44" fillId="37" borderId="0" xfId="0" applyFont="1" applyFill="1" applyNumberFormat="1">
      <alignment horizontal="center" vertical="center" wrapText="1"/>
    </xf>
    <xf numFmtId="49" fontId="44" fillId="37" borderId="0" xfId="0" applyFont="1" applyFill="1" applyNumberFormat="1">
      <alignment horizontal="center" vertical="center" wrapText="1"/>
    </xf>
    <xf numFmtId="0" fontId="23" fillId="0" borderId="0" xfId="0" applyFont="1" applyNumberFormat="1">
      <alignment vertical="center" wrapText="1"/>
    </xf>
    <xf numFmtId="0" fontId="77" fillId="0" borderId="0" xfId="0" applyFont="1" applyNumberFormat="1">
      <alignmen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49" fontId="77" fillId="0" borderId="14" xfId="0" applyFont="1" applyBorder="1" applyNumberFormat="1">
      <alignment horizontal="left" vertical="center" wrapText="1"/>
    </xf>
    <xf numFmtId="49" fontId="0" fillId="0" borderId="14" xfId="0" applyFont="1" applyBorder="1" applyNumberFormat="1">
      <alignment vertical="top" wrapText="1"/>
    </xf>
    <xf numFmtId="49" fontId="0" fillId="0" borderId="14" xfId="0" applyFont="1" applyBorder="1" applyNumberFormat="1">
      <alignment horizontal="center" vertical="center" wrapText="1"/>
    </xf>
    <xf numFmtId="49" fontId="0" fillId="39"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 fontId="0" fillId="42"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 fontId="0" fillId="42" borderId="15" xfId="0" applyFont="1" applyFill="1" applyBorder="1" applyNumberFormat="1">
      <alignment horizontal="right" vertical="center" wrapText="1"/>
      <protection locked="0"/>
    </xf>
    <xf numFmtId="0" fontId="0" fillId="39" borderId="14" xfId="0" applyFont="1" applyFill="1" applyBorder="1" applyNumberFormat="1">
      <alignment horizontal="right" vertical="center" wrapText="1"/>
      <protection locked="0"/>
    </xf>
    <xf numFmtId="3" fontId="0" fillId="0" borderId="15" xfId="0" applyFont="1" applyBorder="1" applyNumberFormat="1">
      <alignment horizontal="right" vertical="center" wrapText="1"/>
    </xf>
    <xf numFmtId="0" fontId="0" fillId="0" borderId="19" xfId="0" applyFont="1" applyBorder="1" applyNumberFormat="1">
      <alignment horizontal="left" vertical="top" wrapText="1"/>
    </xf>
    <xf numFmtId="49" fontId="36" fillId="40" borderId="16" xfId="0" applyFont="1" applyFill="1" applyBorder="1" applyNumberFormat="1">
      <alignment horizontal="center" vertical="center"/>
    </xf>
    <xf numFmtId="0" fontId="48" fillId="40" borderId="17" xfId="0" applyFont="1" applyFill="1" applyBorder="1" applyNumberFormat="1">
      <alignment vertical="center"/>
    </xf>
    <xf numFmtId="49" fontId="48" fillId="40" borderId="17" xfId="0" applyFont="1" applyFill="1" applyBorder="1" applyNumberFormat="1">
      <alignment vertical="center"/>
    </xf>
    <xf numFmtId="49" fontId="78" fillId="40" borderId="17" xfId="0" applyFont="1" applyFill="1" applyBorder="1" applyNumberFormat="1">
      <alignment vertical="center"/>
    </xf>
    <xf numFmtId="49" fontId="78" fillId="40" borderId="15" xfId="0" applyFont="1" applyFill="1" applyBorder="1" applyNumberFormat="1">
      <alignment vertical="center"/>
    </xf>
    <xf numFmtId="0" fontId="0" fillId="0" borderId="25" xfId="0" applyFont="1" applyBorder="1" applyNumberFormat="1">
      <alignment horizontal="left" vertical="top" wrapText="1"/>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50" fillId="0" borderId="0" xfId="0" applyFont="1" applyNumberFormat="1">
      <alignment vertical="center" wrapText="1"/>
    </xf>
    <xf numFmtId="0" fontId="55" fillId="0" borderId="0" xfId="0" applyFont="1" applyNumberFormat="1">
      <alignment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49" fontId="0" fillId="0" borderId="39" xfId="0" applyFont="1" applyBorder="1" applyNumberFormat="1">
      <alignment horizontal="center" vertical="center" wrapText="1"/>
    </xf>
    <xf numFmtId="0" fontId="23" fillId="43" borderId="21" xfId="0" applyFont="1" applyFill="1" applyBorder="1" applyNumberFormat="1">
      <alignment horizontal="lef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0" fontId="55" fillId="0" borderId="0" xfId="0" applyFont="1" applyNumberFormat="1">
      <alignment vertical="center"/>
    </xf>
    <xf numFmtId="49" fontId="0" fillId="0" borderId="32" xfId="0" applyFont="1" applyBorder="1" applyNumberFormat="1">
      <alignment horizontal="center" vertical="center" wrapText="1"/>
    </xf>
    <xf numFmtId="0" fontId="23" fillId="43" borderId="29" xfId="0" applyFont="1" applyFill="1" applyBorder="1" applyNumberFormat="1">
      <alignment horizontal="left" vertical="center" wrapText="1"/>
    </xf>
    <xf numFmtId="0" fontId="93" fillId="0" borderId="0" xfId="0" applyFont="1" applyNumberFormat="1">
      <alignment vertical="center" wrapText="1"/>
    </xf>
    <xf numFmtId="0" fontId="55" fillId="0" borderId="0" xfId="0" applyFont="1" applyNumberFormat="1">
      <alignment vertical="center" wrapText="1"/>
    </xf>
    <xf numFmtId="0" fontId="45" fillId="37" borderId="0" xfId="0" applyFont="1" applyFill="1" applyNumberFormat="1">
      <alignment horizontal="center" vertical="center" wrapText="1"/>
    </xf>
    <xf numFmtId="0" fontId="23" fillId="0" borderId="21" xfId="0" applyFont="1" applyBorder="1" applyNumberFormat="1">
      <alignment horizontal="left" vertical="top" wrapText="1" indent="1"/>
    </xf>
    <xf numFmtId="0" fontId="69" fillId="0" borderId="0" xfId="0" applyFont="1" applyNumberFormat="1">
      <alignment vertical="center" wrapText="1"/>
    </xf>
    <xf numFmtId="0" fontId="65" fillId="0" borderId="0" xfId="0" applyFont="1" applyNumberFormat="1">
      <alignment vertical="center" wrapText="1"/>
    </xf>
    <xf numFmtId="0" fontId="63" fillId="0" borderId="0" xfId="0" applyFont="1" applyNumberFormat="1">
      <alignment vertical="center" wrapText="1"/>
    </xf>
    <xf numFmtId="0" fontId="23" fillId="0" borderId="25" xfId="0" applyFont="1" applyBorder="1" applyNumberFormat="1">
      <alignment horizontal="center" vertical="center" wrapText="1"/>
    </xf>
    <xf numFmtId="0" fontId="23" fillId="0" borderId="0" xfId="0" applyFont="1" applyNumberFormat="1">
      <alignmen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40" fillId="0" borderId="0" xfId="0" applyFont="1" applyNumberFormat="1">
      <alignment vertical="center" wrapText="1"/>
    </xf>
    <xf numFmtId="0" fontId="23" fillId="0" borderId="0" xfId="0" applyFont="1" applyNumberFormat="1">
      <alignment vertical="center" wrapText="1"/>
    </xf>
    <xf numFmtId="0" fontId="55" fillId="0" borderId="0" xfId="0" applyFont="1" applyNumberFormat="1">
      <alignment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2" fillId="0" borderId="0" xfId="0" applyFont="1" applyNumberFormat="1">
      <alignment horizontal="center" vertical="center" wrapText="1"/>
    </xf>
    <xf numFmtId="0" fontId="50" fillId="0" borderId="0" xfId="0" applyFont="1" applyNumberFormat="1">
      <alignment vertical="center" wrapText="1"/>
    </xf>
    <xf numFmtId="4" fontId="65" fillId="0" borderId="0" xfId="0" applyFont="1" applyNumberFormat="1">
      <alignment horizontal="right"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44" fillId="37" borderId="17" xfId="0" applyFont="1" applyFill="1" applyBorder="1" applyNumberFormat="1">
      <alignment horizontal="center" vertical="center" wrapText="1"/>
    </xf>
    <xf numFmtId="49" fontId="44" fillId="37" borderId="17" xfId="0" applyFont="1" applyFill="1" applyBorder="1" applyNumberFormat="1">
      <alignment horizontal="center"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top"/>
    </xf>
    <xf numFmtId="0" fontId="45" fillId="37" borderId="26" xfId="0" applyFont="1" applyFill="1" applyBorder="1" applyNumberFormat="1">
      <alignment vertical="top"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49" fontId="34" fillId="40" borderId="15" xfId="0" applyFont="1" applyFill="1" applyBorder="1" applyNumberFormat="1">
      <alignment horizontal="left" vertical="center" wrapText="1"/>
    </xf>
    <xf numFmtId="0" fontId="0" fillId="0" borderId="38" xfId="0" applyFont="1" applyBorder="1" applyNumberFormat="1">
      <alignment horizontal="left" vertical="top"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45" fillId="37" borderId="0" xfId="0" applyFont="1" applyFill="1" applyNumberFormat="1">
      <alignment vertical="top" wrapText="1"/>
    </xf>
    <xf numFmtId="0" fontId="55" fillId="37" borderId="25" xfId="0" applyFont="1" applyFill="1" applyBorder="1" applyNumberFormat="1">
      <alignment horizontal="center" vertical="center" wrapText="1"/>
    </xf>
    <xf numFmtId="14" fontId="23" fillId="43" borderId="25" xfId="0" applyFont="1" applyFill="1" applyBorder="1" applyNumberFormat="1">
      <alignment horizontal="left" vertical="center" wrapText="1"/>
    </xf>
    <xf numFmtId="14" fontId="23" fillId="43" borderId="14" xfId="0" applyFont="1" applyFill="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6" fillId="40" borderId="17" xfId="0" applyFont="1" applyFill="1" applyBorder="1" applyNumberFormat="1">
      <alignment horizontal="center" vertical="center"/>
    </xf>
    <xf numFmtId="49" fontId="78" fillId="40" borderId="17" xfId="0" applyFont="1" applyFill="1" applyBorder="1" applyNumberFormat="1">
      <alignment horizontal="left" vertical="center" indent="1"/>
    </xf>
    <xf numFmtId="49" fontId="78" fillId="40" borderId="15" xfId="0" applyFont="1" applyFill="1" applyBorder="1" applyNumberFormat="1">
      <alignment horizontal="left" vertical="center" indent="1"/>
    </xf>
    <xf numFmtId="0" fontId="65" fillId="0" borderId="0" xfId="0" applyFont="1" applyNumberFormat="1">
      <alignment vertical="center" wrapText="1"/>
    </xf>
    <xf numFmtId="0" fontId="84" fillId="0" borderId="0" xfId="0" applyFont="1" applyNumberFormat="1">
      <alignment horizontal="center" vertical="center" wrapText="1"/>
    </xf>
    <xf numFmtId="0" fontId="53" fillId="0" borderId="0" xfId="0" applyFont="1" applyNumberFormat="1">
      <alignment vertical="top" wrapText="1"/>
    </xf>
    <xf numFmtId="0" fontId="23" fillId="0" borderId="0" xfId="0" applyFont="1" applyNumberFormat="1">
      <alignment horizontal="right" vertical="top" wrapText="1"/>
    </xf>
    <xf numFmtId="0" fontId="53"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horizontal="left" vertical="center" indent="1"/>
    </xf>
    <xf numFmtId="0" fontId="54" fillId="0" borderId="14" xfId="0" applyFont="1" applyBorder="1" applyNumberFormat="1">
      <alignment horizontal="center" vertical="center"/>
    </xf>
    <xf numFmtId="0" fontId="54" fillId="0" borderId="0" xfId="0" applyFont="1" applyNumberFormat="1">
      <alignment horizontal="center" vertical="center"/>
    </xf>
    <xf numFmtId="0" fontId="54"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4" xfId="0" applyFont="1" applyBorder="1" applyNumberFormat="1">
      <alignment horizontal="left" vertical="center" wrapText="1" indent="6"/>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53" fillId="0" borderId="14" xfId="0" applyFont="1" applyBorder="1" applyNumberFormat="1">
      <alignment vertical="top" wrapText="1"/>
    </xf>
    <xf numFmtId="0" fontId="54" fillId="0" borderId="16" xfId="0" applyFont="1" applyBorder="1" applyNumberFormat="1">
      <alignment horizontal="center" vertical="center"/>
    </xf>
    <xf numFmtId="0" fontId="23" fillId="0" borderId="0" xfId="0" applyFont="1" applyNumberFormat="1">
      <alignment horizontal="center"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23" fillId="37" borderId="14" xfId="0" applyFont="1" applyFill="1" applyBorder="1" applyNumberFormat="1">
      <alignment horizontal="left" vertical="center" wrapText="1" indent="1"/>
    </xf>
    <xf numFmtId="0" fontId="45" fillId="0" borderId="0" xfId="0" applyFont="1" applyNumberFormat="1">
      <alignment vertical="center" wrapTex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54" fillId="0" borderId="14" xfId="0" applyFont="1" applyBorder="1" applyNumberFormat="1">
      <alignment horizontal="center" vertical="center" wrapText="1"/>
    </xf>
    <xf numFmtId="0" fontId="54"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54" fillId="0" borderId="16" xfId="0" applyFont="1" applyBorder="1" applyNumberFormat="1">
      <alignment horizontal="center" vertical="center" wrapText="1"/>
    </xf>
    <xf numFmtId="0" fontId="54" fillId="0" borderId="0" xfId="0" applyFont="1" applyNumberFormat="1">
      <alignment vertical="center" wrapText="1"/>
    </xf>
    <xf numFmtId="0" fontId="55" fillId="0" borderId="26" xfId="0" applyFont="1" applyBorder="1" applyNumberFormat="1">
      <alignment vertical="center" wrapText="1"/>
    </xf>
    <xf numFmtId="0" fontId="23" fillId="37" borderId="14" xfId="0" applyFont="1" applyFill="1" applyBorder="1" applyNumberFormat="1">
      <alignment horizontal="left" vertical="center" wrapText="1" indent="5"/>
    </xf>
    <xf numFmtId="0" fontId="23" fillId="43" borderId="14" xfId="0" applyFont="1" applyFill="1" applyBorder="1" applyNumberFormat="1">
      <alignment horizontal="left" vertical="center" wrapText="1" indent="6"/>
    </xf>
    <xf numFmtId="4" fontId="23" fillId="39" borderId="14" xfId="0" applyFont="1" applyFill="1" applyBorder="1" applyNumberFormat="1">
      <alignment horizontal="right" vertical="center" wrapText="1"/>
      <protection locked="0"/>
    </xf>
    <xf numFmtId="4" fontId="23" fillId="0" borderId="14" xfId="0" applyFont="1" applyBorder="1" applyNumberFormat="1">
      <alignment horizontal="right" vertical="center" wrapText="1"/>
    </xf>
    <xf numFmtId="164" fontId="23" fillId="39" borderId="14" xfId="0" applyFont="1" applyFill="1" applyBorder="1" applyNumberFormat="1">
      <alignment horizontal="right" vertical="center" wrapText="1"/>
      <protection locked="0"/>
    </xf>
    <xf numFmtId="167" fontId="0" fillId="42" borderId="14" xfId="0" applyFont="1" applyFill="1" applyBorder="1" applyNumberFormat="1">
      <alignment horizontal="center" vertical="center" wrapText="1"/>
      <protection locked="0"/>
    </xf>
    <xf numFmtId="0" fontId="53" fillId="0" borderId="19" xfId="0" applyFont="1" applyBorder="1" applyNumberFormat="1">
      <alignment horizontal="left" vertical="top" wrapText="1"/>
    </xf>
    <xf numFmtId="49" fontId="23" fillId="0" borderId="14" xfId="0" applyFont="1" applyBorder="1" applyNumberFormat="1">
      <alignment horizontal="left" vertical="center" wrapText="1"/>
    </xf>
    <xf numFmtId="4" fontId="55" fillId="0" borderId="14" xfId="0" applyFont="1" applyBorder="1" applyNumberFormat="1">
      <alignment horizontal="center" vertical="center" wrapText="1"/>
    </xf>
    <xf numFmtId="49" fontId="0" fillId="42" borderId="14" xfId="0" applyFont="1" applyFill="1" applyBorder="1" applyNumberFormat="1">
      <alignment horizontal="center" vertical="center" wrapText="1"/>
      <protection locked="0"/>
    </xf>
    <xf numFmtId="0" fontId="53" fillId="0" borderId="38" xfId="0" applyFont="1" applyBorder="1" applyNumberFormat="1">
      <alignment horizontal="left" vertical="top"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6"/>
    </xf>
    <xf numFmtId="49" fontId="23" fillId="40" borderId="15" xfId="0" applyFont="1" applyFill="1" applyBorder="1" applyNumberFormat="1">
      <alignment horizontal="center" vertical="center" wrapText="1"/>
    </xf>
    <xf numFmtId="0" fontId="53" fillId="0" borderId="25" xfId="0" applyFont="1" applyBorder="1" applyNumberFormat="1">
      <alignment horizontal="left" vertical="top" wrapText="1"/>
    </xf>
    <xf numFmtId="49" fontId="48" fillId="40" borderId="17" xfId="0" applyFont="1" applyFill="1" applyBorder="1" applyNumberFormat="1">
      <alignment horizontal="left" vertical="center" indent="5"/>
    </xf>
    <xf numFmtId="49" fontId="0" fillId="40" borderId="17" xfId="0" applyFont="1" applyFill="1" applyBorder="1" applyNumberFormat="1">
      <alignment horizontal="center" vertical="center" wrapText="1"/>
    </xf>
    <xf numFmtId="49" fontId="0" fillId="40" borderId="15" xfId="0" applyFont="1" applyFill="1" applyBorder="1" applyNumberFormat="1">
      <alignment horizontal="center" vertical="center" wrapText="1"/>
    </xf>
    <xf numFmtId="49" fontId="47" fillId="0" borderId="0" xfId="0" applyFont="1" applyNumberFormat="1">
      <alignment vertical="top"/>
    </xf>
    <xf numFmtId="49" fontId="48" fillId="40" borderId="17" xfId="0" applyFont="1" applyFill="1" applyBorder="1" applyNumberFormat="1">
      <alignment horizontal="left" vertical="center" indent="4"/>
    </xf>
    <xf numFmtId="0" fontId="55" fillId="0" borderId="0" xfId="0" applyFont="1" applyNumberFormat="1">
      <alignmen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49" fontId="23" fillId="0" borderId="0" xfId="0" applyFont="1" applyNumberFormat="1">
      <alignment vertical="center" wrapText="1"/>
    </xf>
    <xf numFmtId="4" fontId="54" fillId="0" borderId="14" xfId="0" applyFont="1" applyBorder="1" applyNumberFormat="1">
      <alignment horizontal="right" vertical="center" wrapText="1"/>
    </xf>
    <xf numFmtId="164" fontId="54" fillId="0" borderId="14" xfId="0" applyFont="1" applyBorder="1" applyNumberFormat="1">
      <alignment horizontal="right" vertical="center" wrapText="1"/>
    </xf>
    <xf numFmtId="167"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54"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54" fillId="0" borderId="14" xfId="0" applyFont="1" applyBorder="1" applyNumberFormat="1">
      <alignment vertical="center" wrapText="1"/>
    </xf>
    <xf numFmtId="0" fontId="74" fillId="0" borderId="0" xfId="0" applyFont="1" applyNumberFormat="1">
      <alignment vertical="center" wrapText="1"/>
    </xf>
    <xf numFmtId="0" fontId="54" fillId="0" borderId="0" xfId="0" applyFont="1" applyNumberFormat="1">
      <alignment horizontal="left" vertical="center" wrapText="1"/>
    </xf>
    <xf numFmtId="0" fontId="54" fillId="0" borderId="0" xfId="0" applyFont="1" applyNumberFormat="1">
      <alignment vertical="center" wrapText="1"/>
    </xf>
    <xf numFmtId="0" fontId="47" fillId="37" borderId="0" xfId="0" applyFont="1" applyFill="1" applyNumberFormat="1">
      <alignment vertical="center" wrapText="1"/>
    </xf>
    <xf numFmtId="0" fontId="23" fillId="37" borderId="0" xfId="0" applyFont="1" applyFill="1" applyNumberFormat="1">
      <alignment horizontal="left" vertical="center" wrapText="1"/>
    </xf>
    <xf numFmtId="0" fontId="23" fillId="37" borderId="0" xfId="0" applyFont="1" applyFill="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0" fillId="0" borderId="0" xfId="0" applyFont="1" applyNumberFormat="1">
      <alignment vertical="center"/>
    </xf>
    <xf numFmtId="0" fontId="54" fillId="0" borderId="0" xfId="0" applyFont="1" applyNumberFormat="1">
      <alignment vertical="center"/>
    </xf>
    <xf numFmtId="0" fontId="54" fillId="0" borderId="0" xfId="0" applyFont="1" applyNumberFormat="1">
      <alignment horizontal="center" vertical="center"/>
    </xf>
    <xf numFmtId="0" fontId="0" fillId="37" borderId="14" xfId="0" applyFont="1" applyFill="1" applyBorder="1" applyNumberFormat="1">
      <alignment horizontal="right" vertical="center" wrapText="1" indent="1"/>
    </xf>
    <xf numFmtId="0" fontId="0" fillId="0" borderId="17" xfId="0" applyFont="1" applyBorder="1" applyNumberFormat="1">
      <alignment vertical="center"/>
    </xf>
    <xf numFmtId="0" fontId="23" fillId="38" borderId="14" xfId="0" applyFont="1" applyFill="1" applyBorder="1" applyNumberFormat="1">
      <alignment horizontal="left" vertical="center" wrapText="1" indent="1"/>
    </xf>
    <xf numFmtId="0" fontId="23" fillId="0" borderId="0" xfId="0" applyFont="1" applyNumberFormat="1">
      <alignment vertical="center" wrapText="1"/>
    </xf>
    <xf numFmtId="0" fontId="73" fillId="0" borderId="0" xfId="0" applyFont="1" applyNumberFormat="1">
      <alignment vertical="center"/>
    </xf>
    <xf numFmtId="0" fontId="55" fillId="0" borderId="0" xfId="0" applyFont="1" applyNumberFormat="1">
      <alignment vertical="center"/>
    </xf>
    <xf numFmtId="167" fontId="23" fillId="38" borderId="14" xfId="0" applyFont="1" applyFill="1" applyBorder="1" applyNumberFormat="1">
      <alignment horizontal="left" vertical="center" wrapText="1" indent="1"/>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wrapText="1"/>
    </xf>
    <xf numFmtId="0" fontId="23" fillId="37" borderId="29" xfId="0" applyFont="1" applyFill="1" applyBorder="1" applyNumberFormat="1">
      <alignment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19" xfId="0" applyFont="1" applyBorder="1" applyNumberFormat="1">
      <alignmen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0" fontId="23" fillId="0" borderId="38" xfId="0" applyFont="1" applyBorder="1" applyNumberFormat="1">
      <alignment vertical="center" wrapText="1"/>
    </xf>
    <xf numFmtId="0" fontId="23" fillId="0" borderId="19" xfId="0" applyFont="1" applyBorder="1" applyNumberFormat="1">
      <alignment horizontal="center" vertical="center" wrapText="1"/>
    </xf>
    <xf numFmtId="0" fontId="54"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7" xfId="0" applyFont="1" applyBorder="1" applyNumberFormat="1">
      <alignment horizontal="center" vertical="center" wrapText="1"/>
    </xf>
    <xf numFmtId="0" fontId="23" fillId="37" borderId="38" xfId="0" applyFont="1" applyFill="1" applyBorder="1" applyNumberFormat="1">
      <alignment horizontal="center" vertical="center" wrapText="1"/>
    </xf>
    <xf numFmtId="49" fontId="48" fillId="40" borderId="38" xfId="0" applyFont="1" applyFill="1" applyBorder="1" applyNumberFormat="1">
      <alignment horizontal="center" vertical="center" textRotation="90" wrapText="1"/>
    </xf>
    <xf numFmtId="0" fontId="54" fillId="0" borderId="0" xfId="0" applyFont="1" applyNumberFormat="1">
      <alignment vertical="center"/>
    </xf>
    <xf numFmtId="0" fontId="23" fillId="0" borderId="25" xfId="0" applyFont="1" applyBorder="1" applyNumberFormat="1">
      <alignment vertical="center" wrapText="1"/>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8" fillId="40" borderId="25" xfId="0" applyFont="1" applyFill="1" applyBorder="1" applyNumberFormat="1">
      <alignment horizontal="center" vertical="center" textRotation="90" wrapText="1"/>
    </xf>
    <xf numFmtId="49" fontId="77" fillId="0" borderId="0" xfId="0" applyFont="1" applyNumberFormat="1">
      <alignment vertical="center" wrapText="1"/>
    </xf>
    <xf numFmtId="0" fontId="111" fillId="37" borderId="0" xfId="0" applyFont="1" applyFill="1" applyNumberFormat="1">
      <alignment vertical="center" wrapText="1"/>
    </xf>
    <xf numFmtId="0" fontId="112" fillId="37" borderId="0" xfId="0" applyFont="1" applyFill="1" applyNumberFormat="1">
      <alignment vertical="center" wrapText="1"/>
    </xf>
    <xf numFmtId="49" fontId="85" fillId="37" borderId="21" xfId="0" applyFont="1" applyFill="1" applyBorder="1" applyNumberFormat="1">
      <alignment horizontal="left" vertical="center" wrapText="1"/>
    </xf>
    <xf numFmtId="49" fontId="85" fillId="37" borderId="21" xfId="0" applyFont="1" applyFill="1" applyBorder="1" applyNumberFormat="1">
      <alignment horizontal="center" vertical="center" wrapText="1"/>
    </xf>
    <xf numFmtId="0" fontId="5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167" fontId="0" fillId="42" borderId="19" xfId="0" applyFont="1" applyFill="1" applyBorder="1" applyNumberFormat="1">
      <alignment horizontal="center" vertical="center" wrapText="1"/>
      <protection locked="0"/>
    </xf>
    <xf numFmtId="4" fontId="23" fillId="0" borderId="19" xfId="0" applyFont="1" applyBorder="1" applyNumberFormat="1">
      <alignment horizontal="right" vertical="center" wrapText="1"/>
    </xf>
    <xf numFmtId="49" fontId="23" fillId="0" borderId="14" xfId="0" applyFont="1" applyBorder="1" applyNumberFormat="1">
      <alignment horizontal="left" vertical="center" wrapText="1"/>
    </xf>
    <xf numFmtId="49" fontId="0" fillId="42" borderId="25" xfId="0" applyFont="1" applyFill="1" applyBorder="1" applyNumberFormat="1">
      <alignment horizontal="center" vertical="center" wrapText="1"/>
      <protection locked="0"/>
    </xf>
    <xf numFmtId="4" fontId="23" fillId="0" borderId="25" xfId="0" applyFont="1" applyBorder="1" applyNumberFormat="1">
      <alignment horizontal="right" vertical="center" wrapText="1"/>
    </xf>
    <xf numFmtId="0" fontId="55" fillId="0" borderId="0" xfId="0" applyFont="1" applyNumberFormat="1">
      <alignment horizontal="left" vertical="center" indent="1"/>
    </xf>
    <xf numFmtId="0" fontId="55" fillId="0" borderId="0" xfId="0" applyFont="1" applyNumberFormat="1">
      <alignment vertical="center" wrapText="1"/>
    </xf>
    <xf numFmtId="0" fontId="55" fillId="0" borderId="0" xfId="0" applyFont="1" applyNumberFormat="1">
      <alignment horizontal="center" vertical="center"/>
    </xf>
    <xf numFmtId="0" fontId="55" fillId="0" borderId="0" xfId="0" applyFont="1" applyNumberFormat="1">
      <alignment vertical="center" wrapText="1"/>
    </xf>
    <xf numFmtId="49" fontId="55" fillId="0" borderId="0" xfId="0" applyFont="1" applyNumberFormat="1">
      <alignment vertical="top"/>
    </xf>
    <xf numFmtId="49" fontId="112" fillId="0" borderId="0" xfId="0" applyFont="1" applyNumberFormat="1">
      <alignment vertical="top"/>
    </xf>
    <xf numFmtId="0" fontId="23" fillId="0" borderId="0" xfId="0" applyFont="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23" fillId="0" borderId="0" xfId="0" applyFont="1" applyNumberFormat="1">
      <alignment vertical="center" wrapText="1"/>
    </xf>
    <xf numFmtId="0" fontId="47" fillId="0" borderId="0" xfId="0" applyFont="1" applyNumberFormat="1">
      <alignment vertical="center" wrapText="1"/>
    </xf>
    <xf numFmtId="0" fontId="23" fillId="0" borderId="0" xfId="0" applyFont="1" applyNumberFormat="1">
      <alignment horizontal="left" vertical="center" wrapText="1"/>
    </xf>
    <xf numFmtId="0" fontId="23"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49" fontId="23" fillId="0" borderId="0" xfId="0" applyFont="1" applyNumberFormat="1">
      <alignment vertical="center" wrapText="1"/>
    </xf>
    <xf numFmtId="0" fontId="23" fillId="0" borderId="14" xfId="0" applyFont="1" applyBorder="1" applyNumberFormat="1">
      <alignment horizontal="center" vertical="center"/>
    </xf>
    <xf numFmtId="0" fontId="23" fillId="0" borderId="0" xfId="0" applyFont="1" applyNumberFormat="1">
      <alignment horizontal="center" vertical="center"/>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0" fontId="23" fillId="37" borderId="14" xfId="0" applyFont="1" applyFill="1" applyBorder="1" applyNumberFormat="1">
      <alignment horizontal="left" vertical="center" wrapText="1" indent="1"/>
    </xf>
    <xf numFmtId="0" fontId="23"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vertical="center" wrapText="1"/>
    </xf>
    <xf numFmtId="49" fontId="23" fillId="0" borderId="14" xfId="0" applyFont="1" applyBorder="1" applyNumberFormat="1">
      <alignment horizontal="left" vertical="center" wrapText="1"/>
    </xf>
    <xf numFmtId="0" fontId="55" fillId="0" borderId="0" xfId="0" applyFont="1" applyNumberFormat="1">
      <alignment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77" fillId="0" borderId="0" xfId="0" applyFont="1" applyNumberFormat="1">
      <alignment horizontal="left" vertical="center" wrapText="1"/>
    </xf>
    <xf numFmtId="0" fontId="77" fillId="0" borderId="0" xfId="0" applyFont="1" applyNumberFormat="1">
      <alignment vertical="center" wrapText="1"/>
    </xf>
    <xf numFmtId="0" fontId="55" fillId="0" borderId="0" xfId="0" applyFont="1" applyNumberFormat="1">
      <alignment vertical="center"/>
    </xf>
    <xf numFmtId="49" fontId="77" fillId="0" borderId="0" xfId="0" applyFont="1" applyNumberFormat="1">
      <alignment horizontal="left" vertical="center"/>
    </xf>
    <xf numFmtId="0" fontId="54" fillId="0" borderId="0" xfId="0" applyFont="1" applyNumberFormat="1">
      <alignment vertical="center" wrapText="1"/>
    </xf>
    <xf numFmtId="0" fontId="23" fillId="0" borderId="0" xfId="0" applyFont="1" applyNumberFormat="1">
      <alignment horizontal="center" vertical="center" wrapText="1"/>
    </xf>
    <xf numFmtId="49" fontId="23" fillId="0" borderId="0" xfId="0" applyFont="1" applyNumberFormat="1">
      <alignment vertical="center" wrapText="1"/>
    </xf>
    <xf numFmtId="49" fontId="23" fillId="0" borderId="14" xfId="0" applyFont="1" applyBorder="1" applyNumberFormat="1">
      <alignment vertical="center" wrapText="1"/>
    </xf>
    <xf numFmtId="0" fontId="23" fillId="0" borderId="0" xfId="0" applyFont="1" applyNumberFormat="1">
      <alignment vertical="center"/>
    </xf>
    <xf numFmtId="0" fontId="23" fillId="0" borderId="0" xfId="0" applyFont="1" applyNumberFormat="1">
      <alignment horizontal="center" vertical="center"/>
    </xf>
    <xf numFmtId="0" fontId="23" fillId="0" borderId="0" xfId="0" applyFont="1" applyNumberFormat="1">
      <alignment horizontal="right" vertical="center" wrapText="1"/>
    </xf>
    <xf numFmtId="0" fontId="55" fillId="0" borderId="0" xfId="0" applyFont="1" applyNumberFormat="1">
      <alignment vertical="center" wrapText="1"/>
    </xf>
    <xf numFmtId="0" fontId="23" fillId="0" borderId="19" xfId="0" applyFont="1" applyBorder="1" applyNumberFormat="1">
      <alignment vertical="center" wrapText="1"/>
    </xf>
    <xf numFmtId="0" fontId="0" fillId="0" borderId="14" xfId="0" applyFont="1" applyBorder="1" applyNumberFormat="1">
      <alignment horizontal="center" vertical="center" wrapText="1"/>
    </xf>
    <xf numFmtId="0" fontId="77" fillId="0" borderId="0" xfId="0" applyFont="1" applyNumberFormat="1">
      <alignment vertical="center" wrapText="1"/>
    </xf>
    <xf numFmtId="0" fontId="85" fillId="37" borderId="21" xfId="0" applyFont="1" applyFill="1" applyBorder="1" applyNumberFormat="1">
      <alignment horizontal="center" vertical="center" wrapText="1"/>
    </xf>
    <xf numFmtId="0" fontId="77" fillId="0" borderId="0" xfId="0" applyFont="1" applyNumberFormat="1">
      <alignment horizontal="left" vertical="center" indent="1"/>
    </xf>
    <xf numFmtId="0" fontId="55" fillId="0" borderId="0" xfId="0" applyFont="1" applyNumberFormat="1">
      <alignment vertical="center" wrapText="1"/>
    </xf>
    <xf numFmtId="0" fontId="77" fillId="0" borderId="0" xfId="0" applyFont="1" applyNumberFormat="1">
      <alignment horizontal="center" vertical="center"/>
    </xf>
    <xf numFmtId="0" fontId="23" fillId="0" borderId="0" xfId="0" applyFont="1" applyNumberFormat="1">
      <alignment vertical="center" wrapText="1"/>
    </xf>
    <xf numFmtId="0" fontId="23" fillId="0" borderId="0" xfId="0" applyFont="1" applyNumberFormat="1">
      <alignment horizontal="center" vertical="center" wrapText="1"/>
    </xf>
    <xf numFmtId="49" fontId="23" fillId="0" borderId="0" xfId="0" applyFont="1" applyNumberFormat="1">
      <alignment vertical="center" wrapText="1"/>
    </xf>
    <xf numFmtId="0" fontId="23" fillId="0" borderId="0" xfId="0" applyFont="1" applyNumberFormat="1">
      <alignment horizontal="left" vertical="center" indent="1"/>
    </xf>
    <xf numFmtId="49" fontId="23" fillId="0" borderId="0" xfId="0" applyFont="1" applyNumberFormat="1">
      <alignment horizontal="left" vertical="center"/>
    </xf>
    <xf numFmtId="164" fontId="23" fillId="0" borderId="14" xfId="0" applyFont="1" applyBorder="1" applyNumberFormat="1">
      <alignment horizontal="right" vertical="center" wrapText="1"/>
    </xf>
    <xf numFmtId="0" fontId="0" fillId="37" borderId="21" xfId="0" applyFont="1" applyFill="1" applyBorder="1" applyNumberFormat="1">
      <alignment horizontal="center" vertical="center" wrapText="1"/>
    </xf>
    <xf numFmtId="0" fontId="55"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55" fillId="0" borderId="14" xfId="0" applyFont="1" applyBorder="1" applyNumberFormat="1">
      <alignment vertical="center" wrapText="1"/>
    </xf>
    <xf numFmtId="0" fontId="23" fillId="0" borderId="0" xfId="0" applyFont="1" applyNumberFormat="1">
      <alignment vertical="center"/>
    </xf>
    <xf numFmtId="0" fontId="55" fillId="0" borderId="25" xfId="0" applyFont="1" applyBorder="1" applyNumberFormat="1">
      <alignment horizontal="center" vertical="center" wrapText="1"/>
    </xf>
    <xf numFmtId="0" fontId="23" fillId="0" borderId="32" xfId="0" applyFont="1" applyBorder="1" applyNumberFormat="1">
      <alignment horizontal="center" vertical="center" wrapText="1"/>
    </xf>
    <xf numFmtId="0" fontId="55"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0" xfId="0" applyFont="1" applyFill="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9" fontId="55" fillId="0" borderId="0" xfId="0" applyFont="1" applyNumberFormat="1">
      <alignment vertical="center" wrapText="1"/>
    </xf>
    <xf numFmtId="0" fontId="0" fillId="0" borderId="0" xfId="0" applyFont="1" applyNumberFormat="1">
      <alignment horizontal="left" vertical="top" wrapText="1"/>
    </xf>
    <xf numFmtId="0" fontId="54" fillId="0" borderId="0" xfId="0" applyFont="1" applyNumberFormat="1">
      <alignment vertical="top" wrapText="1"/>
    </xf>
    <xf numFmtId="0" fontId="23" fillId="0" borderId="21" xfId="0" applyFont="1" applyBorder="1" applyNumberFormat="1">
      <alignment horizontal="left" vertical="center" wrapText="1" indent="1"/>
    </xf>
    <xf numFmtId="0" fontId="23" fillId="0" borderId="0" xfId="0" applyFont="1" applyNumberFormat="1">
      <alignment horizontal="left" vertical="center" wrapText="1"/>
    </xf>
    <xf numFmtId="0" fontId="23" fillId="43" borderId="22" xfId="0" applyFont="1" applyFill="1" applyBorder="1" applyNumberFormat="1">
      <alignment horizontal="left" vertical="center" wrapText="1"/>
    </xf>
    <xf numFmtId="0" fontId="23" fillId="0" borderId="0" xfId="0" applyFont="1" applyNumberFormat="1">
      <alignment horizontal="center" vertical="center" wrapText="1"/>
    </xf>
    <xf numFmtId="164" fontId="23" fillId="39" borderId="16" xfId="0" applyFont="1" applyFill="1" applyBorder="1" applyNumberFormat="1">
      <alignment horizontal="right" vertical="center" wrapText="1"/>
      <protection locked="0"/>
    </xf>
    <xf numFmtId="4" fontId="23" fillId="39" borderId="15" xfId="0" applyFont="1" applyFill="1" applyBorder="1" applyNumberFormat="1">
      <alignment horizontal="right" vertical="center" wrapText="1"/>
      <protection locked="0"/>
    </xf>
    <xf numFmtId="0" fontId="53" fillId="0" borderId="19" xfId="0" applyFont="1" applyBorder="1" applyNumberFormat="1">
      <alignment vertical="top" wrapText="1"/>
    </xf>
    <xf numFmtId="0" fontId="23" fillId="39" borderId="14" xfId="0" applyFont="1" applyFill="1" applyBorder="1" applyNumberFormat="1">
      <alignment horizontal="left" vertical="center" wrapText="1" indent="7"/>
      <protection locked="0"/>
    </xf>
    <xf numFmtId="49" fontId="0" fillId="42" borderId="14" xfId="0" applyFont="1" applyFill="1" applyBorder="1" applyNumberFormat="1">
      <alignment horizontal="center" vertical="center" wrapText="1"/>
      <protection locked="0"/>
    </xf>
    <xf numFmtId="4" fontId="55" fillId="0" borderId="16" xfId="0" applyFont="1" applyBorder="1" applyNumberFormat="1">
      <alignment horizontal="center" vertical="center" wrapText="1"/>
    </xf>
    <xf numFmtId="4" fontId="23" fillId="0" borderId="15" xfId="0" applyFont="1" applyBorder="1" applyNumberFormat="1">
      <alignment horizontal="right" vertical="center" wrapText="1"/>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9" fontId="23" fillId="40" borderId="29"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7"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61" fillId="0" borderId="0" xfId="0" applyFont="1" applyNumberFormat="1">
      <alignment vertical="center" wrapText="1"/>
    </xf>
    <xf numFmtId="0" fontId="55" fillId="0" borderId="14" xfId="0" applyFont="1" applyBorder="1" applyNumberFormat="1">
      <alignment horizontal="left" vertical="center" wrapText="1" indent="5"/>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45"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23" fillId="0" borderId="14" xfId="0" applyFont="1" applyBorder="1" applyNumberFormat="1">
      <alignment horizontal="left" vertical="center" wrapText="1" indent="4"/>
    </xf>
    <xf numFmtId="49" fontId="23" fillId="37" borderId="14" xfId="0" applyFont="1" applyFill="1" applyBorder="1" applyNumberFormat="1">
      <alignment horizontal="center" vertical="center" wrapText="1"/>
    </xf>
    <xf numFmtId="0" fontId="23" fillId="43" borderId="14" xfId="0" applyFont="1" applyFill="1" applyBorder="1" applyNumberFormat="1">
      <alignment horizontal="left" vertical="center" wrapText="1" indent="1"/>
    </xf>
    <xf numFmtId="167"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23" fillId="37" borderId="38" xfId="0" applyFont="1" applyFill="1" applyBorder="1" applyNumberFormat="1">
      <alignment horizontal="left" vertical="center" wrapText="1"/>
    </xf>
    <xf numFmtId="49" fontId="23" fillId="42" borderId="38" xfId="0" applyFont="1" applyFill="1" applyBorder="1" applyNumberFormat="1">
      <alignment horizontal="left" vertical="center" wrapText="1" indent="6"/>
      <protection locked="0"/>
    </xf>
    <xf numFmtId="164" fontId="23" fillId="40" borderId="15" xfId="0" applyFont="1" applyFill="1" applyBorder="1" applyNumberFormat="1">
      <alignment horizontal="right" vertical="center" wrapText="1"/>
    </xf>
    <xf numFmtId="49" fontId="48" fillId="40" borderId="16" xfId="0" applyFont="1" applyFill="1" applyBorder="1" applyNumberFormat="1">
      <alignment horizontal="left" vertical="center"/>
    </xf>
    <xf numFmtId="164" fontId="23" fillId="40" borderId="17" xfId="0" applyFont="1" applyFill="1" applyBorder="1" applyNumberFormat="1">
      <alignment horizontal="right" vertical="center" wrapText="1"/>
    </xf>
    <xf numFmtId="4" fontId="23" fillId="0" borderId="38" xfId="0" applyFont="1" applyBorder="1" applyNumberFormat="1">
      <alignment horizontal="right" vertical="center" wrapText="1"/>
    </xf>
    <xf numFmtId="49" fontId="48" fillId="40" borderId="16" xfId="0" applyFont="1" applyFill="1" applyBorder="1" applyNumberFormat="1">
      <alignment horizontal="left" vertical="center" indent="1"/>
    </xf>
    <xf numFmtId="0" fontId="23" fillId="37" borderId="25" xfId="0" applyFont="1" applyFill="1" applyBorder="1" applyNumberFormat="1">
      <alignment horizontal="left" vertical="center" wrapText="1"/>
    </xf>
    <xf numFmtId="49" fontId="23" fillId="42" borderId="25" xfId="0" applyFont="1" applyFill="1" applyBorder="1" applyNumberFormat="1">
      <alignment horizontal="left" vertical="center" wrapText="1" indent="6"/>
      <protection locked="0"/>
    </xf>
    <xf numFmtId="4" fontId="55" fillId="40" borderId="15" xfId="0" applyFont="1" applyFill="1" applyBorder="1" applyNumberFormat="1">
      <alignment horizontal="center"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55" fillId="0" borderId="26" xfId="0" applyFont="1" applyBorder="1" applyNumberFormat="1">
      <alignment vertical="top"/>
    </xf>
    <xf numFmtId="0" fontId="116" fillId="0" borderId="0" xfId="0" applyFont="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26" xfId="0" applyFont="1" applyBorder="1" applyNumberFormat="1">
      <alignment horizontal="left" vertical="center" wrapText="1" indent="1"/>
    </xf>
    <xf numFmtId="4" fontId="55" fillId="0" borderId="14" xfId="0" applyFont="1" applyBorder="1" applyNumberFormat="1">
      <alignment horizontal="right" vertical="center" wrapText="1"/>
    </xf>
    <xf numFmtId="164" fontId="55" fillId="0" borderId="14" xfId="0" applyFont="1" applyBorder="1" applyNumberFormat="1">
      <alignment horizontal="right" vertical="center" wrapText="1"/>
    </xf>
    <xf numFmtId="167"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left" vertical="center"/>
    </xf>
    <xf numFmtId="49" fontId="54" fillId="0" borderId="0" xfId="0" applyFont="1" applyNumberFormat="1">
      <alignment horizontal="left" vertical="center"/>
    </xf>
    <xf numFmtId="0" fontId="54" fillId="0" borderId="0" xfId="0" applyFont="1" applyNumberFormat="1">
      <alignment horizontal="left" vertical="center"/>
    </xf>
    <xf numFmtId="0" fontId="74" fillId="0" borderId="0" xfId="0" applyFont="1" applyNumberFormat="1">
      <alignment horizontal="left" vertical="center"/>
    </xf>
    <xf numFmtId="0" fontId="54" fillId="0" borderId="0" xfId="0" applyFont="1" applyNumberFormat="1">
      <alignment horizontal="left" vertical="center"/>
    </xf>
    <xf numFmtId="0" fontId="55" fillId="0" borderId="0" xfId="0" applyFont="1" applyNumberFormat="1">
      <alignment horizontal="left" vertical="center"/>
    </xf>
    <xf numFmtId="0" fontId="74" fillId="37" borderId="0" xfId="0" applyFont="1" applyFill="1" applyNumberFormat="1">
      <alignment vertical="center" wrapText="1"/>
    </xf>
    <xf numFmtId="0" fontId="23" fillId="37" borderId="3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23" fillId="37" borderId="24"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26"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23" fillId="0" borderId="14" xfId="0" applyFont="1" applyBorder="1" applyNumberFormat="1">
      <alignment horizontal="left" vertical="center" wrapText="1" indent="1"/>
    </xf>
    <xf numFmtId="0" fontId="23" fillId="0" borderId="14" xfId="0" applyFont="1" applyBorder="1" applyNumberFormat="1">
      <alignment horizontal="left" vertical="center" wrapText="1" indent="1"/>
    </xf>
    <xf numFmtId="49" fontId="23" fillId="40" borderId="16" xfId="0" applyFont="1" applyFill="1" applyBorder="1" applyNumberFormat="1">
      <alignment horizontal="center" vertical="center" wrapText="1"/>
    </xf>
    <xf numFmtId="49" fontId="77" fillId="0" borderId="26" xfId="0" applyFont="1" applyBorder="1" applyNumberFormat="1">
      <alignment vertical="top"/>
    </xf>
    <xf numFmtId="0" fontId="23" fillId="0" borderId="0" xfId="0" applyFont="1" applyNumberFormat="1">
      <alignment horizontal="left" vertical="top" wrapText="1"/>
    </xf>
    <xf numFmtId="0" fontId="74"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pplyNumberFormat="1">
      <alignment horizontal="left" vertical="top" wrapText="1"/>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49" fontId="48" fillId="40" borderId="17" xfId="0" applyFont="1" applyFill="1" applyBorder="1" applyNumberFormat="1">
      <alignment horizontal="left" vertical="center" indent="3"/>
    </xf>
    <xf numFmtId="0" fontId="55" fillId="0" borderId="0" xfId="0" applyFont="1" applyNumberFormat="1">
      <alignment horizontal="center" vertical="center"/>
    </xf>
    <xf numFmtId="0" fontId="54" fillId="0" borderId="0" xfId="0" applyFont="1" applyNumberFormat="1">
      <alignment horizontal="center" vertical="center" wrapText="1"/>
    </xf>
    <xf numFmtId="0" fontId="115" fillId="0" borderId="0" xfId="0" applyFont="1" applyNumberFormat="1">
      <alignment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23" fillId="38" borderId="17" xfId="0" applyFont="1" applyFill="1" applyBorder="1" applyNumberFormat="1">
      <alignment horizontal="left" vertical="center" wrapText="1"/>
    </xf>
    <xf numFmtId="0" fontId="54" fillId="0" borderId="0" xfId="0" applyFont="1" applyNumberFormat="1">
      <alignment horizontal="center" vertical="center" wrapText="1"/>
    </xf>
    <xf numFmtId="0" fontId="55" fillId="0" borderId="17" xfId="0" applyFont="1" applyBorder="1" applyNumberFormat="1">
      <alignment horizontal="left" vertical="center" wrapText="1"/>
    </xf>
    <xf numFmtId="49" fontId="23" fillId="43" borderId="14" xfId="0" applyFont="1" applyFill="1" applyBorder="1" applyNumberFormat="1">
      <alignment horizontal="center" vertical="center" wrapText="1"/>
    </xf>
    <xf numFmtId="167" fontId="0" fillId="42" borderId="14" xfId="0" applyFont="1" applyFill="1" applyBorder="1" applyNumberFormat="1">
      <alignment horizontal="center" vertical="center" wrapText="1"/>
      <protection locked="0"/>
    </xf>
    <xf numFmtId="49" fontId="23" fillId="43" borderId="17"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77" fillId="0" borderId="0" xfId="0" applyFont="1" applyNumberFormat="1">
      <alignment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45" fillId="0" borderId="29" xfId="0" applyFont="1" applyBorder="1" applyNumberFormat="1">
      <alignment horizontal="center" vertical="center" wrapText="1"/>
    </xf>
    <xf numFmtId="0" fontId="23" fillId="42" borderId="15"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0" fontId="55" fillId="0" borderId="0" xfId="0" applyFont="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23" fillId="39" borderId="38" xfId="0" applyFont="1" applyFill="1" applyBorder="1" applyNumberFormat="1">
      <alignment horizontal="left" vertical="center" wrapText="1" indent="6"/>
      <protection locked="0"/>
    </xf>
    <xf numFmtId="49" fontId="23" fillId="43" borderId="31" xfId="0" applyFont="1" applyFill="1" applyBorder="1" applyNumberFormat="1">
      <alignment horizontal="center" vertical="center" wrapText="1"/>
    </xf>
    <xf numFmtId="49" fontId="48" fillId="40" borderId="29" xfId="0" applyFont="1" applyFill="1" applyBorder="1" applyNumberFormat="1">
      <alignment horizontal="left" vertical="center"/>
    </xf>
    <xf numFmtId="49" fontId="23" fillId="39" borderId="25" xfId="0" applyFont="1" applyFill="1" applyBorder="1" applyNumberFormat="1">
      <alignment horizontal="left" vertical="center" wrapText="1" indent="6"/>
      <protection locked="0"/>
    </xf>
    <xf numFmtId="0" fontId="55" fillId="0" borderId="0" xfId="0" applyFont="1" applyNumberFormat="1">
      <alignment horizontal="center" vertical="center"/>
    </xf>
    <xf numFmtId="0" fontId="55" fillId="0" borderId="0" xfId="0" applyFont="1" applyNumberFormat="1">
      <alignment horizontal="left" vertical="center" wrapText="1" indent="1"/>
    </xf>
    <xf numFmtId="0" fontId="23" fillId="37" borderId="14" xfId="0" applyFont="1" applyFill="1" applyBorder="1" applyNumberFormat="1">
      <alignment horizontal="center" vertical="center" wrapText="1"/>
    </xf>
    <xf numFmtId="0" fontId="55" fillId="0" borderId="21" xfId="0" applyFont="1" applyBorder="1" applyNumberFormat="1">
      <alignment horizontal="left" vertical="center" wrapText="1"/>
    </xf>
    <xf numFmtId="0" fontId="23" fillId="0" borderId="0" xfId="0" applyFont="1" applyNumberFormat="1">
      <alignment horizontal="left" vertical="top" wrapText="1"/>
    </xf>
    <xf numFmtId="0" fontId="54" fillId="0" borderId="0" xfId="0" applyFont="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49" fontId="23" fillId="43"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55" fillId="0" borderId="14"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23"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49" fontId="0" fillId="0" borderId="0" xfId="0" applyFont="1" applyNumberFormat="1">
      <alignment vertical="top"/>
    </xf>
    <xf numFmtId="0" fontId="54" fillId="0" borderId="0" xfId="0" applyFont="1" applyNumberFormat="1">
      <alignment horizontal="left" vertical="center" indent="1"/>
    </xf>
    <xf numFmtId="0" fontId="54" fillId="0" borderId="14" xfId="0" applyFont="1" applyBorder="1" applyNumberFormat="1">
      <alignment horizontal="center" vertical="center"/>
    </xf>
    <xf numFmtId="0" fontId="54" fillId="0" borderId="0" xfId="0" applyFont="1" applyNumberFormat="1">
      <alignment horizontal="center" vertical="center"/>
    </xf>
    <xf numFmtId="0" fontId="54" fillId="0" borderId="0" xfId="0" applyFont="1" applyNumberFormat="1">
      <alignment horizontal="left" vertical="center" wrapText="1"/>
    </xf>
    <xf numFmtId="49" fontId="54" fillId="0" borderId="0" xfId="0" applyFont="1" applyNumberFormat="1">
      <alignment vertical="center" wrapText="1"/>
    </xf>
    <xf numFmtId="49" fontId="54"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4" xfId="0" applyFont="1" applyBorder="1" applyNumberFormat="1">
      <alignment horizontal="left" vertical="center" wrapText="1" indent="6"/>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23" fillId="38" borderId="16" xfId="0" applyFont="1" applyFill="1" applyBorder="1" applyNumberFormat="1">
      <alignment horizontal="left" vertical="center" wrapText="1"/>
    </xf>
    <xf numFmtId="0" fontId="53" fillId="0" borderId="14" xfId="0" applyFont="1" applyBorder="1" applyNumberFormat="1">
      <alignment vertical="top" wrapText="1"/>
    </xf>
    <xf numFmtId="0" fontId="55" fillId="0" borderId="0" xfId="0" applyFont="1" applyNumberFormat="1">
      <alignment vertical="center" wrapText="1"/>
    </xf>
    <xf numFmtId="0" fontId="55" fillId="0" borderId="0" xfId="0" applyFont="1" applyNumberFormat="1">
      <alignment vertical="center"/>
    </xf>
    <xf numFmtId="49" fontId="0" fillId="0" borderId="0" xfId="0" applyFont="1" applyNumberFormat="1">
      <alignment vertical="top"/>
    </xf>
    <xf numFmtId="0" fontId="54" fillId="0" borderId="16" xfId="0" applyFont="1" applyBorder="1" applyNumberFormat="1">
      <alignment horizontal="center" vertical="center"/>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23" fillId="0" borderId="26" xfId="0" applyFont="1" applyBorder="1" applyNumberFormat="1">
      <alignment vertical="center" wrapText="1"/>
    </xf>
    <xf numFmtId="0" fontId="23" fillId="37" borderId="14" xfId="0" applyFont="1" applyFill="1" applyBorder="1" applyNumberFormat="1">
      <alignment horizontal="left" vertical="center" wrapText="1" indent="1"/>
    </xf>
    <xf numFmtId="49" fontId="0" fillId="0" borderId="0" xfId="0" applyFont="1" applyNumberFormat="1">
      <alignment vertical="top"/>
    </xf>
    <xf numFmtId="0" fontId="61" fillId="0" borderId="0" xfId="0" applyFont="1" applyNumberFormat="1">
      <alignment vertical="center" wrapText="1"/>
    </xf>
    <xf numFmtId="0" fontId="23" fillId="37" borderId="14" xfId="0" applyFont="1" applyFill="1" applyBorder="1" applyNumberFormat="1">
      <alignment horizontal="left" vertical="center" wrapText="1" indent="2"/>
    </xf>
    <xf numFmtId="0" fontId="68" fillId="0" borderId="0" xfId="0" applyFont="1" applyNumberFormat="1">
      <alignmen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horizontal="lef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0" borderId="26" xfId="0" applyFont="1" applyBorder="1" applyNumberFormat="1">
      <alignment vertical="center" wrapText="1"/>
    </xf>
    <xf numFmtId="0" fontId="55" fillId="0" borderId="14" xfId="0" applyFont="1" applyBorder="1" applyNumberFormat="1">
      <alignment horizontal="left" vertical="center" wrapText="1"/>
    </xf>
    <xf numFmtId="0" fontId="55" fillId="37" borderId="14" xfId="0" applyFont="1" applyFill="1" applyBorder="1" applyNumberFormat="1">
      <alignment horizontal="left" vertical="center" wrapText="1" indent="3"/>
    </xf>
    <xf numFmtId="0" fontId="55" fillId="0" borderId="14" xfId="0" applyFont="1" applyBorder="1" applyNumberFormat="1">
      <alignment horizontal="left" vertical="center" wrapText="1" indent="6"/>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55" fillId="0" borderId="16" xfId="0" applyFont="1" applyBorder="1" applyNumberFormat="1">
      <alignment horizontal="left" vertical="center" wrapText="1"/>
    </xf>
    <xf numFmtId="0" fontId="55" fillId="0" borderId="14" xfId="0" applyFont="1" applyBorder="1" applyNumberFormat="1">
      <alignment vertical="top" wrapText="1"/>
    </xf>
    <xf numFmtId="0" fontId="68" fillId="0" borderId="0" xfId="0" applyFont="1" applyNumberFormat="1">
      <alignment vertical="center" wrapText="1"/>
    </xf>
    <xf numFmtId="0" fontId="54" fillId="0" borderId="14" xfId="0" applyFont="1" applyBorder="1" applyNumberFormat="1">
      <alignment horizontal="center" vertical="center" wrapText="1"/>
    </xf>
    <xf numFmtId="49" fontId="55" fillId="0" borderId="0" xfId="0" applyFont="1" applyNumberFormat="1">
      <alignment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center" wrapText="1"/>
    </xf>
    <xf numFmtId="0" fontId="55" fillId="0" borderId="14" xfId="0" applyFont="1" applyBorder="1" applyNumberFormat="1">
      <alignment horizontal="left" vertical="center" wrapText="1" indent="4"/>
    </xf>
    <xf numFmtId="0" fontId="68" fillId="0" borderId="0" xfId="0" applyFont="1" applyNumberFormat="1">
      <alignment vertical="center" wrapText="1"/>
    </xf>
    <xf numFmtId="0" fontId="54" fillId="0" borderId="16" xfId="0" applyFont="1" applyBorder="1" applyNumberFormat="1">
      <alignment horizontal="center" vertical="center" wrapText="1"/>
    </xf>
    <xf numFmtId="0" fontId="55" fillId="0" borderId="14" xfId="0" applyFont="1" applyBorder="1" applyNumberFormat="1">
      <alignment horizontal="left" vertical="center" wrapText="1" indent="5"/>
    </xf>
    <xf numFmtId="49" fontId="0" fillId="0" borderId="0" xfId="0" applyFont="1" applyNumberFormat="1">
      <alignment vertical="top"/>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39" borderId="19" xfId="0" applyFont="1" applyFill="1" applyBorder="1" applyNumberFormat="1">
      <alignment horizontal="left" vertical="center" wrapText="1" indent="6"/>
      <protection locked="0"/>
    </xf>
    <xf numFmtId="4" fontId="23" fillId="39" borderId="14" xfId="0" applyFont="1" applyFill="1" applyBorder="1" applyNumberFormat="1">
      <alignment horizontal="right" vertical="center" wrapText="1"/>
      <protection locked="0"/>
    </xf>
    <xf numFmtId="164" fontId="23" fillId="39" borderId="14" xfId="0" applyFont="1" applyFill="1" applyBorder="1" applyNumberFormat="1">
      <alignment horizontal="right" vertical="center" wrapText="1"/>
      <protection locked="0"/>
    </xf>
    <xf numFmtId="167"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45"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4"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protection locked="0"/>
    </xf>
    <xf numFmtId="0" fontId="23" fillId="0" borderId="39" xfId="0" applyFont="1" applyBorder="1" applyNumberFormat="1">
      <alignment horizontal="center" vertical="center" wrapText="1"/>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0" fontId="23" fillId="0" borderId="14" xfId="0" applyFont="1" applyBorder="1" applyNumberFormat="1">
      <alignment horizontal="left" vertical="center" wrapText="1" indent="4"/>
    </xf>
    <xf numFmtId="49" fontId="23" fillId="42" borderId="14" xfId="0" applyFont="1" applyFill="1" applyBorder="1" applyNumberFormat="1">
      <alignment horizontal="left" vertical="center" wrapText="1" indent="1"/>
      <protection locked="0"/>
    </xf>
    <xf numFmtId="4" fontId="23" fillId="0" borderId="19" xfId="0" applyFont="1" applyBorder="1" applyNumberFormat="1">
      <alignment horizontal="right" vertical="center" wrapText="1"/>
    </xf>
    <xf numFmtId="0" fontId="53" fillId="0" borderId="19" xfId="0" applyFont="1" applyBorder="1" applyNumberFormat="1">
      <alignment horizontal="left" vertical="top" wrapText="1"/>
    </xf>
    <xf numFmtId="49" fontId="0" fillId="0" borderId="0" xfId="0" applyFont="1" applyNumberFormat="1">
      <alignment vertical="top"/>
    </xf>
    <xf numFmtId="0" fontId="23" fillId="37" borderId="38" xfId="0" applyFont="1" applyFill="1" applyBorder="1" applyNumberFormat="1">
      <alignment horizontal="left" vertical="center" wrapText="1"/>
    </xf>
    <xf numFmtId="49" fontId="23" fillId="39" borderId="38" xfId="0" applyFont="1" applyFill="1" applyBorder="1" applyNumberFormat="1">
      <alignment horizontal="left" vertical="center" wrapText="1" indent="6"/>
      <protection locked="0"/>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0" fontId="23" fillId="0" borderId="32" xfId="0" applyFont="1" applyBorder="1" applyNumberFormat="1">
      <alignment horizontal="center" vertical="center" wrapText="1"/>
    </xf>
    <xf numFmtId="49" fontId="23" fillId="43" borderId="31" xfId="0" applyFont="1" applyFill="1" applyBorder="1" applyNumberFormat="1">
      <alignment horizontal="center"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0" fontId="53" fillId="0" borderId="38" xfId="0" applyFont="1" applyBorder="1" applyNumberFormat="1">
      <alignment horizontal="left" vertical="top"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indent="1"/>
    </xf>
    <xf numFmtId="49" fontId="48" fillId="40" borderId="17" xfId="0" applyFont="1" applyFill="1" applyBorder="1" applyNumberFormat="1">
      <alignment horizontal="left" vertical="center" indent="1"/>
    </xf>
    <xf numFmtId="49" fontId="48" fillId="40" borderId="17" xfId="0" applyFont="1" applyFill="1" applyBorder="1" applyNumberFormat="1">
      <alignmen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0" fontId="23" fillId="37" borderId="25" xfId="0" applyFont="1" applyFill="1" applyBorder="1" applyNumberFormat="1">
      <alignment horizontal="left" vertical="center" wrapText="1"/>
    </xf>
    <xf numFmtId="49" fontId="23" fillId="39" borderId="25" xfId="0" applyFont="1" applyFill="1" applyBorder="1" applyNumberFormat="1">
      <alignment horizontal="left" vertical="center" wrapText="1" indent="6"/>
      <protection locked="0"/>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5" xfId="0" applyFont="1" applyFill="1" applyBorder="1" applyNumberFormat="1">
      <alignment horizontal="center" vertical="center" wrapText="1"/>
    </xf>
    <xf numFmtId="49" fontId="0" fillId="0" borderId="0" xfId="0" applyFont="1" applyNumberFormat="1">
      <alignment vertical="top"/>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5"/>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5" xfId="0" applyFont="1" applyFill="1" applyBorder="1" applyNumberFormat="1">
      <alignment horizontal="center" vertical="center" wrapText="1"/>
    </xf>
    <xf numFmtId="0" fontId="53" fillId="0" borderId="25" xfId="0" applyFont="1" applyBorder="1" applyNumberFormat="1">
      <alignment horizontal="left" vertical="top" wrapText="1"/>
    </xf>
    <xf numFmtId="0" fontId="68" fillId="0" borderId="0" xfId="0" applyFont="1" applyNumberFormat="1">
      <alignment vertical="center"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0" fontId="68" fillId="0" borderId="0" xfId="0" applyFont="1" applyNumberFormat="1">
      <alignment vertical="center" wrapText="1"/>
    </xf>
    <xf numFmtId="49" fontId="55" fillId="0" borderId="0" xfId="0" applyFont="1" applyNumberFormat="1">
      <alignment vertical="top"/>
    </xf>
    <xf numFmtId="49" fontId="112" fillId="0" borderId="0" xfId="0" applyFont="1" applyNumberFormat="1">
      <alignment vertical="top"/>
    </xf>
    <xf numFmtId="49" fontId="55" fillId="0" borderId="26" xfId="0" applyFont="1" applyBorder="1" applyNumberFormat="1">
      <alignment vertical="top"/>
    </xf>
    <xf numFmtId="0" fontId="68" fillId="0" borderId="0" xfId="0" applyFont="1" applyNumberFormat="1">
      <alignment vertical="center" wrapText="1"/>
    </xf>
    <xf numFmtId="49" fontId="102" fillId="0" borderId="0" xfId="0" applyFont="1" applyNumberFormat="1">
      <alignment horizontal="left" vertical="center"/>
    </xf>
    <xf numFmtId="49" fontId="55" fillId="0" borderId="0" xfId="0" applyFont="1" applyNumberFormat="1">
      <alignment horizontal="left" vertical="center" indent="1"/>
    </xf>
    <xf numFmtId="49" fontId="55" fillId="0" borderId="0" xfId="0" applyFont="1" applyNumberFormat="1">
      <alignment horizontal="center" vertical="center" wrapText="1"/>
    </xf>
    <xf numFmtId="49" fontId="0" fillId="0" borderId="0" xfId="0" applyFont="1" applyNumberFormat="1">
      <alignment vertical="top"/>
    </xf>
    <xf numFmtId="0" fontId="68" fillId="0" borderId="0" xfId="0" applyFont="1" applyNumberFormat="1">
      <alignment vertical="center" wrapText="1"/>
    </xf>
    <xf numFmtId="0" fontId="68" fillId="0" borderId="0" xfId="0" applyFont="1" applyNumberFormat="1">
      <alignment vertical="center" wrapText="1"/>
    </xf>
    <xf numFmtId="0" fontId="68"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indent="1"/>
    </xf>
    <xf numFmtId="49" fontId="48" fillId="40" borderId="17" xfId="0" applyFont="1" applyFill="1" applyBorder="1" applyNumberFormat="1">
      <alignment horizontal="left" vertical="center" indent="1"/>
    </xf>
    <xf numFmtId="49" fontId="48" fillId="40" borderId="17" xfId="0" applyFont="1" applyFill="1" applyBorder="1" applyNumberFormat="1">
      <alignmen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5" xfId="0" applyFont="1" applyFill="1" applyBorder="1" applyNumberFormat="1">
      <alignment horizontal="center" vertical="center" wrapText="1"/>
    </xf>
    <xf numFmtId="49" fontId="0" fillId="0" borderId="0" xfId="0" applyFont="1" applyNumberFormat="1">
      <alignment vertical="top"/>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5"/>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5" xfId="0" applyFont="1" applyFill="1" applyBorder="1" applyNumberFormat="1">
      <alignment horizontal="center" vertical="center" wrapText="1"/>
    </xf>
    <xf numFmtId="0" fontId="68" fillId="0" borderId="0" xfId="0" applyFont="1" applyNumberFormat="1">
      <alignment vertical="center" wrapText="1"/>
    </xf>
    <xf numFmtId="0" fontId="68" fillId="0" borderId="0" xfId="0" applyFont="1" applyNumberFormat="1">
      <alignment vertical="center" wrapText="1"/>
    </xf>
    <xf numFmtId="0" fontId="68" fillId="0" borderId="0" xfId="0" applyFont="1" applyNumberFormat="1">
      <alignment vertical="center" wrapText="1"/>
    </xf>
    <xf numFmtId="49" fontId="0" fillId="0" borderId="0" xfId="0" applyFont="1" applyNumberFormat="1">
      <alignment vertical="top"/>
    </xf>
    <xf numFmtId="0" fontId="68" fillId="0" borderId="0" xfId="0" applyFont="1" applyNumberFormat="1">
      <alignment vertical="center" wrapText="1"/>
    </xf>
    <xf numFmtId="0" fontId="68" fillId="0" borderId="0" xfId="0" applyFont="1" applyNumberFormat="1">
      <alignment vertical="center" wrapText="1"/>
    </xf>
    <xf numFmtId="0" fontId="68"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indent="1"/>
    </xf>
    <xf numFmtId="49" fontId="48" fillId="40" borderId="17" xfId="0" applyFont="1" applyFill="1" applyBorder="1" applyNumberFormat="1">
      <alignment horizontal="left" vertical="center" indent="1"/>
    </xf>
    <xf numFmtId="49" fontId="48" fillId="40" borderId="17" xfId="0" applyFont="1" applyFill="1" applyBorder="1" applyNumberFormat="1">
      <alignmen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5" xfId="0" applyFont="1" applyFill="1" applyBorder="1" applyNumberFormat="1">
      <alignment horizontal="center" vertical="center" wrapText="1"/>
    </xf>
    <xf numFmtId="49" fontId="0" fillId="0" borderId="0" xfId="0" applyFont="1" applyNumberFormat="1">
      <alignment vertical="top"/>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5"/>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5" xfId="0" applyFont="1" applyFill="1" applyBorder="1" applyNumberFormat="1">
      <alignment horizontal="center" vertical="center" wrapText="1"/>
    </xf>
    <xf numFmtId="0" fontId="68" fillId="0" borderId="0" xfId="0" applyFont="1" applyNumberFormat="1">
      <alignment vertical="center" wrapText="1"/>
    </xf>
    <xf numFmtId="0" fontId="68" fillId="0" borderId="0" xfId="0" applyFont="1" applyNumberFormat="1">
      <alignment vertical="center" wrapText="1"/>
    </xf>
    <xf numFmtId="0" fontId="68" fillId="0" borderId="0" xfId="0" applyFont="1" applyNumberFormat="1">
      <alignment vertical="center" wrapText="1"/>
    </xf>
    <xf numFmtId="49" fontId="0" fillId="0" borderId="0" xfId="0" applyFont="1" applyNumberFormat="1">
      <alignment vertical="top"/>
    </xf>
    <xf numFmtId="0" fontId="68" fillId="0" borderId="0" xfId="0" applyFont="1" applyNumberFormat="1">
      <alignment vertical="center" wrapText="1"/>
    </xf>
    <xf numFmtId="0" fontId="68" fillId="0" borderId="0" xfId="0" applyFont="1" applyNumberFormat="1">
      <alignment vertical="center" wrapText="1"/>
    </xf>
    <xf numFmtId="0" fontId="68"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indent="1"/>
    </xf>
    <xf numFmtId="49" fontId="48" fillId="40" borderId="17" xfId="0" applyFont="1" applyFill="1" applyBorder="1" applyNumberFormat="1">
      <alignment horizontal="left" vertical="center" indent="1"/>
    </xf>
    <xf numFmtId="49" fontId="48" fillId="40" borderId="17" xfId="0" applyFont="1" applyFill="1" applyBorder="1" applyNumberFormat="1">
      <alignmen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5" xfId="0" applyFont="1" applyFill="1" applyBorder="1" applyNumberFormat="1">
      <alignment horizontal="center" vertical="center" wrapText="1"/>
    </xf>
    <xf numFmtId="49" fontId="0" fillId="0" borderId="0" xfId="0" applyFont="1" applyNumberFormat="1">
      <alignment vertical="top"/>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5"/>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5" xfId="0" applyFont="1" applyFill="1" applyBorder="1" applyNumberFormat="1">
      <alignment horizontal="center" vertical="center" wrapText="1"/>
    </xf>
    <xf numFmtId="0" fontId="68" fillId="0" borderId="0" xfId="0" applyFont="1" applyNumberFormat="1">
      <alignment vertical="center" wrapText="1"/>
    </xf>
    <xf numFmtId="0" fontId="68" fillId="0" borderId="0" xfId="0" applyFont="1" applyNumberFormat="1">
      <alignment vertical="center" wrapText="1"/>
    </xf>
    <xf numFmtId="0" fontId="68" fillId="0" borderId="0" xfId="0" applyFont="1" applyNumberFormat="1">
      <alignment vertical="center" wrapText="1"/>
    </xf>
    <xf numFmtId="0" fontId="68" fillId="0" borderId="0" xfId="0" applyFont="1" applyNumberFormat="1">
      <alignment vertical="center" wrapText="1"/>
    </xf>
    <xf numFmtId="49" fontId="55" fillId="0" borderId="0" xfId="0" applyFont="1" applyNumberFormat="1">
      <alignment horizontal="left" vertical="center"/>
    </xf>
    <xf numFmtId="0" fontId="68" fillId="0" borderId="0" xfId="0" applyFont="1" applyNumberFormat="1">
      <alignment vertical="center" wrapText="1"/>
    </xf>
    <xf numFmtId="49" fontId="55"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0" fontId="23" fillId="0" borderId="14" xfId="0" applyFont="1" applyBorder="1" applyNumberFormat="1">
      <alignment horizontal="center" vertical="center" wrapText="1"/>
    </xf>
    <xf numFmtId="0" fontId="23" fillId="0" borderId="14" xfId="0" applyFont="1" applyBorder="1" applyNumberFormat="1">
      <alignment vertical="center" wrapText="1"/>
    </xf>
    <xf numFmtId="0" fontId="89" fillId="0" borderId="0" xfId="0" applyFont="1" applyNumberFormat="1">
      <alignment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4" fontId="23" fillId="39" borderId="14" xfId="0" applyFont="1" applyFill="1" applyBorder="1" applyNumberFormat="1">
      <alignment horizontal="right" vertical="center" wrapText="1"/>
      <protection locked="0"/>
    </xf>
    <xf numFmtId="0" fontId="23" fillId="39" borderId="14" xfId="0" applyFont="1" applyFill="1" applyBorder="1" applyNumberFormat="1">
      <alignment horizontal="left" vertical="center" wrapText="1"/>
      <protection locked="0"/>
    </xf>
    <xf numFmtId="49" fontId="96" fillId="0" borderId="0" xfId="0" applyFont="1" applyNumberFormat="1">
      <alignment horizontal="center" vertical="center" wrapText="1"/>
    </xf>
    <xf numFmtId="49" fontId="23" fillId="0" borderId="0" xfId="0" applyFont="1" applyNumberFormat="1">
      <alignment horizontal="center" vertical="top" wrapText="1"/>
    </xf>
    <xf numFmtId="0" fontId="23" fillId="0" borderId="14" xfId="0" applyFont="1" applyBorder="1" applyNumberFormat="1">
      <alignment horizontal="center" vertical="center" wrapText="1"/>
    </xf>
    <xf numFmtId="0" fontId="23" fillId="0" borderId="15" xfId="0" applyFont="1" applyBorder="1" applyNumberFormat="1">
      <alignment vertical="top" wrapText="1"/>
    </xf>
    <xf numFmtId="0" fontId="59" fillId="0" borderId="0" xfId="0" applyFont="1" applyNumberFormat="1">
      <alignment vertical="center" wrapText="1"/>
    </xf>
    <xf numFmtId="0" fontId="23" fillId="0" borderId="15" xfId="0" applyFont="1" applyBorder="1" applyNumberFormat="1">
      <alignment horizontal="center" vertical="center" wrapText="1"/>
    </xf>
    <xf numFmtId="166" fontId="23" fillId="39" borderId="14" xfId="0" applyFont="1" applyFill="1" applyBorder="1" applyNumberFormat="1">
      <alignment horizontal="right" vertical="center" wrapText="1"/>
      <protection locked="0"/>
    </xf>
    <xf numFmtId="0" fontId="23" fillId="0" borderId="22" xfId="0" applyFont="1" applyBorder="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2" fillId="0" borderId="0" xfId="0" applyFont="1" applyNumberFormat="1">
      <alignment vertical="center" wrapText="1"/>
    </xf>
    <xf numFmtId="0" fontId="23" fillId="0" borderId="0" xfId="0" applyFont="1" applyNumberFormat="1">
      <alignment horizontal="left" vertical="center" wrapText="1" indent="3"/>
    </xf>
    <xf numFmtId="0" fontId="102" fillId="37" borderId="0" xfId="0" applyFont="1" applyFill="1" applyNumberFormat="1">
      <alignment horizontal="right" vertical="center"/>
    </xf>
    <xf numFmtId="0" fontId="23" fillId="0" borderId="16" xfId="0" applyFont="1" applyBorder="1" applyNumberFormat="1">
      <alignment vertical="center"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38" borderId="16" xfId="0" applyFont="1" applyFill="1" applyBorder="1" applyNumberFormat="1">
      <alignment horizontal="left" vertical="top" wrapTex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0" fontId="23" fillId="0" borderId="14" xfId="0" applyFont="1" applyBorder="1" applyNumberFormat="1">
      <alignment horizontal="center" vertical="center" wrapText="1"/>
    </xf>
    <xf numFmtId="4" fontId="23" fillId="42" borderId="14" xfId="0" applyFont="1" applyFill="1" applyBorder="1" applyNumberFormat="1">
      <alignment horizontal="right" vertical="center" wrapText="1"/>
      <protection locked="0"/>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center" wrapText="1" inden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77" fillId="0" borderId="0" xfId="0" applyFont="1" applyNumberFormat="1">
      <alignment horizontal="center" vertical="center" wrapText="1"/>
    </xf>
    <xf numFmtId="49" fontId="77" fillId="0" borderId="30" xfId="0" applyFont="1" applyBorder="1" applyNumberFormat="1">
      <alignment horizontal="center" vertical="center" wrapText="1"/>
    </xf>
    <xf numFmtId="0" fontId="77" fillId="0" borderId="14" xfId="0" applyFont="1" applyBorder="1" applyNumberFormat="1">
      <alignment horizontal="left" vertical="center" wrapText="1" indent="2"/>
    </xf>
    <xf numFmtId="0" fontId="77" fillId="0" borderId="14" xfId="0" applyFont="1" applyBorder="1" applyNumberFormat="1">
      <alignment horizontal="center" vertical="center" wrapText="1"/>
    </xf>
    <xf numFmtId="0" fontId="77" fillId="0" borderId="14" xfId="0" applyFont="1" applyBorder="1" applyNumberFormat="1">
      <alignment vertical="center" wrapText="1"/>
    </xf>
    <xf numFmtId="0" fontId="90" fillId="0" borderId="0" xfId="0" applyFont="1" applyNumberFormat="1">
      <alignment vertical="center" wrapText="1"/>
    </xf>
    <xf numFmtId="0" fontId="68" fillId="0" borderId="0" xfId="0" applyFont="1" applyNumberFormat="1">
      <alignment vertical="center" wrapText="1"/>
    </xf>
    <xf numFmtId="0" fontId="77" fillId="0" borderId="30" xfId="0" applyFont="1" applyBorder="1" applyNumberFormat="1">
      <alignment horizontal="center" vertical="center" wrapText="1"/>
    </xf>
    <xf numFmtId="0" fontId="77" fillId="0" borderId="14" xfId="0" applyFont="1" applyBorder="1" applyNumberFormat="1">
      <alignment horizontal="left" vertical="center" wrapText="1" indent="3"/>
    </xf>
    <xf numFmtId="4" fontId="77" fillId="0" borderId="14" xfId="0" applyFont="1" applyBorder="1" applyNumberFormat="1">
      <alignment horizontal="right" vertical="center" wrapText="1"/>
    </xf>
    <xf numFmtId="0" fontId="45" fillId="0" borderId="0" xfId="0" applyFont="1" applyNumberFormat="1">
      <alignment horizontal="center" vertical="center" wrapText="1"/>
    </xf>
    <xf numFmtId="49"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23" fillId="0" borderId="14" xfId="0" applyFont="1" applyBorder="1" applyNumberFormat="1">
      <alignment horizontal="left" vertical="center" wrapText="1" indent="2"/>
    </xf>
    <xf numFmtId="14" fontId="23" fillId="0" borderId="0" xfId="0" applyFont="1" applyNumberFormat="1">
      <alignment horizontal="center" vertical="center" wrapText="1"/>
    </xf>
    <xf numFmtId="49" fontId="96" fillId="48" borderId="0" xfId="0" applyFont="1" applyFill="1" applyNumberFormat="1">
      <alignment horizontal="center" vertical="center" wrapText="1"/>
    </xf>
    <xf numFmtId="49" fontId="36" fillId="0" borderId="0" xfId="0" applyFont="1" applyNumberFormat="1">
      <alignment horizontal="center" vertical="center"/>
    </xf>
    <xf numFmtId="166" fontId="23" fillId="42" borderId="14" xfId="0" applyFont="1" applyFill="1" applyBorder="1" applyNumberFormat="1">
      <alignment horizontal="right" vertical="center" wrapText="1"/>
      <protection locked="0"/>
    </xf>
    <xf numFmtId="0" fontId="54" fillId="0" borderId="0" xfId="0" applyFont="1" applyNumberFormat="1">
      <alignment horizontal="left" vertical="center" wrapText="1"/>
    </xf>
    <xf numFmtId="49" fontId="96" fillId="0" borderId="0" xfId="0" applyFont="1" applyNumberFormat="1">
      <alignment horizontal="left" vertical="center" wrapText="1"/>
    </xf>
    <xf numFmtId="0" fontId="55" fillId="0" borderId="0" xfId="0" applyFont="1" applyNumberFormat="1">
      <alignment horizontal="left" vertical="center" wrapText="1"/>
    </xf>
    <xf numFmtId="49" fontId="23" fillId="0" borderId="0" xfId="0" applyFont="1" applyNumberFormat="1">
      <alignment horizontal="left" vertical="center" wrapText="1"/>
    </xf>
    <xf numFmtId="0" fontId="59" fillId="0" borderId="0" xfId="0" applyFont="1" applyNumberFormat="1">
      <alignment horizontal="left" vertical="center" wrapText="1"/>
    </xf>
    <xf numFmtId="0" fontId="40" fillId="0" borderId="0" xfId="0" applyFont="1" applyNumberFormat="1">
      <alignment horizontal="left" vertical="center" wrapText="1"/>
    </xf>
    <xf numFmtId="49" fontId="23" fillId="43" borderId="14" xfId="0" applyFont="1" applyFill="1" applyBorder="1" applyNumberFormat="1">
      <alignment horizontal="left" vertical="center" wrapText="1"/>
    </xf>
    <xf numFmtId="0" fontId="23" fillId="0" borderId="19" xfId="0" applyFont="1" applyBorder="1" applyNumberFormat="1">
      <alignment horizontal="center" vertical="center" wrapText="1"/>
    </xf>
    <xf numFmtId="4" fontId="23" fillId="38" borderId="19" xfId="0" applyFont="1" applyFill="1" applyBorder="1" applyNumberFormat="1">
      <alignment horizontal="right" vertical="center"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0" fontId="55" fillId="0" borderId="19" xfId="0" applyFont="1" applyBorder="1" applyNumberFormat="1">
      <alignment vertical="top" wrapText="1"/>
    </xf>
    <xf numFmtId="4" fontId="23" fillId="42" borderId="15" xfId="0" applyFont="1" applyFill="1" applyBorder="1" applyNumberFormat="1">
      <alignment horizontal="right" vertical="center" wrapText="1"/>
      <protection locked="0"/>
    </xf>
    <xf numFmtId="49" fontId="34" fillId="39" borderId="15"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0" fontId="54" fillId="0" borderId="0" xfId="0" applyFont="1" applyNumberFormat="1">
      <alignment vertical="center" wrapText="1"/>
    </xf>
    <xf numFmtId="0" fontId="55" fillId="0" borderId="0" xfId="0" applyFont="1" applyNumberFormat="1">
      <alignment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center" wrapText="1"/>
    </xf>
    <xf numFmtId="166" fontId="23" fillId="42" borderId="15" xfId="0" applyFont="1" applyFill="1" applyBorder="1" applyNumberFormat="1">
      <alignment horizontal="right" vertical="center" wrapText="1"/>
      <protection locked="0"/>
    </xf>
    <xf numFmtId="0" fontId="89"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23" fillId="0" borderId="0" xfId="0" applyFont="1" applyNumberFormat="1">
      <alignment vertical="center" wrapText="1"/>
    </xf>
    <xf numFmtId="0" fontId="54" fillId="0" borderId="0" xfId="0" applyFont="1" applyNumberFormat="1">
      <alignment vertical="center" wrapText="1"/>
    </xf>
    <xf numFmtId="166" fontId="23" fillId="38" borderId="15" xfId="0" applyFont="1" applyFill="1" applyBorder="1" applyNumberFormat="1">
      <alignment horizontal="right" vertical="center" wrapText="1"/>
    </xf>
    <xf numFmtId="166" fontId="23" fillId="38" borderId="14" xfId="0" applyFont="1" applyFill="1" applyBorder="1" applyNumberFormat="1">
      <alignment horizontal="right" vertical="center" wrapText="1"/>
    </xf>
    <xf numFmtId="49" fontId="96" fillId="48" borderId="0" xfId="0" applyFont="1" applyFill="1" applyNumberFormat="1">
      <alignment horizontal="center" vertical="center" textRotation="90" wrapText="1"/>
    </xf>
    <xf numFmtId="0" fontId="23" fillId="42" borderId="14" xfId="0" applyFont="1" applyFill="1" applyBorder="1" applyNumberFormat="1">
      <alignment horizontal="center" vertical="center" wrapText="1"/>
      <protection locked="0"/>
    </xf>
    <xf numFmtId="4" fontId="23" fillId="42" borderId="31"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0" fontId="55" fillId="0" borderId="38" xfId="0" applyFont="1" applyBorder="1" applyNumberFormat="1">
      <alignment horizontal="left" vertical="center" wrapText="1" indent="1"/>
    </xf>
    <xf numFmtId="0" fontId="55" fillId="0" borderId="38" xfId="0" applyFont="1" applyBorder="1" applyNumberFormat="1">
      <alignment horizontal="center" vertical="center" wrapText="1"/>
    </xf>
    <xf numFmtId="0" fontId="55" fillId="0" borderId="19" xfId="0" applyFont="1" applyBorder="1" applyNumberFormat="1">
      <alignment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0" borderId="25" xfId="0" applyFont="1" applyBorder="1" applyNumberFormat="1">
      <alignment vertical="top" wrapText="1"/>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22" xfId="0" applyFont="1" applyBorder="1" applyNumberFormat="1">
      <alignment horizontal="center" vertical="center" wrapText="1"/>
    </xf>
    <xf numFmtId="166" fontId="23" fillId="42" borderId="19" xfId="0" applyFont="1" applyFill="1" applyBorder="1" applyNumberFormat="1">
      <alignment horizontal="right" vertical="center" wrapText="1"/>
      <protection locked="0"/>
    </xf>
    <xf numFmtId="0" fontId="55" fillId="0" borderId="25" xfId="0" applyFont="1" applyBorder="1" applyNumberFormat="1">
      <alignment horizontal="left" vertical="center" wrapText="1" indent="1"/>
    </xf>
    <xf numFmtId="0" fontId="55" fillId="0" borderId="19" xfId="0" applyFont="1" applyBorder="1" applyNumberFormat="1">
      <alignment horizontal="center" vertical="center" wrapText="1"/>
    </xf>
    <xf numFmtId="0" fontId="45" fillId="0" borderId="0" xfId="0" applyFont="1" applyNumberForma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55" fillId="0" borderId="19" xfId="0" applyFont="1" applyBorder="1" applyNumberFormat="1">
      <alignment horizontal="left" vertical="center" wrapText="1" indent="1"/>
    </xf>
    <xf numFmtId="49" fontId="34" fillId="39" borderId="14" xfId="0" applyFont="1" applyFill="1" applyBorder="1" applyNumberFormat="1">
      <alignment horizontal="left" vertical="center" wrapText="1"/>
      <protection locked="0"/>
    </xf>
    <xf numFmtId="0" fontId="23" fillId="0" borderId="0" xfId="0" applyFont="1" applyNumberFormat="1">
      <alignment vertical="top" wrapText="1"/>
    </xf>
    <xf numFmtId="0" fontId="23" fillId="0" borderId="0" xfId="0" applyFont="1" applyNumberFormat="1">
      <alignment horizontal="left" vertical="top" wrapText="1"/>
    </xf>
    <xf numFmtId="0" fontId="23" fillId="0" borderId="0" xfId="0" applyFont="1" applyNumberFormat="1">
      <alignment horizontal="left" vertical="center" wrapText="1"/>
    </xf>
    <xf numFmtId="0" fontId="59" fillId="0" borderId="0" xfId="0" applyFont="1" applyNumberFormat="1">
      <alignment vertical="center"/>
    </xf>
    <xf numFmtId="0" fontId="96" fillId="0" borderId="0" xfId="0" applyFont="1" applyNumberFormat="1">
      <alignment vertical="center" wrapText="1"/>
    </xf>
    <xf numFmtId="49" fontId="96" fillId="0" borderId="0" xfId="0" applyFont="1" applyNumberFormat="1">
      <alignment horizontal="center" vertical="center" wrapText="1"/>
    </xf>
    <xf numFmtId="0" fontId="23" fillId="0" borderId="0" xfId="0" applyFont="1" applyNumberFormat="1">
      <alignment vertical="center" wrapText="1"/>
    </xf>
    <xf numFmtId="0" fontId="59" fillId="0" borderId="0" xfId="0" applyFont="1" applyNumberFormat="1">
      <alignment vertical="center" wrapText="1"/>
    </xf>
    <xf numFmtId="0" fontId="23" fillId="0" borderId="21" xfId="0" applyFont="1" applyBorder="1" applyNumberFormat="1">
      <alignment vertical="center" wrapText="1"/>
    </xf>
    <xf numFmtId="0" fontId="23" fillId="0" borderId="0" xfId="0" applyFont="1" applyNumberFormat="1">
      <alignment horizontal="center" vertical="center" wrapText="1"/>
    </xf>
    <xf numFmtId="49" fontId="40" fillId="0" borderId="0" xfId="0" applyFont="1" applyNumberFormat="1">
      <alignment horizontal="center" vertical="center" wrapText="1"/>
    </xf>
    <xf numFmtId="0" fontId="23" fillId="0" borderId="29" xfId="0" applyFont="1" applyBorder="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36" fillId="0" borderId="0" xfId="0" applyFont="1" applyNumberFormat="1">
      <alignment horizontal="center" vertical="center" wrapText="1"/>
    </xf>
    <xf numFmtId="49" fontId="68" fillId="0" borderId="0" xfId="0" applyFont="1" applyNumberFormat="1">
      <alignment horizontal="center" vertical="center" wrapText="1"/>
    </xf>
    <xf numFmtId="0" fontId="77" fillId="0" borderId="0" xfId="0" applyFont="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68" fillId="0" borderId="0" xfId="0" applyFont="1" applyNumberFormat="1">
      <alignment vertical="center" wrapText="1"/>
    </xf>
    <xf numFmtId="0" fontId="76" fillId="0" borderId="0" xfId="0" applyFont="1" applyNumberFormat="1">
      <alignment vertical="center" wrapText="1"/>
    </xf>
    <xf numFmtId="0" fontId="23" fillId="0" borderId="14" xfId="0" applyFont="1" applyBorder="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center" vertical="center" wrapText="1"/>
    </xf>
    <xf numFmtId="0" fontId="23" fillId="0" borderId="0" xfId="0" applyFont="1" applyNumberFormat="1">
      <alignment vertical="center" wrapText="1"/>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19" xfId="0" applyFont="1" applyBorder="1" applyNumberFormat="1">
      <alignment horizontal="center" vertical="center" wrapText="1"/>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38" borderId="14" xfId="0" applyFont="1" applyFill="1" applyBorder="1" applyNumberFormat="1">
      <alignment horizontal="left" vertical="center" wrapText="1" indent="1"/>
    </xf>
    <xf numFmtId="0" fontId="23" fillId="0" borderId="15" xfId="0" applyFont="1" applyBorder="1" applyNumberFormat="1">
      <alignment horizontal="left" vertical="center" wrapText="1" indent="1"/>
    </xf>
    <xf numFmtId="49" fontId="55" fillId="0" borderId="24" xfId="0" applyFont="1" applyBorder="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0" fontId="54" fillId="0" borderId="0" xfId="0" applyFont="1" applyNumberFormat="1">
      <alignment horizontal="center"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49" fontId="55"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25" xfId="0" applyFont="1" applyBorder="1" applyNumberFormat="1">
      <alignment horizontal="left" vertical="center" wrapText="1"/>
    </xf>
    <xf numFmtId="2" fontId="23" fillId="0" borderId="25" xfId="0" applyFont="1" applyBorder="1" applyNumberFormat="1">
      <alignment horizontal="center" vertical="center" wrapText="1"/>
    </xf>
    <xf numFmtId="0" fontId="23" fillId="0" borderId="14" xfId="0" applyFont="1" applyBorder="1" applyNumberFormat="1">
      <alignment horizontal="left" vertical="center" wrapText="1"/>
    </xf>
    <xf numFmtId="49" fontId="55" fillId="0" borderId="24" xfId="0" applyFont="1" applyBorder="1" applyNumberFormat="1">
      <alignment vertical="top"/>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24" xfId="0" applyFont="1" applyBorder="1" applyNumberFormat="1">
      <alignmen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23" fillId="0" borderId="25" xfId="0" applyFont="1" applyBorder="1" applyNumberFormat="1">
      <alignment horizontal="left" vertical="center" wrapText="1"/>
    </xf>
    <xf numFmtId="0" fontId="23" fillId="0" borderId="14" xfId="0" applyFont="1" applyBorder="1" applyNumberFormat="1">
      <alignment horizontal="left" vertical="center" wrapText="1"/>
    </xf>
    <xf numFmtId="0" fontId="54" fillId="0" borderId="0" xfId="0" applyFont="1" applyNumberFormat="1">
      <alignment horizontal="center" vertical="top"/>
    </xf>
    <xf numFmtId="0" fontId="55" fillId="0" borderId="0" xfId="0" applyFont="1" applyNumberFormat="1">
      <alignment horizontal="center" vertical="center" wrapText="1"/>
    </xf>
    <xf numFmtId="49" fontId="55" fillId="0" borderId="25" xfId="0" applyFont="1" applyBorder="1" applyNumberFormat="1">
      <alignment horizontal="center" vertical="center" wrapText="1"/>
    </xf>
    <xf numFmtId="49" fontId="48" fillId="0" borderId="21" xfId="0" applyFont="1" applyBorder="1" applyNumberFormat="1">
      <alignment horizontal="right" vertical="center"/>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53" fillId="0" borderId="0" xfId="0" applyFont="1" applyNumberFormat="1">
      <alignment horizontal="left" vertical="top" wrapText="1"/>
    </xf>
    <xf numFmtId="49" fontId="40" fillId="0" borderId="0" xfId="0" applyFont="1" applyNumberFormat="1">
      <alignment horizontal="center" vertical="center" wrapText="1"/>
    </xf>
    <xf numFmtId="0" fontId="55" fillId="0" borderId="0" xfId="0" applyFont="1" applyNumberFormat="1">
      <alignment vertical="center" wrapText="1"/>
    </xf>
    <xf numFmtId="0" fontId="40"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55" fillId="0" borderId="16" xfId="0" applyFont="1" applyBorder="1" applyNumberFormat="1">
      <alignment vertical="center" wrapTex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0" fontId="55" fillId="0" borderId="16" xfId="0" applyFont="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14" xfId="0" applyFont="1" applyBorder="1" applyNumberFormat="1">
      <alignment horizontal="left" vertical="center" wrapText="1"/>
    </xf>
    <xf numFmtId="49" fontId="23" fillId="0" borderId="61" xfId="0" applyFont="1" applyBorder="1" applyNumberFormat="1">
      <alignment horizontal="center" vertical="center" wrapText="1"/>
    </xf>
    <xf numFmtId="0" fontId="23"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49" fontId="23" fillId="0" borderId="62" xfId="0" applyFont="1" applyBorder="1" applyNumberFormat="1">
      <alignment horizontal="center" vertical="center" wrapText="1"/>
    </xf>
    <xf numFmtId="0" fontId="23" fillId="0" borderId="15"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9" fontId="48" fillId="40" borderId="21" xfId="0" applyFont="1" applyFill="1" applyBorder="1" applyNumberFormat="1">
      <alignment horizontal="left" vertical="center" indent="2"/>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9" xfId="0" applyFont="1" applyBorder="1" applyNumberFormat="1">
      <alignment horizontal="left" vertical="center" wrapText="1"/>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60" xfId="0" applyFont="1" applyBorder="1" applyNumberFormat="1">
      <alignment horizontal="center" vertical="center" wrapText="1"/>
    </xf>
    <xf numFmtId="0" fontId="23" fillId="0" borderId="19" xfId="0" applyFont="1" applyBorder="1" applyNumberFormat="1">
      <alignment horizontal="left" vertical="center" wrapText="1" indent="1"/>
    </xf>
    <xf numFmtId="0" fontId="23" fillId="0" borderId="19"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left" vertical="center" wrapText="1" inden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55" fillId="0" borderId="29" xfId="0" applyFont="1" applyBorder="1" applyNumberFormat="1">
      <alignment vertical="center" wrapTex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0" xfId="0" applyFont="1" applyNumberFormat="1">
      <alignment horizontal="left" vertical="top"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49" fontId="23" fillId="58" borderId="0" xfId="0" applyFont="1" applyFill="1" applyNumberFormat="1">
      <alignment horizontal="center" vertical="center" textRotation="90"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76" fillId="0" borderId="24" xfId="0" applyFont="1" applyBorder="1" applyNumberFormat="1">
      <alignment vertical="center" wrapText="1"/>
    </xf>
    <xf numFmtId="49"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23" fillId="0" borderId="14" xfId="0" applyFont="1" applyBorder="1" applyNumberFormat="1">
      <alignment horizontal="center" vertical="center" wrapText="1"/>
    </xf>
    <xf numFmtId="49" fontId="23" fillId="39" borderId="14" xfId="0" applyFont="1" applyFill="1" applyBorder="1" applyNumberFormat="1">
      <alignment horizontal="left" vertical="center" wrapText="1"/>
      <protection locked="0"/>
    </xf>
    <xf numFmtId="3"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88" fillId="0" borderId="0" xfId="0" applyFont="1" applyNumberFormat="1">
      <alignment vertical="center" wrapText="1"/>
    </xf>
    <xf numFmtId="0" fontId="23" fillId="0" borderId="14" xfId="0" applyFont="1" applyBorder="1" applyNumberFormat="1">
      <alignment horizontal="left" vertical="center" wrapText="1" indent="2"/>
    </xf>
    <xf numFmtId="3" fontId="53" fillId="39" borderId="14" xfId="0" applyFont="1" applyFill="1" applyBorder="1" applyNumberFormat="1">
      <alignment horizontal="right" vertical="center"/>
      <protection locked="0"/>
    </xf>
    <xf numFmtId="49" fontId="23" fillId="39" borderId="16" xfId="0" applyFont="1" applyFill="1" applyBorder="1" applyNumberFormat="1">
      <alignment horizontal="left" vertical="center" wrapText="1"/>
      <protection locked="0"/>
    </xf>
    <xf numFmtId="0" fontId="53" fillId="0" borderId="0" xfId="0" applyFont="1" applyNumberFormat="1">
      <alignment vertical="center" wrapText="1"/>
    </xf>
    <xf numFmtId="0" fontId="23" fillId="0" borderId="0" xfId="0" applyFont="1" applyNumberFormat="1">
      <alignment vertical="top" wrapText="1"/>
    </xf>
    <xf numFmtId="0" fontId="23" fillId="0" borderId="0" xfId="0" applyFont="1" applyNumberFormat="1">
      <alignment vertical="top"/>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9" fontId="34" fillId="0" borderId="14" xfId="0" applyFont="1" applyBorder="1" applyNumberFormat="1">
      <alignment horizontal="left" vertical="center" wrapText="1"/>
    </xf>
    <xf numFmtId="49" fontId="23" fillId="0" borderId="34" xfId="0" applyFont="1" applyBorder="1" applyNumberFormat="1">
      <alignment horizontal="center" vertical="center" wrapText="1"/>
    </xf>
    <xf numFmtId="0" fontId="23" fillId="0" borderId="34"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9" fontId="23" fillId="0" borderId="33" xfId="0" applyFont="1" applyBorder="1" applyNumberFormat="1">
      <alignment horizontal="center" vertical="center" wrapText="1"/>
    </xf>
    <xf numFmtId="0" fontId="23" fillId="0" borderId="35"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0" borderId="19"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0" fontId="23" fillId="0" borderId="35" xfId="0" applyFont="1" applyBorder="1" applyNumberFormat="1">
      <alignment horizontal="left" vertical="center" wrapText="1"/>
    </xf>
    <xf numFmtId="49" fontId="34" fillId="0" borderId="17"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0" borderId="34" xfId="0" applyFont="1" applyBorder="1" applyNumberFormat="1">
      <alignment horizontal="center" vertical="center" wrapText="1"/>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2"/>
    </xf>
    <xf numFmtId="4" fontId="23" fillId="0" borderId="33" xfId="0" applyFont="1" applyBorder="1" applyNumberFormat="1">
      <alignment horizontal="center" vertical="center" wrapText="1"/>
    </xf>
    <xf numFmtId="49" fontId="23" fillId="0" borderId="36" xfId="0" applyFont="1" applyBorder="1" applyNumberFormat="1">
      <alignment horizontal="center" vertical="center" wrapText="1"/>
    </xf>
    <xf numFmtId="49" fontId="34" fillId="42" borderId="14" xfId="0" applyFont="1" applyFill="1" applyBorder="1" applyNumberFormat="1">
      <alignment horizontal="left" vertical="center" wrapText="1"/>
      <protection locked="0"/>
    </xf>
    <xf numFmtId="0" fontId="23" fillId="0" borderId="37" xfId="0" applyFont="1" applyBorder="1" applyNumberFormat="1">
      <alignment horizontal="left" vertical="center" wrapText="1"/>
    </xf>
    <xf numFmtId="4" fontId="23" fillId="0" borderId="37" xfId="0" applyFont="1" applyBorder="1" applyNumberFormat="1">
      <alignment horizontal="center" vertical="center" wrapText="1"/>
    </xf>
    <xf numFmtId="49" fontId="34" fillId="0" borderId="39" xfId="0" applyFont="1" applyBorder="1" applyNumberFormat="1">
      <alignment horizontal="left" vertical="center" wrapText="1"/>
    </xf>
    <xf numFmtId="49" fontId="23" fillId="0" borderId="35"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 fontId="23" fillId="42" borderId="36" xfId="0" applyFont="1" applyFill="1" applyBorder="1" applyNumberFormat="1">
      <alignment horizontal="right" vertical="center" wrapText="1"/>
      <protection locked="0"/>
    </xf>
    <xf numFmtId="49" fontId="34" fillId="42" borderId="16" xfId="0" applyFont="1" applyFill="1" applyBorder="1" applyNumberFormat="1">
      <alignment horizontal="left" vertical="center" wrapText="1"/>
      <protection locked="0"/>
    </xf>
    <xf numFmtId="49" fontId="54" fillId="0" borderId="0" xfId="0" applyFont="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44" fillId="0" borderId="26" xfId="0" applyFont="1" applyBorder="1" applyNumberFormat="1">
      <alignment horizontal="center" vertical="center" wrapText="1"/>
    </xf>
    <xf numFmtId="0" fontId="0" fillId="0" borderId="16" xfId="0" applyFont="1" applyBorder="1" applyNumberFormat="1">
      <alignment horizontal="center" vertical="center"/>
    </xf>
    <xf numFmtId="0" fontId="23" fillId="0" borderId="15" xfId="0" applyFont="1" applyBorder="1" applyNumberFormat="1">
      <alignment horizontal="center" vertical="center" wrapText="1"/>
    </xf>
    <xf numFmtId="167" fontId="0" fillId="39"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44" fillId="0" borderId="0" xfId="0" applyFont="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0" borderId="15" xfId="0" applyFont="1" applyBorder="1" applyNumberFormat="1">
      <alignment horizontal="center" vertical="center" wrapText="1"/>
    </xf>
    <xf numFmtId="0" fontId="23" fillId="40" borderId="16" xfId="0" applyFont="1" applyFill="1" applyBorder="1" applyNumberFormat="1">
      <alignment vertical="center" wrapText="1"/>
    </xf>
    <xf numFmtId="0" fontId="23" fillId="0" borderId="15" xfId="0" applyFont="1" applyBorder="1" applyNumberFormat="1">
      <alignment horizontal="center" vertical="center" wrapText="1"/>
    </xf>
    <xf numFmtId="0" fontId="23" fillId="40" borderId="21" xfId="0" applyFont="1" applyFill="1" applyBorder="1" applyNumberFormat="1">
      <alignment vertical="center" wrapText="1"/>
    </xf>
    <xf numFmtId="0" fontId="23" fillId="0" borderId="17"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0" borderId="15" xfId="0" applyFont="1" applyBorder="1" applyNumberFormat="1">
      <alignment vertical="center" wrapText="1"/>
    </xf>
    <xf numFmtId="0" fontId="23" fillId="40" borderId="29" xfId="0" applyFont="1" applyFill="1" applyBorder="1" applyNumberFormat="1">
      <alignment vertical="center" wrapText="1"/>
    </xf>
    <xf numFmtId="0" fontId="44" fillId="0" borderId="0" xfId="0" applyFont="1" applyNumberFormat="1">
      <alignment horizontal="center" vertical="center" wrapText="1"/>
    </xf>
    <xf numFmtId="0" fontId="88" fillId="0" borderId="0" xfId="0" applyFont="1" applyNumberFormat="1">
      <alignment vertical="center" wrapText="1"/>
    </xf>
    <xf numFmtId="49" fontId="54" fillId="0" borderId="0" xfId="0" applyFont="1" applyNumberFormat="1">
      <alignment horizontal="center" vertical="center" wrapText="1"/>
    </xf>
    <xf numFmtId="0" fontId="40"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wrapText="1"/>
    </xf>
    <xf numFmtId="49" fontId="54" fillId="0" borderId="0" xfId="0" applyFont="1" applyNumberFormat="1">
      <alignment horizontal="center" vertical="center" wrapText="1"/>
    </xf>
    <xf numFmtId="0" fontId="23" fillId="0" borderId="0" xfId="0" applyFont="1" applyNumberFormat="1">
      <alignment vertical="center" wrapText="1"/>
    </xf>
    <xf numFmtId="49" fontId="54" fillId="0" borderId="0" xfId="0" applyFont="1" applyNumberFormat="1">
      <alignment horizontal="center" vertical="center" wrapText="1"/>
    </xf>
    <xf numFmtId="49" fontId="103" fillId="0" borderId="0" xfId="0" applyFont="1" applyNumberFormat="1">
      <alignment horizontal="center"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0" fontId="0" fillId="0" borderId="14" xfId="0" applyFont="1" applyBorder="1" applyNumberFormat="1">
      <alignment horizontal="left" vertical="center" wrapText="1" indent="1"/>
    </xf>
    <xf numFmtId="49"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55" fillId="0" borderId="0" xfId="0" applyFont="1" applyNumberFormat="1">
      <alignment horizontal="center" vertical="center" wrapText="1"/>
    </xf>
    <xf numFmtId="49" fontId="23" fillId="0" borderId="16" xfId="0" applyFont="1" applyBorder="1" applyNumberFormat="1">
      <alignment horizontal="center" vertical="center" wrapText="1"/>
    </xf>
    <xf numFmtId="49" fontId="48" fillId="40" borderId="16" xfId="0" applyFont="1" applyFill="1" applyBorder="1" applyNumberFormat="1">
      <alignment horizontal="left" vertical="center" indent="1"/>
    </xf>
    <xf numFmtId="0" fontId="23" fillId="40" borderId="31" xfId="0" applyFont="1" applyFill="1" applyBorder="1" applyNumberFormat="1">
      <alignment vertical="center" wrapText="1"/>
    </xf>
    <xf numFmtId="49" fontId="54" fillId="0" borderId="0" xfId="0" applyFont="1" applyNumberFormat="1">
      <alignment horizontal="center" vertical="center" wrapText="1"/>
    </xf>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left" vertical="center" wrapText="1" indent="3"/>
    </xf>
    <xf numFmtId="0" fontId="23" fillId="37" borderId="0" xfId="0" applyFont="1" applyFill="1" applyNumberFormat="1">
      <alignment vertic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78" fillId="0" borderId="41" xfId="0" applyFont="1" applyBorder="1" applyNumberFormat="1">
      <alignment vertical="top"/>
    </xf>
    <xf numFmtId="49" fontId="78" fillId="0" borderId="41" xfId="0" applyFont="1" applyBorder="1" applyNumberFormat="1">
      <alignment vertical="top"/>
    </xf>
    <xf numFmtId="0" fontId="36" fillId="37" borderId="41" xfId="0" applyFont="1" applyFill="1" applyBorder="1" applyNumberFormat="1">
      <alignment horizontal="center" wrapText="1"/>
    </xf>
    <xf numFmtId="0" fontId="36" fillId="37" borderId="41" xfId="0" applyFont="1" applyFill="1" applyBorder="1" applyNumberFormat="1">
      <alignment horizont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23" fillId="0" borderId="0" xfId="0" applyFont="1" applyNumberFormat="1">
      <alignment vertical="top"/>
    </xf>
    <xf numFmtId="0" fontId="23" fillId="0" borderId="63" xfId="0" applyFont="1" applyBorder="1" applyNumberFormat="1">
      <alignment horizontal="center" vertical="center"/>
    </xf>
    <xf numFmtId="0" fontId="23" fillId="0" borderId="64" xfId="0" applyFont="1" applyBorder="1" applyNumberFormat="1">
      <alignment horizontal="center" vertical="center"/>
    </xf>
    <xf numFmtId="0" fontId="23" fillId="0" borderId="66" xfId="0" applyFont="1" applyBorder="1" applyNumberFormat="1">
      <alignment horizontal="center" vertical="center"/>
    </xf>
    <xf numFmtId="0" fontId="23" fillId="0" borderId="40" xfId="0" applyFont="1" applyBorder="1" applyNumberFormat="1">
      <alignmen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49" fontId="23" fillId="0" borderId="0" xfId="0" applyFont="1" applyNumberFormat="1">
      <alignment vertical="top"/>
    </xf>
    <xf numFmtId="0" fontId="23" fillId="0" borderId="0" xfId="0" applyFont="1" applyNumberFormat="1">
      <alignment vertical="center" wrapText="1"/>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0" fillId="0" borderId="14" xfId="0" applyFont="1" applyBorder="1" applyNumberFormat="1">
      <alignment horizontal="center" vertical="center" wrapText="1"/>
    </xf>
    <xf numFmtId="49" fontId="23" fillId="0" borderId="0" xfId="0" applyFont="1" applyNumberFormat="1">
      <alignment vertical="top"/>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xf>
    <xf numFmtId="49" fontId="23"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0" fontId="23" fillId="0" borderId="0" xfId="0" applyFont="1" applyNumberFormat="1">
      <alignment horizontal="left" vertical="center" wrapText="1"/>
    </xf>
    <xf numFmtId="0" fontId="23" fillId="0" borderId="0" xfId="0" applyFont="1" applyNumberFormat="1">
      <alignment vertical="center" wrapText="1"/>
    </xf>
    <xf numFmtId="0" fontId="23" fillId="0" borderId="0" xfId="0" applyFont="1" applyNumberFormat="1">
      <alignment vertical="center" wrapText="1"/>
    </xf>
    <xf numFmtId="0" fontId="40" fillId="0" borderId="0" xfId="0" applyFont="1" applyNumberFormat="1">
      <alignment vertical="center" wrapText="1"/>
    </xf>
    <xf numFmtId="0" fontId="23" fillId="37" borderId="0" xfId="0" applyFont="1" applyFill="1" applyNumberFormat="1">
      <alignment vertical="center" wrapText="1"/>
    </xf>
    <xf numFmtId="0" fontId="23" fillId="37" borderId="21" xfId="0" applyFont="1" applyFill="1" applyBorder="1" applyNumberFormat="1">
      <alignment vertical="center" wrapText="1"/>
    </xf>
    <xf numFmtId="49" fontId="23" fillId="0" borderId="0" xfId="0" applyFont="1" applyNumberFormat="1">
      <alignment vertical="top"/>
    </xf>
    <xf numFmtId="49" fontId="55" fillId="0" borderId="0" xfId="0" applyFont="1" applyNumberFormat="1">
      <alignment vertical="top"/>
    </xf>
    <xf numFmtId="0" fontId="55" fillId="0" borderId="41" xfId="0" applyFont="1" applyBorder="1" applyNumberFormat="1">
      <alignment vertical="center" wrapText="1"/>
    </xf>
    <xf numFmtId="0" fontId="23" fillId="0" borderId="76" xfId="0" applyFont="1" applyBorder="1" applyNumberFormat="1">
      <alignment horizontal="center" vertical="center"/>
    </xf>
    <xf numFmtId="0" fontId="23" fillId="0" borderId="45" xfId="0" applyFont="1" applyBorder="1" applyNumberFormat="1">
      <alignment horizontal="center" vertical="center"/>
    </xf>
    <xf numFmtId="0" fontId="23" fillId="0" borderId="40" xfId="0" applyFont="1" applyBorder="1" applyNumberFormat="1">
      <alignment vertical="center"/>
    </xf>
    <xf numFmtId="49" fontId="0" fillId="0" borderId="19"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23" fillId="0" borderId="24" xfId="0" applyFont="1" applyBorder="1" applyNumberFormat="1">
      <alignment vertical="top"/>
    </xf>
    <xf numFmtId="49" fontId="0" fillId="0" borderId="38"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xf>
    <xf numFmtId="49" fontId="0" fillId="38" borderId="14" xfId="0" applyFont="1" applyFill="1" applyBorder="1" applyNumberFormat="1">
      <alignment horizontal="center" vertical="center"/>
    </xf>
    <xf numFmtId="0" fontId="23" fillId="0" borderId="24" xfId="0" applyFont="1" applyBorder="1" applyNumberFormat="1">
      <alignment vertical="center" wrapText="1"/>
    </xf>
    <xf numFmtId="49" fontId="0" fillId="0" borderId="14"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 fontId="0" fillId="39"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horizontal="left" vertical="center" wrapText="1"/>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49" fontId="54" fillId="0" borderId="0" xfId="0" applyFont="1" applyNumberFormat="1">
      <alignment horizontal="center" vertical="center" wrapText="1"/>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23" fillId="0" borderId="0" xfId="0" applyFont="1" applyNumberFormat="1">
      <alignment horizontal="center" vertical="top" wrapText="1"/>
    </xf>
    <xf numFmtId="49" fontId="40" fillId="0" borderId="0" xfId="0" applyFont="1" applyNumberFormat="1">
      <alignment horizontal="center" vertical="top" wrapText="1"/>
    </xf>
    <xf numFmtId="49" fontId="23" fillId="37" borderId="0" xfId="0" applyFont="1" applyFill="1" applyNumberFormat="1">
      <alignment horizontal="center" vertical="top" wrapText="1"/>
    </xf>
    <xf numFmtId="0" fontId="23" fillId="0" borderId="22" xfId="0" applyFont="1" applyBorder="1" applyNumberFormat="1">
      <alignment horizontal="left" vertical="top" wrapText="1"/>
    </xf>
    <xf numFmtId="49" fontId="23" fillId="0" borderId="0" xfId="0" applyFont="1" applyNumberFormat="1">
      <alignment horizontal="center" vertical="center" wrapText="1"/>
    </xf>
    <xf numFmtId="49" fontId="40" fillId="0" borderId="0" xfId="0" applyFont="1" applyNumberFormat="1">
      <alignment horizontal="center" vertical="center" wrapText="1"/>
    </xf>
    <xf numFmtId="49" fontId="23" fillId="37" borderId="0" xfId="0" applyFont="1" applyFill="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0" fontId="53" fillId="0" borderId="0" xfId="0" applyFont="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0" xfId="0" applyFont="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49" fontId="53" fillId="37" borderId="0" xfId="0" applyFont="1" applyFill="1" applyNumberFormat="1">
      <alignment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37"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49" fontId="23" fillId="0" borderId="0" xfId="0" applyFont="1" applyNumberFormat="1">
      <alignment vertical="center" wrapText="1"/>
    </xf>
    <xf numFmtId="49" fontId="53" fillId="0" borderId="0" xfId="0" applyFont="1" applyNumberFormat="1">
      <alignment vertical="top"/>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49" fontId="23" fillId="34" borderId="29" xfId="0" applyFont="1" applyFill="1" applyBorder="1" applyNumberFormat="1">
      <alignment horizontal="center" vertical="center" wrapText="1"/>
    </xf>
    <xf numFmtId="49" fontId="53" fillId="0" borderId="0" xfId="0" applyFont="1" applyNumberFormat="1">
      <alignment vertical="center"/>
    </xf>
    <xf numFmtId="49" fontId="53" fillId="37" borderId="0" xfId="0" applyFont="1" applyFill="1" applyNumberFormat="1">
      <alignment vertical="center"/>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104"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49" fontId="53" fillId="0" borderId="0" xfId="0" applyFont="1" applyNumberFormat="1">
      <alignment vertical="center" wrapText="1"/>
    </xf>
    <xf numFmtId="49" fontId="53" fillId="0" borderId="0" xfId="0" applyFont="1" applyNumberFormat="1">
      <alignment vertical="top"/>
    </xf>
    <xf numFmtId="0" fontId="53" fillId="0" borderId="0" xfId="0" applyFont="1" applyNumberFormat="1">
      <alignment vertical="center" wrapText="1"/>
    </xf>
    <xf numFmtId="49" fontId="99" fillId="0" borderId="0" xfId="0" applyFont="1" applyNumberFormat="1">
      <alignment vertical="center" wrapText="1"/>
    </xf>
    <xf numFmtId="49" fontId="53" fillId="0" borderId="0" xfId="0" applyFont="1" applyNumberFormat="1">
      <alignment vertical="center" wrapText="1"/>
    </xf>
    <xf numFmtId="49" fontId="104" fillId="0" borderId="0" xfId="0" applyFont="1" applyNumberFormat="1">
      <alignment vertical="center"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indent="1"/>
    </xf>
    <xf numFmtId="0" fontId="23" fillId="0" borderId="16" xfId="0" applyFont="1" applyBorder="1" applyNumberFormat="1">
      <alignment horizontal="center" vertical="center" wrapText="1"/>
    </xf>
    <xf numFmtId="0" fontId="23" fillId="0" borderId="14" xfId="0" applyFont="1" applyBorder="1" applyNumberFormat="1">
      <alignment horizontal="left" vertical="top" wrapText="1"/>
    </xf>
    <xf numFmtId="3" fontId="23" fillId="42" borderId="16" xfId="0" applyFont="1" applyFill="1" applyBorder="1" applyNumberFormat="1">
      <alignment vertical="center" wrapText="1"/>
      <protection locked="0"/>
    </xf>
    <xf numFmtId="0" fontId="23" fillId="0" borderId="14" xfId="0" applyFont="1" applyBorder="1" applyNumberFormat="1">
      <alignment vertical="top" wrapText="1"/>
    </xf>
    <xf numFmtId="0" fontId="23" fillId="0" borderId="14" xfId="0" applyFont="1" applyBorder="1" applyNumberFormat="1">
      <alignment horizontal="left" vertical="top" wrapText="1"/>
    </xf>
    <xf numFmtId="4" fontId="23" fillId="38" borderId="16" xfId="0" applyFont="1" applyFill="1" applyBorder="1" applyNumberFormat="1">
      <alignment horizontal="right" vertical="center" wrapText="1"/>
    </xf>
    <xf numFmtId="0" fontId="54" fillId="0" borderId="14" xfId="0" applyFont="1" applyBorder="1" applyNumberFormat="1">
      <alignment vertical="top" wrapText="1"/>
    </xf>
    <xf numFmtId="0" fontId="45" fillId="0" borderId="0" xfId="0" applyFont="1" applyNumberFormat="1">
      <alignment horizontal="center" vertical="center" wrapText="1"/>
    </xf>
    <xf numFmtId="49" fontId="23" fillId="42" borderId="14" xfId="0" applyFont="1" applyFill="1" applyBorder="1" applyNumberFormat="1">
      <alignment horizontal="left" vertical="center" wrapText="1" indent="1"/>
      <protection locked="0"/>
    </xf>
    <xf numFmtId="0" fontId="23" fillId="0" borderId="0" xfId="0" applyFont="1" applyNumberFormat="1">
      <alignment horizontal="left" vertical="center" wrapText="1" indent="2"/>
    </xf>
    <xf numFmtId="0" fontId="47" fillId="37" borderId="0" xfId="0" applyFont="1" applyFill="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49" fontId="23" fillId="0" borderId="0" xfId="0" applyFont="1" applyNumberFormat="1">
      <alignment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0" xfId="0" applyFont="1" applyFill="1" applyNumberFormat="1">
      <alignment horizontal="center" vertical="center" wrapText="1"/>
    </xf>
    <xf numFmtId="0" fontId="23" fillId="37" borderId="0" xfId="0" applyFont="1" applyFill="1" applyNumberFormat="1">
      <alignment horizontal="right" vertical="center"/>
    </xf>
    <xf numFmtId="49" fontId="23" fillId="0" borderId="0" xfId="0" applyFont="1" applyNumberFormat="1">
      <alignment vertical="center" wrapText="1"/>
    </xf>
    <xf numFmtId="0" fontId="23"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0"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4" fillId="37" borderId="0" xfId="0" applyFont="1" applyFill="1" applyNumberFormat="1">
      <alignment horizontal="center" vertical="center" wrapText="1"/>
    </xf>
    <xf numFmtId="49" fontId="23" fillId="0" borderId="0" xfId="0" applyFont="1" applyNumberFormat="1">
      <alignment vertical="top"/>
    </xf>
    <xf numFmtId="49" fontId="0" fillId="37" borderId="14" xfId="0" applyFont="1" applyFill="1" applyBorder="1" applyNumberFormat="1">
      <alignment horizontal="center" vertical="center" wrapText="1"/>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34" fillId="42" borderId="14" xfId="0" applyFont="1" applyFill="1" applyBorder="1" applyNumberFormat="1">
      <alignment horizontal="left" vertical="center" wrapText="1"/>
      <protection locked="0"/>
    </xf>
    <xf numFmtId="0"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49" fontId="52" fillId="40" borderId="15" xfId="0" applyFont="1" applyFill="1" applyBorder="1" applyNumberFormat="1">
      <alignment horizontal="center" vertical="top"/>
    </xf>
    <xf numFmtId="0" fontId="23"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0" fontId="47" fillId="37" borderId="0" xfId="0" applyFont="1" applyFill="1" applyNumberFormat="1">
      <alignment vertical="center" wrapText="1"/>
    </xf>
    <xf numFmtId="49" fontId="52" fillId="40" borderId="17" xfId="0" applyFont="1" applyFill="1" applyBorder="1" applyNumberFormat="1">
      <alignment horizontal="center" vertical="top"/>
    </xf>
    <xf numFmtId="0" fontId="55" fillId="0" borderId="0" xfId="0" applyFont="1" applyNumberFormat="1">
      <alignment vertical="center"/>
    </xf>
    <xf numFmtId="49"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49" fontId="72" fillId="0" borderId="14" xfId="0" applyFont="1" applyBorder="1" applyNumberFormat="1">
      <alignment horizontal="center" vertical="center" wrapText="1"/>
    </xf>
    <xf numFmtId="0" fontId="72" fillId="0" borderId="14" xfId="0" applyFont="1" applyBorder="1" applyNumberFormat="1">
      <alignment horizontal="left" vertical="center" wrapText="1" indent="2"/>
    </xf>
    <xf numFmtId="49" fontId="75" fillId="0" borderId="16" xfId="0" applyFont="1" applyBorder="1" applyNumberFormat="1">
      <alignment horizontal="left" vertical="center" wrapText="1"/>
    </xf>
    <xf numFmtId="0" fontId="23" fillId="0" borderId="19" xfId="0" applyFont="1" applyBorder="1" applyNumberFormat="1">
      <alignment vertical="top" wrapText="1"/>
    </xf>
    <xf numFmtId="49" fontId="48" fillId="40" borderId="17" xfId="0" applyFont="1" applyFill="1" applyBorder="1" applyNumberFormat="1">
      <alignment horizontal="left" vertical="center" indent="1"/>
    </xf>
    <xf numFmtId="0" fontId="23" fillId="0" borderId="25" xfId="0" applyFont="1" applyBorder="1" applyNumberFormat="1">
      <alignment vertical="top" wrapText="1"/>
    </xf>
    <xf numFmtId="49" fontId="0"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23" fillId="0" borderId="0" xfId="0" applyFont="1" applyNumberFormat="1">
      <alignment vertical="top" wrapText="1"/>
    </xf>
    <xf numFmtId="49" fontId="23" fillId="0" borderId="0" xfId="0" applyFont="1" applyNumberFormat="1">
      <alignment vertical="center" wrapText="1"/>
    </xf>
    <xf numFmtId="0" fontId="54" fillId="0" borderId="0" xfId="0" applyFont="1" applyNumberFormat="1">
      <alignment vertical="center" wrapText="1"/>
    </xf>
    <xf numFmtId="0" fontId="47" fillId="0" borderId="0" xfId="0" applyFont="1" applyNumberFormat="1">
      <alignment vertical="center" wrapText="1"/>
    </xf>
    <xf numFmtId="49" fontId="54" fillId="0" borderId="0" xfId="0" applyFont="1" applyNumberFormat="1">
      <alignment vertical="top"/>
    </xf>
    <xf numFmtId="49" fontId="126" fillId="0" borderId="0" xfId="0" applyFont="1" applyNumberFormat="1">
      <alignment horizontal="center" vertical="center" wrapText="1"/>
    </xf>
    <xf numFmtId="0" fontId="0" fillId="42" borderId="14" xfId="0" applyFont="1" applyFill="1" applyBorder="1" applyNumberFormat="1">
      <alignment horizontal="left" vertical="center" wrapText="1" indent="1"/>
      <protection locked="0"/>
    </xf>
    <xf numFmtId="49" fontId="34" fillId="42" borderId="14" xfId="0" applyFont="1" applyFill="1" applyBorder="1" applyNumberFormat="1">
      <alignment horizontal="left" vertical="center" wrapText="1"/>
      <protection locked="0"/>
    </xf>
    <xf numFmtId="0" fontId="47" fillId="0" borderId="0" xfId="0" applyFont="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0" fillId="0" borderId="14" xfId="0" applyFont="1" applyBorder="1" applyNumberFormat="1">
      <alignment horizontal="left" vertical="center" wrapText="1"/>
    </xf>
    <xf numFmtId="167" fontId="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0" fillId="0" borderId="14" xfId="0" applyFont="1" applyBorder="1" applyNumberFormat="1">
      <alignment horizontal="left" vertical="center" wrapText="1"/>
    </xf>
    <xf numFmtId="0" fontId="23"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23" fillId="0" borderId="14" xfId="0" applyFont="1" applyBorder="1" applyNumberFormat="1">
      <alignment vertical="top" wrapText="1"/>
    </xf>
    <xf numFmtId="49" fontId="48" fillId="40" borderId="17" xfId="0" applyFont="1" applyFill="1" applyBorder="1" applyNumberFormat="1">
      <alignment horizontal="left" vertical="center" indent="2"/>
    </xf>
    <xf numFmtId="49" fontId="48" fillId="40" borderId="17" xfId="0" applyFont="1" applyFill="1" applyBorder="1" applyNumberFormat="1">
      <alignment horizontal="left" vertical="center" indent="3"/>
    </xf>
    <xf numFmtId="49" fontId="23" fillId="43" borderId="14" xfId="0" applyFont="1" applyFill="1" applyBorder="1" applyNumberFormat="1">
      <alignment horizontal="left" vertical="center" wrapText="1"/>
    </xf>
    <xf numFmtId="49" fontId="23" fillId="0" borderId="0" xfId="0" applyFont="1" applyNumberFormat="1">
      <alignment vertical="top"/>
    </xf>
    <xf numFmtId="49" fontId="55" fillId="0" borderId="0" xfId="0" applyFont="1" applyNumberFormat="1">
      <alignment vertical="top"/>
    </xf>
    <xf numFmtId="0" fontId="23" fillId="0" borderId="0" xfId="0" applyFont="1" applyNumberFormat="1">
      <alignment horizontal="right" vertical="top" wrapText="1"/>
    </xf>
    <xf numFmtId="49" fontId="23" fillId="0" borderId="0" xfId="0" applyFont="1" applyNumberFormat="1">
      <alignment vertical="top" wrapText="1"/>
    </xf>
    <xf numFmtId="49" fontId="23" fillId="0" borderId="0" xfId="0" applyFont="1" applyNumberFormat="1">
      <alignment vertical="top"/>
    </xf>
    <xf numFmtId="0" fontId="0" fillId="0" borderId="15" xfId="0" applyFont="1" applyBorder="1" applyNumberFormat="1">
      <alignment horizontal="center" vertical="center" wrapText="1"/>
    </xf>
    <xf numFmtId="167" fontId="0" fillId="42" borderId="15" xfId="0" applyFont="1" applyFill="1" applyBorder="1" applyNumberFormat="1">
      <alignment horizontal="left" vertical="center" wrapText="1"/>
      <protection locked="0"/>
    </xf>
    <xf numFmtId="167"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49" fontId="52" fillId="40" borderId="15" xfId="0" applyFont="1" applyFill="1" applyBorder="1" applyNumberFormat="1">
      <alignment horizontal="center" vertical="top"/>
    </xf>
    <xf numFmtId="0" fontId="0" fillId="0" borderId="15" xfId="0" applyFont="1" applyBorder="1" applyNumberFormat="1">
      <alignment horizontal="center" vertical="center" wrapText="1"/>
    </xf>
    <xf numFmtId="0" fontId="23" fillId="0" borderId="0" xfId="0" applyFont="1" applyNumberFormat="1">
      <alignment horizontal="left" vertical="center" wrapText="1" indent="1"/>
    </xf>
    <xf numFmtId="0" fontId="0" fillId="0" borderId="14" xfId="0" applyFont="1" applyBorder="1" applyNumberFormat="1">
      <alignment horizontal="center" vertical="center" wrapText="1"/>
    </xf>
    <xf numFmtId="0" fontId="23" fillId="0" borderId="17" xfId="0" applyFont="1" applyBorder="1" applyNumberFormat="1">
      <alignment horizontal="left" vertical="top" wrapText="1" indent="1"/>
    </xf>
    <xf numFmtId="0" fontId="22" fillId="0" borderId="0" xfId="0" applyFont="1" applyNumberFormat="1">
      <alignment vertical="center" wrapText="1"/>
    </xf>
    <xf numFmtId="0" fontId="0" fillId="37" borderId="16" xfId="0" applyFont="1" applyFill="1" applyBorder="1" applyNumberFormat="1">
      <alignment horizontal="right" vertical="center" wrapText="1" indent="1"/>
    </xf>
    <xf numFmtId="0" fontId="76" fillId="0" borderId="0" xfId="0" applyFont="1" applyNumberFormat="1">
      <alignment vertical="center" wrapText="1"/>
    </xf>
    <xf numFmtId="49" fontId="44" fillId="37" borderId="0" xfId="0" applyFont="1" applyFill="1" applyNumberFormat="1">
      <alignment horizontal="center" vertical="center" wrapText="1"/>
    </xf>
    <xf numFmtId="49" fontId="44" fillId="37" borderId="21" xfId="0" applyFont="1" applyFill="1" applyBorder="1" applyNumberFormat="1">
      <alignment horizontal="center" vertical="center" wrapText="1"/>
    </xf>
    <xf numFmtId="49" fontId="0" fillId="37" borderId="19"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23" fillId="0" borderId="14" xfId="0" applyFont="1" applyBorder="1" applyNumberFormat="1">
      <alignment horizontal="left" vertical="center" wrapText="1"/>
    </xf>
    <xf numFmtId="0" fontId="47" fillId="37" borderId="0" xfId="0" applyFont="1" applyFill="1" applyNumberFormat="1">
      <alignment horizontal="center" vertical="top" wrapText="1"/>
    </xf>
    <xf numFmtId="0" fontId="0" fillId="38" borderId="16" xfId="0" applyFont="1" applyFill="1" applyBorder="1" applyNumberFormat="1">
      <alignment horizontal="left" vertical="center" wrapText="1" indent="1"/>
    </xf>
    <xf numFmtId="0" fontId="0" fillId="0" borderId="15" xfId="0" applyFont="1" applyBorder="1" applyNumberFormat="1">
      <alignment horizontal="center" vertical="center" wrapText="1"/>
    </xf>
    <xf numFmtId="0" fontId="0" fillId="0" borderId="15" xfId="0" applyFont="1" applyBorder="1" applyNumberFormat="1">
      <alignment horizontal="center" vertical="center" wrapText="1"/>
    </xf>
    <xf numFmtId="49" fontId="48" fillId="40" borderId="29" xfId="0" applyFont="1" applyFill="1" applyBorder="1" applyNumberFormat="1">
      <alignment horizontal="left" vertical="center" indent="2"/>
    </xf>
    <xf numFmtId="49" fontId="48" fillId="40" borderId="17" xfId="0" applyFont="1" applyFill="1" applyBorder="1" applyNumberFormat="1">
      <alignment horizontal="left" vertical="center"/>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23" fillId="0" borderId="0" xfId="0" applyFont="1" applyNumberFormat="1">
      <alignment vertical="center" wrapText="1"/>
    </xf>
    <xf numFmtId="49" fontId="23" fillId="0" borderId="0" xfId="0" applyFont="1" applyNumberFormat="1">
      <alignment vertical="top"/>
    </xf>
    <xf numFmtId="0" fontId="23" fillId="0" borderId="0" xfId="0" applyFont="1" applyNumberFormat="1">
      <alignment vertical="top" wrapText="1"/>
    </xf>
    <xf numFmtId="0" fontId="47" fillId="0" borderId="0" xfId="0" applyFont="1" applyNumberFormat="1">
      <alignment vertical="center" wrapText="1"/>
    </xf>
    <xf numFmtId="0" fontId="23" fillId="0" borderId="38" xfId="0" applyFont="1" applyBorder="1" applyNumberFormat="1">
      <alignment vertical="center" wrapText="1"/>
    </xf>
    <xf numFmtId="0" fontId="0" fillId="38" borderId="14" xfId="0" applyFont="1" applyFill="1" applyBorder="1" applyNumberFormat="1">
      <alignment horizontal="center" vertical="center" wrapText="1"/>
    </xf>
    <xf numFmtId="0" fontId="0" fillId="0" borderId="15" xfId="0" applyFont="1" applyBorder="1" applyNumberFormat="1">
      <alignment horizontal="center" vertical="center" wrapText="1"/>
    </xf>
    <xf numFmtId="167" fontId="0" fillId="42" borderId="15" xfId="0" applyFont="1" applyFill="1" applyBorder="1" applyNumberFormat="1">
      <alignment horizontal="left" vertical="center" wrapText="1"/>
      <protection locked="0"/>
    </xf>
    <xf numFmtId="167"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0" fontId="76" fillId="0" borderId="0" xfId="0" applyFont="1" applyNumberFormat="1">
      <alignment vertical="center" wrapText="1"/>
    </xf>
    <xf numFmtId="0" fontId="23" fillId="0" borderId="0" xfId="0" applyFont="1" applyNumberFormat="1">
      <alignment vertical="center" wrapText="1"/>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0" fontId="23" fillId="0" borderId="14" xfId="0" applyFont="1" applyBorder="1" applyNumberFormat="1">
      <alignment vertical="top" wrapText="1"/>
    </xf>
    <xf numFmtId="49" fontId="0" fillId="37" borderId="16" xfId="0" applyFont="1" applyFill="1" applyBorder="1" applyNumberFormat="1">
      <alignment horizontal="center" vertical="center" wrapText="1"/>
    </xf>
    <xf numFmtId="0" fontId="23" fillId="0" borderId="38" xfId="0" applyFont="1" applyBorder="1" applyNumberFormat="1">
      <alignment horizontal="left" vertical="top" wrapText="1"/>
    </xf>
    <xf numFmtId="4" fontId="0" fillId="42" borderId="14" xfId="0" applyFont="1" applyFill="1" applyBorder="1" applyNumberFormat="1">
      <alignment horizontal="right" vertical="center" wrapText="1"/>
      <protection locked="0"/>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49" fontId="23" fillId="0" borderId="0" xfId="0" applyFont="1" applyNumberFormat="1">
      <alignment vertical="top"/>
    </xf>
    <xf numFmtId="49" fontId="23" fillId="0" borderId="21" xfId="0" applyFont="1" applyBorder="1" applyNumberFormat="1">
      <alignment vertical="top"/>
    </xf>
    <xf numFmtId="0" fontId="22" fillId="0" borderId="0" xfId="0" applyFont="1" applyNumberFormat="1">
      <alignment horizontal="right" vertical="top" wrapText="1"/>
    </xf>
    <xf numFmtId="49" fontId="23" fillId="0" borderId="0" xfId="0" applyFont="1" applyNumberFormat="1">
      <alignment vertical="top" wrapText="1"/>
    </xf>
    <xf numFmtId="0" fontId="23" fillId="0" borderId="0" xfId="0" applyFont="1" applyNumberFormat="1">
      <alignment vertical="top" wrapText="1"/>
    </xf>
    <xf numFmtId="0" fontId="23" fillId="0" borderId="0" xfId="0" applyFont="1" applyNumberFormat="1">
      <alignment vertical="center" wrapText="1"/>
    </xf>
    <xf numFmtId="0" fontId="55" fillId="0" borderId="0" xfId="0" applyFont="1" applyNumberFormat="1">
      <alignment vertical="center"/>
    </xf>
    <xf numFmtId="49" fontId="23" fillId="0" borderId="0" xfId="0" applyFont="1" applyNumberFormat="1">
      <alignment vertical="top"/>
    </xf>
    <xf numFmtId="49" fontId="0" fillId="42" borderId="14" xfId="0" applyFont="1" applyFill="1" applyBorder="1" applyNumberFormat="1">
      <alignment horizontal="left" vertical="center" wrapText="1" indent="1"/>
      <protection locked="0"/>
    </xf>
    <xf numFmtId="0" fontId="23" fillId="0" borderId="0" xfId="0" applyFont="1" applyNumberFormat="1">
      <alignment vertical="center" wrapText="1"/>
    </xf>
    <xf numFmtId="0" fontId="69" fillId="0" borderId="0" xfId="0" applyFont="1" applyNumberFormat="1">
      <alignment vertical="center" wrapText="1"/>
    </xf>
    <xf numFmtId="0" fontId="23" fillId="37" borderId="14" xfId="0" applyFont="1" applyFill="1" applyBorder="1" applyNumberFormat="1">
      <alignment horizontal="center" vertical="center" wrapText="1"/>
    </xf>
    <xf numFmtId="0" fontId="0" fillId="0" borderId="14" xfId="0" applyFont="1" applyBorder="1" applyNumberFormat="1">
      <alignment horizontal="left" vertical="top"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0" borderId="21" xfId="0" applyFont="1" applyBorder="1" applyNumberFormat="1">
      <alignment vertical="center" wrapText="1"/>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49" fontId="23" fillId="0" borderId="0" xfId="0" applyFont="1" applyNumberFormat="1">
      <alignment vertical="center" wrapText="1"/>
    </xf>
    <xf numFmtId="0" fontId="88"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0" borderId="14" xfId="0" applyFont="1" applyBorder="1" applyNumberFormat="1">
      <alignment horizontal="center"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34" fillId="0" borderId="0" xfId="0" applyFont="1" applyNumberFormat="1">
      <alignment vertical="center" wrapText="1"/>
    </xf>
    <xf numFmtId="49" fontId="23" fillId="0" borderId="0" xfId="0" applyFont="1" applyNumberFormat="1">
      <alignment horizontal="center" vertical="top"/>
    </xf>
    <xf numFmtId="49" fontId="40" fillId="49" borderId="0" xfId="0" applyFont="1" applyFill="1" applyNumberFormat="1">
      <alignment horizontal="center" vertical="center"/>
    </xf>
    <xf numFmtId="49" fontId="23" fillId="0" borderId="14" xfId="0" applyFont="1" applyBorder="1" applyNumberFormat="1">
      <alignment horizontal="center" vertical="top"/>
    </xf>
    <xf numFmtId="49" fontId="54" fillId="49" borderId="0" xfId="0" applyFont="1" applyFill="1" applyNumberFormat="1">
      <alignment horizontal="center" vertical="center" wrapText="1"/>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horizontal="center" vertical="top"/>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0" fontId="23" fillId="0" borderId="16" xfId="0" applyFont="1" applyBorder="1" applyNumberFormat="1">
      <alignment horizontal="left" vertical="center"/>
    </xf>
    <xf numFmtId="49" fontId="23" fillId="0" borderId="46" xfId="0" applyFont="1" applyBorder="1" applyNumberFormat="1">
      <alignment vertical="center"/>
    </xf>
    <xf numFmtId="49" fontId="23" fillId="0" borderId="47" xfId="0" applyFont="1" applyBorder="1" applyNumberFormat="1">
      <alignment vertical="top"/>
    </xf>
    <xf numFmtId="49" fontId="23" fillId="0" borderId="18"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0" fontId="0" fillId="50" borderId="0" xfId="0" applyFont="1" applyFill="1" applyNumberFormat="1">
      <alignment horizontal="right" vertical="center"/>
    </xf>
    <xf numFmtId="49" fontId="40" fillId="0" borderId="0" xfId="0" applyFont="1" applyNumberFormat="1">
      <alignment horizontal="center" vertical="center"/>
    </xf>
    <xf numFmtId="49" fontId="0" fillId="0" borderId="0" xfId="0" applyFont="1" applyNumberFormat="1">
      <alignment vertical="top"/>
    </xf>
    <xf numFmtId="49" fontId="40" fillId="49" borderId="0" xfId="0" applyFont="1" applyFill="1" applyNumberFormat="1">
      <alignment horizontal="center" vertical="center"/>
    </xf>
    <xf numFmtId="0" fontId="23" fillId="0" borderId="0" xfId="0" applyFont="1" applyNumberFormat="1">
      <alignment vertical="center"/>
    </xf>
    <xf numFmtId="0" fontId="0" fillId="50"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3" fillId="0" borderId="16" xfId="0" applyFont="1" applyBorder="1" applyNumberFormat="1">
      <alignment vertical="top"/>
    </xf>
    <xf numFmtId="0" fontId="0" fillId="50" borderId="0" xfId="0" applyFont="1" applyFill="1" applyNumberFormat="1">
      <alignment horizontal="right" vertical="center"/>
    </xf>
    <xf numFmtId="0" fontId="0" fillId="0" borderId="0" xfId="0" applyFont="1" applyNumberFormat="1">
      <alignment horizontal="left" vertical="center"/>
    </xf>
    <xf numFmtId="0" fontId="0" fillId="50" borderId="0" xfId="0" applyFont="1" applyFill="1" applyNumberFormat="1">
      <alignment horizontal="right" vertical="center"/>
    </xf>
    <xf numFmtId="0" fontId="0" fillId="50" borderId="0" xfId="0" applyFont="1" applyFill="1" applyNumberFormat="1">
      <alignment horizontal="left" vertical="center"/>
    </xf>
    <xf numFmtId="0" fontId="59" fillId="50" borderId="0" xfId="0" applyFont="1" applyFill="1" applyNumberFormat="1">
      <alignment horizontal="left" vertical="center"/>
    </xf>
    <xf numFmtId="0" fontId="0" fillId="0" borderId="0" xfId="0" applyFont="1" applyNumberFormat="1">
      <alignment vertical="center"/>
    </xf>
    <xf numFmtId="0" fontId="23" fillId="0" borderId="0" xfId="0" applyFont="1" applyNumberFormat="1">
      <alignment vertical="top"/>
    </xf>
    <xf numFmtId="0" fontId="59" fillId="0" borderId="0" xfId="0" applyFont="1" applyNumberFormat="1">
      <alignment horizontal="left" vertical="center"/>
    </xf>
    <xf numFmtId="49" fontId="0" fillId="0" borderId="16" xfId="0" applyFont="1" applyBorder="1" applyNumberFormat="1">
      <alignment vertical="top"/>
    </xf>
    <xf numFmtId="49" fontId="23" fillId="0" borderId="14" xfId="0" applyFont="1" applyBorder="1" applyNumberFormat="1">
      <alignment horizontal="right" vertical="top"/>
    </xf>
    <xf numFmtId="0" fontId="0" fillId="0" borderId="16" xfId="0" applyFont="1" applyBorder="1" applyNumberFormat="1">
      <alignment horizontal="left" vertical="center"/>
    </xf>
    <xf numFmtId="0" fontId="59" fillId="50" borderId="0" xfId="0" applyFont="1" applyFill="1" applyNumberFormat="1">
      <alignment horizontal="left" vertical="center"/>
    </xf>
    <xf numFmtId="49" fontId="23" fillId="0" borderId="19" xfId="0" applyFont="1" applyBorder="1" applyNumberFormat="1">
      <alignment horizontal="righ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14" xfId="0" applyFont="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0" fontId="23" fillId="50" borderId="0" xfId="0" applyFont="1" applyFill="1" applyNumberFormat="1">
      <alignment horizontal="left" vertical="center"/>
    </xf>
    <xf numFmtId="0" fontId="0" fillId="50" borderId="12" xfId="0" applyFont="1" applyFill="1" applyBorder="1" applyNumberFormat="1">
      <alignment horizontal="center"/>
    </xf>
    <xf numFmtId="49" fontId="109" fillId="0" borderId="18" xfId="0" applyFont="1" applyBorder="1" applyNumberFormat="1">
      <alignment vertical="top"/>
    </xf>
    <xf numFmtId="49" fontId="0" fillId="0" borderId="0" xfId="0" applyFont="1" applyNumberFormat="1">
      <alignment vertical="center"/>
    </xf>
    <xf numFmtId="49" fontId="53" fillId="56" borderId="0" xfId="0" applyFont="1" applyFill="1" applyNumberFormat="1">
      <alignment vertical="center" wrapText="1"/>
    </xf>
    <xf numFmtId="0" fontId="0" fillId="0" borderId="12" xfId="0" applyFont="1" applyBorder="1" applyNumberFormat="1">
      <alignment horizontal="center"/>
    </xf>
    <xf numFmtId="49" fontId="23" fillId="50" borderId="0" xfId="0" applyFont="1" applyFill="1" applyNumberFormat="1">
      <alignment horizontal="center" vertical="center"/>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0" fontId="0" fillId="34" borderId="14" xfId="0" applyFont="1" applyFill="1" applyBorder="1" applyNumberFormat="1">
      <alignment horizontal="right" vertical="center"/>
    </xf>
    <xf numFmtId="49" fontId="23" fillId="34" borderId="25" xfId="0" applyFont="1" applyFill="1" applyBorder="1" applyNumberFormat="1">
      <alignment vertical="top"/>
    </xf>
    <xf numFmtId="49" fontId="23" fillId="34" borderId="14" xfId="0" applyFont="1" applyFill="1" applyBorder="1" applyNumberFormat="1">
      <alignment vertical="top"/>
    </xf>
    <xf numFmtId="49" fontId="23" fillId="0" borderId="16" xfId="0" applyFont="1" applyBorder="1" applyNumberFormat="1">
      <alignment horizontal="center" vertical="top"/>
    </xf>
    <xf numFmtId="49" fontId="23" fillId="0" borderId="15" xfId="0" applyFont="1" applyBorder="1" applyNumberFormat="1">
      <alignment horizontal="center" vertical="top"/>
    </xf>
    <xf numFmtId="0" fontId="23" fillId="38" borderId="32" xfId="0" applyFont="1" applyFill="1" applyBorder="1" applyNumberFormat="1">
      <alignment horizontal="center" vertical="top"/>
    </xf>
    <xf numFmtId="0" fontId="23" fillId="38" borderId="32" xfId="0" applyFont="1" applyFill="1" applyBorder="1" applyNumberFormat="1">
      <alignment horizontal="left" vertical="top"/>
    </xf>
    <xf numFmtId="0" fontId="0" fillId="0" borderId="34" xfId="0" applyFont="1" applyBorder="1" applyNumberFormat="1">
      <alignment horizontal="center" vertical="center"/>
    </xf>
    <xf numFmtId="0" fontId="0" fillId="0" borderId="36" xfId="0" applyFont="1" applyBorder="1" applyNumberFormat="1">
      <alignment horizontal="center" vertical="center"/>
    </xf>
    <xf numFmtId="0" fontId="23" fillId="0" borderId="14" xfId="0" applyFont="1" applyBorder="1" applyNumberFormat="1">
      <alignment horizontal="left" vertical="top"/>
    </xf>
    <xf numFmtId="49" fontId="23" fillId="0" borderId="0" xfId="0" applyFont="1" applyNumberFormat="1">
      <alignment horizontal="left" vertical="top"/>
    </xf>
    <xf numFmtId="0" fontId="0" fillId="0" borderId="33" xfId="0" applyFont="1" applyBorder="1" applyNumberFormat="1">
      <alignment horizontal="center" vertical="center"/>
    </xf>
    <xf numFmtId="0" fontId="0" fillId="0" borderId="35" xfId="0" applyFont="1" applyBorder="1" applyNumberFormat="1">
      <alignment horizontal="center" vertical="center"/>
    </xf>
    <xf numFmtId="49" fontId="40" fillId="49" borderId="16" xfId="0" applyFont="1" applyFill="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50" borderId="0" xfId="0" applyFont="1" applyFill="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xf>
    <xf numFmtId="49" fontId="0"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49" fontId="0" fillId="0" borderId="0" xfId="0" applyFont="1" applyNumberFormat="1">
      <alignment vertical="center" wrapText="1"/>
    </xf>
    <xf numFmtId="49" fontId="0" fillId="0" borderId="0" xfId="0" applyFont="1" applyNumberFormat="1">
      <alignment vertical="center"/>
    </xf>
    <xf numFmtId="49" fontId="23" fillId="0" borderId="0" xfId="0" applyFont="1" applyNumberFormat="1">
      <alignment vertical="top"/>
    </xf>
    <xf numFmtId="49"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0" fontId="23" fillId="42" borderId="14" xfId="0" applyFont="1" applyFill="1" applyBorder="1" applyNumberFormat="1">
      <alignment horizontal="center" vertical="center" wrapText="1"/>
      <protection locked="0"/>
    </xf>
    <xf numFmtId="0" fontId="54" fillId="37" borderId="0" xfId="0" applyFont="1" applyFill="1" applyNumberFormat="1"/>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8" borderId="14" xfId="0" applyFont="1" applyFill="1" applyBorder="1" applyNumberFormat="1">
      <alignment horizontal="left" vertical="center" wrapText="1"/>
    </xf>
    <xf numFmtId="0" fontId="73" fillId="37" borderId="0" xfId="0" applyFont="1" applyFill="1" applyNumberFormat="1"/>
    <xf numFmtId="0" fontId="23" fillId="37" borderId="14" xfId="0" applyFont="1" applyFill="1" applyBorder="1" applyNumberFormat="1">
      <alignment horizontal="left"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0" fontId="55"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0" fillId="37" borderId="19" xfId="0" applyFont="1" applyFill="1" applyBorder="1" applyNumberFormat="1">
      <alignment horizontal="left" vertical="top" wrapText="1"/>
    </xf>
    <xf numFmtId="0" fontId="72" fillId="37" borderId="0" xfId="0" applyFont="1" applyFill="1" applyNumberFormat="1"/>
    <xf numFmtId="0" fontId="77" fillId="37" borderId="0" xfId="0" applyFont="1" applyFill="1" applyNumberFormat="1">
      <alignment vertical="center" wrapText="1"/>
    </xf>
    <xf numFmtId="0" fontId="55" fillId="37" borderId="14" xfId="0" applyFont="1" applyFill="1" applyBorder="1" applyNumberFormat="1">
      <alignment horizontal="center" vertical="center"/>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0" fontId="89" fillId="37" borderId="0" xfId="0" applyFont="1" applyFill="1" applyNumberFormat="1"/>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0" fontId="23" fillId="37" borderId="14" xfId="0" applyFont="1" applyFill="1" applyBorder="1" applyNumberFormat="1">
      <alignment vertical="top"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14" fontId="23" fillId="42" borderId="14" xfId="0" applyFont="1" applyFill="1" applyBorder="1" applyNumberFormat="1">
      <alignment horizontal="left" vertical="center" wrapText="1" indent="1"/>
      <protection locked="0"/>
    </xf>
    <xf numFmtId="0" fontId="117" fillId="0" borderId="0" xfId="0" applyFont="1" applyNumberFormat="1">
      <alignment vertical="center"/>
    </xf>
    <xf numFmtId="0" fontId="45" fillId="0" borderId="0" xfId="0" applyFont="1" applyNumberFormat="1">
      <alignment horizontal="center" vertical="center" wrapText="1"/>
    </xf>
    <xf numFmtId="4" fontId="23" fillId="0" borderId="19" xfId="0" applyFont="1" applyBorder="1" applyNumberFormat="1">
      <alignment horizontal="center" vertical="center" wrapText="1"/>
    </xf>
    <xf numFmtId="165" fontId="23" fillId="0" borderId="39" xfId="0" applyFont="1" applyBorder="1" applyNumberFormat="1">
      <alignment horizontal="center" vertical="center" wrapText="1"/>
    </xf>
    <xf numFmtId="165"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14" fontId="23" fillId="43" borderId="14" xfId="0" applyFont="1" applyFill="1" applyBorder="1" applyNumberFormat="1">
      <alignment horizontal="left" vertical="center" wrapText="1"/>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0" fillId="40" borderId="31" xfId="0" applyFont="1" applyFill="1" applyBorder="1" applyNumberFormat="1">
      <alignment horizontal="right" vertical="center" wrapText="1"/>
    </xf>
    <xf numFmtId="0" fontId="117" fillId="0" borderId="0" xfId="0" applyFont="1" applyNumberFormat="1">
      <alignment vertical="center" wrapText="1"/>
    </xf>
    <xf numFmtId="49" fontId="0" fillId="0" borderId="0" xfId="0" applyFont="1" applyNumberFormat="1">
      <alignment vertical="top"/>
    </xf>
    <xf numFmtId="0" fontId="55" fillId="0" borderId="0" xfId="0" applyFont="1" applyNumberFormat="1">
      <alignment vertical="center"/>
    </xf>
    <xf numFmtId="0" fontId="44"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38" borderId="14" xfId="0" applyFont="1" applyFill="1" applyBorder="1" applyNumberFormat="1">
      <alignment horizontal="left" vertical="center" wrapText="1" indent="1"/>
    </xf>
    <xf numFmtId="167" fontId="0" fillId="42" borderId="17" xfId="0" applyFont="1" applyFill="1" applyBorder="1" applyNumberFormat="1">
      <alignment horizontal="left" vertical="center" wrapText="1" indent="1"/>
      <protection locked="0"/>
    </xf>
    <xf numFmtId="168" fontId="23" fillId="42" borderId="14" xfId="0" applyFont="1" applyFill="1" applyBorder="1" applyNumberFormat="1">
      <alignment horizontal="left" vertical="center" wrapText="1" indent="1"/>
      <protection locked="0"/>
    </xf>
    <xf numFmtId="167" fontId="55" fillId="0" borderId="0" xfId="0" applyFont="1" applyNumberFormat="1">
      <alignment horizontal="center" vertical="center" wrapText="1"/>
    </xf>
    <xf numFmtId="165" fontId="23" fillId="0" borderId="19"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7" xfId="0" applyFont="1" applyBorder="1" applyNumberFormat="1">
      <alignment horizontal="center" vertical="center" wrapText="1"/>
    </xf>
    <xf numFmtId="165" fontId="23" fillId="0" borderId="15" xfId="0" applyFont="1" applyBorder="1" applyNumberFormat="1">
      <alignment horizontal="center" vertical="center" wrapText="1"/>
    </xf>
    <xf numFmtId="4" fontId="23" fillId="0" borderId="38" xfId="0" applyFont="1" applyBorder="1" applyNumberFormat="1">
      <alignment horizontal="center" vertical="center" wrapText="1"/>
    </xf>
    <xf numFmtId="165" fontId="23" fillId="0" borderId="25" xfId="0" applyFont="1" applyBorder="1" applyNumberFormat="1">
      <alignment horizontal="center" vertical="center" wrapText="1"/>
    </xf>
    <xf numFmtId="165" fontId="23" fillId="0" borderId="25"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25" xfId="0" applyFont="1" applyFill="1" applyBorder="1" applyNumberFormat="1">
      <alignment horizontal="left" vertical="center" wrapText="1" indent="1"/>
    </xf>
    <xf numFmtId="14" fontId="23" fillId="42" borderId="25" xfId="0" applyFont="1" applyFill="1" applyBorder="1" applyNumberFormat="1">
      <alignment horizontal="left" vertical="center" wrapText="1" indent="1"/>
      <protection locked="0"/>
    </xf>
    <xf numFmtId="0" fontId="23" fillId="0" borderId="31" xfId="0" applyFont="1" applyBorder="1" applyNumberFormat="1">
      <alignment horizontal="left" vertical="top" wrapText="1"/>
    </xf>
    <xf numFmtId="49" fontId="0" fillId="0" borderId="0" xfId="0" applyFont="1" applyNumberFormat="1">
      <alignment vertical="top"/>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left" vertical="center" wrapText="1" indent="1"/>
    </xf>
    <xf numFmtId="165" fontId="23" fillId="0" borderId="25" xfId="0" applyFont="1" applyBorder="1" applyNumberFormat="1">
      <alignment horizontal="center" vertical="center" wrapText="1"/>
    </xf>
    <xf numFmtId="0" fontId="23" fillId="0" borderId="25" xfId="0" applyFont="1" applyBorder="1" applyNumberFormat="1">
      <alignment horizontal="left" vertical="center" wrapText="1" indent="1"/>
    </xf>
    <xf numFmtId="14" fontId="23" fillId="0" borderId="25" xfId="0" applyFont="1" applyBorder="1" applyNumberFormat="1">
      <alignment horizontal="left" vertical="center" wrapText="1" indent="1"/>
    </xf>
    <xf numFmtId="0" fontId="45" fillId="0" borderId="0" xfId="0" applyFont="1" applyNumberFormat="1">
      <alignment horizontal="center" vertical="center" wrapText="1"/>
    </xf>
    <xf numFmtId="0" fontId="55" fillId="0" borderId="0" xfId="0" applyFont="1" applyNumberFormat="1">
      <alignment vertical="center"/>
    </xf>
    <xf numFmtId="0" fontId="23" fillId="38" borderId="14" xfId="0" applyFont="1" applyFill="1" applyBorder="1" applyNumberFormat="1">
      <alignment horizontal="left" vertical="center" wrapTex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0" borderId="16"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34" fillId="40" borderId="29" xfId="0" applyFont="1" applyFill="1" applyBorder="1" applyNumberFormat="1">
      <alignment horizontal="left" vertical="center" wrapText="1"/>
    </xf>
    <xf numFmtId="49" fontId="34" fillId="40" borderId="31" xfId="0" applyFont="1" applyFill="1" applyBorder="1" applyNumberFormat="1">
      <alignment horizontal="left" vertical="center" wrapText="1"/>
    </xf>
    <xf numFmtId="0" fontId="23" fillId="37" borderId="38" xfId="0" applyFont="1" applyFill="1" applyBorder="1" applyNumberFormat="1">
      <alignment vertical="center" wrapText="1"/>
    </xf>
    <xf numFmtId="0" fontId="55" fillId="0" borderId="0" xfId="0" applyFont="1" applyNumberFormat="1">
      <alignment horizontal="center"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14"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7" xfId="0" applyFont="1" applyBorder="1" applyNumberFormat="1">
      <alignment horizontal="left" vertical="center" wrapText="1"/>
    </xf>
    <xf numFmtId="0" fontId="50" fillId="0" borderId="0" xfId="0" applyFont="1" applyNumberFormat="1">
      <alignment horizontal="center" vertical="center" wrapText="1"/>
    </xf>
    <xf numFmtId="0" fontId="23" fillId="0" borderId="0" xfId="0" applyFont="1" applyNumberFormat="1">
      <alignment horizontal="center" vertical="center" wrapText="1"/>
    </xf>
    <xf numFmtId="165" fontId="53" fillId="0" borderId="21" xfId="0" applyFont="1" applyBorder="1" applyNumberFormat="1">
      <alignment horizontal="center" vertical="center" wrapText="1"/>
    </xf>
    <xf numFmtId="165" fontId="53" fillId="0" borderId="21" xfId="0" applyFont="1" applyBorder="1" applyNumberFormat="1">
      <alignment horizontal="center" vertical="center" wrapText="1"/>
    </xf>
    <xf numFmtId="165" fontId="53" fillId="0" borderId="22" xfId="0" applyFont="1" applyBorder="1" applyNumberFormat="1">
      <alignment horizontal="center" vertical="center" wrapText="1"/>
    </xf>
    <xf numFmtId="0" fontId="55" fillId="0" borderId="0" xfId="0" applyFont="1" applyNumberFormat="1">
      <alignment horizontal="center" vertical="center"/>
    </xf>
    <xf numFmtId="165" fontId="23" fillId="0" borderId="14" xfId="0" applyFont="1" applyBorder="1" applyNumberFormat="1">
      <alignment horizontal="center" vertical="center" wrapText="1"/>
    </xf>
    <xf numFmtId="165" fontId="23" fillId="0" borderId="38" xfId="0" applyFont="1" applyBorder="1" applyNumberFormat="1">
      <alignment horizontal="center" vertical="center" wrapText="1"/>
    </xf>
    <xf numFmtId="165" fontId="23" fillId="0" borderId="14" xfId="0" applyFont="1" applyBorder="1" applyNumberFormat="1">
      <alignment horizontal="center"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43" borderId="32" xfId="0" applyFont="1" applyFill="1" applyBorder="1" applyNumberFormat="1">
      <alignment horizontal="left" vertical="center" wrapText="1"/>
    </xf>
    <xf numFmtId="0" fontId="23" fillId="0" borderId="25" xfId="0" applyFont="1" applyBorder="1" applyNumberFormat="1">
      <alignment horizontal="center" vertical="center" wrapText="1"/>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23" fillId="0" borderId="14" xfId="0" applyFont="1" applyBorder="1" applyNumberFormat="1">
      <alignment horizontal="left" vertical="top" wrapText="1"/>
    </xf>
    <xf numFmtId="49" fontId="23" fillId="43" borderId="25" xfId="0" applyFont="1" applyFill="1" applyBorder="1" applyNumberFormat="1">
      <alignment horizontal="left" vertical="center" wrapText="1"/>
    </xf>
    <xf numFmtId="49" fontId="129" fillId="0" borderId="14" xfId="0" applyFont="1" applyBorder="1" applyNumberFormat="1">
      <alignment horizontal="left" vertical="top"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37" borderId="0" xfId="0" applyFont="1" applyFill="1" applyNumberFormat="1"/>
    <xf numFmtId="49" fontId="40"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xf>
    <xf numFmtId="0" fontId="51" fillId="37" borderId="0" xfId="0" applyFont="1" applyFill="1" applyNumberFormat="1">
      <alignment horizontal="center" vertical="center" wrapText="1"/>
    </xf>
    <xf numFmtId="0" fontId="40" fillId="37" borderId="0" xfId="0" applyFont="1" applyFill="1" applyNumberFormat="1"/>
    <xf numFmtId="0" fontId="23" fillId="37" borderId="14" xfId="0" applyFont="1" applyFill="1" applyBorder="1" applyNumberFormat="1">
      <alignment horizontal="center" vertical="center" wrapTex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top"/>
    </xf>
    <xf numFmtId="49" fontId="55" fillId="0" borderId="0" xfId="0" applyFont="1" applyNumberFormat="1">
      <alignment vertical="top"/>
    </xf>
    <xf numFmtId="49" fontId="23" fillId="0" borderId="0" xfId="0" applyFont="1" applyNumberFormat="1">
      <alignment vertical="top"/>
    </xf>
    <xf numFmtId="49" fontId="48" fillId="40" borderId="17" xfId="0" applyFont="1" applyFill="1" applyBorder="1" applyNumberFormat="1">
      <alignment horizontal="left" vertical="center"/>
    </xf>
    <xf numFmtId="49" fontId="52" fillId="40" borderId="17" xfId="0" applyFont="1" applyFill="1" applyBorder="1" applyNumberFormat="1">
      <alignment horizontal="center" vertical="top"/>
    </xf>
    <xf numFmtId="49" fontId="23" fillId="0" borderId="0" xfId="0" applyFont="1" applyNumberFormat="1">
      <alignment horizontal="left" vertical="top" wrapText="1"/>
    </xf>
    <xf numFmtId="49" fontId="23" fillId="0" borderId="0" xfId="0" applyFont="1" applyNumberFormat="1">
      <alignment vertical="top"/>
    </xf>
    <xf numFmtId="49" fontId="45" fillId="0" borderId="0" xfId="0" applyFont="1" applyNumberFormat="1">
      <alignment horizontal="center" vertical="center"/>
    </xf>
    <xf numFmtId="49" fontId="23" fillId="0" borderId="0" xfId="0" applyFont="1" applyNumberFormat="1">
      <alignment vertical="top"/>
    </xf>
    <xf numFmtId="0" fontId="45" fillId="37" borderId="0" xfId="0" applyFont="1" applyFill="1" applyNumberFormat="1">
      <alignment horizontal="center" vertical="center"/>
    </xf>
    <xf numFmtId="0" fontId="23" fillId="37" borderId="0" xfId="0" applyFont="1" applyFill="1" applyNumberFormat="1"/>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0" fontId="69" fillId="0" borderId="0" xfId="0" applyFont="1" applyNumberFormat="1"/>
    <xf numFmtId="0" fontId="23" fillId="0" borderId="14" xfId="0" applyFont="1" applyBorder="1" applyNumberFormat="1">
      <alignment horizontal="center" vertical="center" wrapText="1"/>
    </xf>
    <xf numFmtId="0" fontId="23" fillId="37" borderId="19" xfId="0" applyFont="1" applyFill="1" applyBorder="1" applyNumberFormat="1">
      <alignment horizontal="center" vertical="center"/>
    </xf>
    <xf numFmtId="49" fontId="23" fillId="0" borderId="19" xfId="0" applyFont="1" applyBorder="1" applyNumberFormat="1">
      <alignment horizontal="left"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49" fontId="53" fillId="0" borderId="0" xfId="0" applyFont="1" applyNumberFormat="1">
      <alignment horizontal="right" vertical="top"/>
    </xf>
    <xf numFmtId="49" fontId="23" fillId="0" borderId="0" xfId="0" applyFont="1" applyNumberFormat="1">
      <alignment horizontal="left" vertical="top" wrapText="1"/>
    </xf>
    <xf numFmtId="49" fontId="53" fillId="0" borderId="0" xfId="0" applyFont="1" applyNumberFormat="1">
      <alignment vertical="top"/>
    </xf>
    <xf numFmtId="0" fontId="23" fillId="0" borderId="0" xfId="0" applyFont="1" applyNumberFormat="1"/>
    <xf numFmtId="0" fontId="45" fillId="0" borderId="0" xfId="0" applyFont="1" applyNumberFormat="1">
      <alignment horizontal="center" vertical="center"/>
    </xf>
    <xf numFmtId="0" fontId="23" fillId="0" borderId="0" xfId="0" applyFont="1" applyNumberFormat="1"/>
    <xf numFmtId="49" fontId="23" fillId="0" borderId="14" xfId="0" applyFont="1" applyBorder="1" applyNumberFormat="1">
      <alignment horizontal="left" vertical="center" wrapText="1"/>
    </xf>
    <xf numFmtId="49" fontId="48" fillId="40" borderId="15" xfId="0" applyFont="1" applyFill="1" applyBorder="1" applyNumberFormat="1">
      <alignment horizontal="left" vertical="center"/>
    </xf>
    <xf numFmtId="49" fontId="0" fillId="0" borderId="17" xfId="0" applyFont="1" applyBorder="1" applyNumberFormat="1">
      <alignment horizontal="left" vertical="center" indent="1"/>
    </xf>
    <xf numFmtId="49" fontId="70" fillId="0" borderId="0" xfId="0" applyFont="1" applyNumberFormat="1">
      <alignment vertical="top"/>
    </xf>
    <xf numFmtId="49" fontId="0" fillId="0" borderId="27" xfId="0" applyFont="1" applyBorder="1" applyNumberFormat="1">
      <alignment horizontal="center" vertical="center"/>
    </xf>
    <xf numFmtId="49" fontId="0" fillId="0" borderId="0" xfId="0" applyFont="1" applyNumberFormat="1">
      <alignment vertical="top"/>
    </xf>
    <xf numFmtId="49" fontId="0" fillId="41" borderId="0" xfId="0" applyFont="1" applyFill="1" applyNumberFormat="1">
      <alignment vertical="top"/>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49" fontId="23" fillId="39" borderId="14" xfId="0" applyFont="1" applyFill="1" applyBorder="1" applyNumberFormat="1">
      <alignment horizontal="left" vertical="center" wrapText="1"/>
      <protection locked="0"/>
    </xf>
    <xf numFmtId="0" fontId="50" fillId="0" borderId="0" xfId="0" applyFont="1" applyNumberFormat="1">
      <alignment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54" fillId="0" borderId="0" xfId="0" applyFont="1" applyNumberFormat="1">
      <alignment horizontal="center" vertical="center" wrapText="1"/>
    </xf>
    <xf numFmtId="0" fontId="54" fillId="0" borderId="14" xfId="0" applyFont="1" applyBorder="1" applyNumberFormat="1">
      <alignment horizontal="center" vertical="center" wrapText="1"/>
    </xf>
    <xf numFmtId="14" fontId="23" fillId="43" borderId="14" xfId="0" applyFont="1" applyFill="1" applyBorder="1" applyNumberFormat="1">
      <alignment horizontal="left" vertical="center" wrapText="1" indent="1"/>
    </xf>
    <xf numFmtId="49" fontId="23" fillId="38" borderId="14" xfId="0" applyFont="1" applyFill="1" applyBorder="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0" fillId="0" borderId="0" xfId="0" applyFont="1" applyNumberFormat="1">
      <alignment vertical="center"/>
    </xf>
    <xf numFmtId="0" fontId="44" fillId="0" borderId="26" xfId="0" applyFont="1" applyBorder="1" applyNumberFormat="1">
      <alignment horizontal="center" vertical="center" wrapText="1"/>
    </xf>
    <xf numFmtId="14" fontId="86" fillId="0" borderId="19" xfId="0" applyFont="1" applyBorder="1" applyNumberFormat="1">
      <alignment horizontal="center" vertical="center" wrapText="1"/>
    </xf>
    <xf numFmtId="0" fontId="80" fillId="0" borderId="14" xfId="0" applyFont="1" applyBorder="1" applyNumberFormat="1">
      <alignment horizontal="left" vertical="center" wrapText="1" indent="1"/>
    </xf>
    <xf numFmtId="0" fontId="86"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0" fontId="79" fillId="0" borderId="0" xfId="0" applyFont="1" applyNumberFormat="1">
      <alignment vertical="center"/>
    </xf>
    <xf numFmtId="14" fontId="86" fillId="0" borderId="38" xfId="0" applyFont="1" applyBorder="1" applyNumberFormat="1">
      <alignment horizontal="center" vertical="center" wrapText="1"/>
    </xf>
    <xf numFmtId="0" fontId="80" fillId="0" borderId="14" xfId="0" applyFont="1" applyBorder="1" applyNumberFormat="1">
      <alignment horizontal="left" vertical="top" indent="1"/>
    </xf>
    <xf numFmtId="49" fontId="0" fillId="0" borderId="14" xfId="0" applyFont="1" applyBorder="1" applyNumberFormat="1">
      <alignment vertical="top"/>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0" fontId="44" fillId="0" borderId="14" xfId="0" applyFont="1" applyBorder="1" applyNumberFormat="1">
      <alignment horizontal="center" vertical="center" wrapText="1"/>
    </xf>
    <xf numFmtId="49" fontId="23" fillId="0" borderId="15"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23" fillId="43" borderId="16" xfId="0" applyFont="1" applyFill="1" applyBorder="1" applyNumberFormat="1">
      <alignment horizontal="left" vertical="center" wrapText="1"/>
    </xf>
    <xf numFmtId="49" fontId="0" fillId="0" borderId="14" xfId="0" applyFont="1" applyBorder="1" applyNumberFormat="1">
      <alignment vertical="top"/>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0" fillId="0" borderId="0" xfId="0" applyFont="1" applyNumberFormat="1">
      <alignment vertical="top"/>
    </xf>
    <xf numFmtId="49" fontId="23" fillId="0" borderId="0" xfId="0" applyFont="1" applyNumberFormat="1">
      <alignment vertical="top"/>
    </xf>
    <xf numFmtId="0" fontId="45" fillId="37" borderId="0" xfId="0" applyFont="1" applyFill="1" applyNumberFormat="1">
      <alignment vertical="top" wrapText="1"/>
    </xf>
    <xf numFmtId="0" fontId="23" fillId="37" borderId="16" xfId="0" applyFont="1" applyFill="1" applyBorder="1" applyNumberFormat="1">
      <alignment horizontal="center" vertical="center" wrapText="1"/>
    </xf>
    <xf numFmtId="0" fontId="55" fillId="37" borderId="14" xfId="0" applyFont="1" applyFill="1" applyBorder="1" applyNumberFormat="1">
      <alignment horizontal="center" vertical="center" wrapText="1"/>
    </xf>
    <xf numFmtId="14" fontId="23" fillId="43" borderId="31" xfId="0" applyFont="1" applyFill="1" applyBorder="1" applyNumberFormat="1">
      <alignment horizontal="left" vertical="center" wrapText="1"/>
    </xf>
    <xf numFmtId="49" fontId="127" fillId="42" borderId="14" xfId="0" applyFont="1" applyFill="1" applyBorder="1" applyNumberFormat="1">
      <alignment horizontal="left" vertical="center" wrapText="1"/>
      <protection locked="0"/>
    </xf>
    <xf numFmtId="49" fontId="0" fillId="0" borderId="14" xfId="0" applyFont="1" applyBorder="1" applyNumberFormat="1">
      <alignment horizontal="center" vertical="center" wrapText="1"/>
    </xf>
    <xf numFmtId="0" fontId="23" fillId="43" borderId="16" xfId="0" applyFont="1" applyFill="1" applyBorder="1" applyNumberFormat="1">
      <alignment horizontal="left" vertical="center" wrapText="1"/>
    </xf>
    <xf numFmtId="0" fontId="0" fillId="0" borderId="25" xfId="0" applyFont="1" applyBorder="1" applyNumberFormat="1">
      <alignment horizontal="center" vertical="center" wrapText="1"/>
    </xf>
    <xf numFmtId="49" fontId="23" fillId="0" borderId="0" xfId="0" applyFont="1" applyNumberFormat="1">
      <alignment vertical="top"/>
    </xf>
    <xf numFmtId="49" fontId="45" fillId="0" borderId="0" xfId="0" applyFont="1" applyNumberFormat="1">
      <alignment horizontal="center" vertical="center" wrapText="1"/>
    </xf>
    <xf numFmtId="167"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49"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45" fillId="0" borderId="26" xfId="0" applyFont="1" applyBorder="1" applyNumberFormat="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167" fontId="0" fillId="42" borderId="14" xfId="0" applyFont="1" applyFill="1" applyBorder="1" applyNumberFormat="1">
      <alignment horizontal="center" vertical="top" wrapText="1"/>
      <protection locked="0"/>
    </xf>
    <xf numFmtId="167"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0" fontId="23" fillId="39" borderId="14" xfId="0" applyFont="1" applyFill="1" applyBorder="1" applyNumberFormat="1">
      <alignment horizontal="left" vertical="top" wrapText="1"/>
      <protection locked="0"/>
    </xf>
    <xf numFmtId="49" fontId="23" fillId="43" borderId="14" xfId="0" applyFont="1" applyFill="1" applyBorder="1" applyNumberFormat="1">
      <alignment horizontal="center" vertical="top" wrapText="1"/>
    </xf>
    <xf numFmtId="0" fontId="23" fillId="0" borderId="38" xfId="0" applyFont="1" applyBorder="1" applyNumberFormat="1">
      <alignment horizontal="center" vertical="center" wrapText="1"/>
    </xf>
    <xf numFmtId="0" fontId="23" fillId="0" borderId="14" xfId="0" applyFont="1" applyBorder="1" applyNumberFormat="1">
      <alignment horizontal="center" vertical="center" wrapText="1"/>
    </xf>
    <xf numFmtId="49" fontId="23" fillId="42" borderId="19" xfId="0" applyFont="1" applyFill="1" applyBorder="1" applyNumberFormat="1">
      <alignment horizontal="left" vertical="center" wrapText="1" indent="1"/>
      <protection locked="0"/>
    </xf>
    <xf numFmtId="0" fontId="23" fillId="0" borderId="26" xfId="0" applyFont="1" applyBorder="1" applyNumberFormat="1">
      <alignment vertical="top" wrapText="1"/>
    </xf>
    <xf numFmtId="49" fontId="23" fillId="43" borderId="25" xfId="0" applyFont="1" applyFill="1" applyBorder="1" applyNumberFormat="1">
      <alignment horizontal="center" vertical="top" wrapText="1"/>
    </xf>
    <xf numFmtId="49" fontId="0" fillId="42"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6" xfId="0" applyFont="1" applyFill="1" applyBorder="1" applyNumberFormat="1">
      <alignment horizontal="center" vertical="top" wrapText="1"/>
    </xf>
    <xf numFmtId="49" fontId="23" fillId="0" borderId="38" xfId="0" applyFont="1" applyBorder="1" applyNumberFormat="1">
      <alignment horizontal="center" vertical="top" wrapText="1"/>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6" xfId="0" applyFont="1" applyBorder="1" applyNumberFormat="1">
      <alignment vertical="center" wrapText="1"/>
    </xf>
    <xf numFmtId="0" fontId="23" fillId="0" borderId="57" xfId="0" applyFont="1" applyBorder="1" applyNumberFormat="1">
      <alignment vertical="center" wrapText="1"/>
    </xf>
    <xf numFmtId="0" fontId="23" fillId="0" borderId="40" xfId="0" applyFont="1" applyBorder="1" applyNumberFormat="1">
      <alignment vertical="center" wrapText="1"/>
    </xf>
    <xf numFmtId="49" fontId="23" fillId="38" borderId="14" xfId="0" applyFont="1" applyFill="1" applyBorder="1" applyNumberFormat="1">
      <alignment horizontal="center"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23" fillId="43" borderId="16" xfId="0" applyFont="1" applyFill="1" applyBorder="1" applyNumberFormat="1">
      <alignment horizontal="center" vertical="center" wrapText="1"/>
    </xf>
    <xf numFmtId="49" fontId="110" fillId="40" borderId="45" xfId="0" applyFont="1" applyFill="1" applyBorder="1" applyNumberFormat="1">
      <alignment horizontal="left" vertical="center" indent="1"/>
    </xf>
    <xf numFmtId="49" fontId="99" fillId="40" borderId="45" xfId="0" applyFont="1" applyFill="1" applyBorder="1" applyNumberFormat="1">
      <alignment horizontal="center" vertical="center"/>
    </xf>
    <xf numFmtId="3" fontId="23" fillId="42" borderId="14" xfId="0" applyFont="1" applyFill="1" applyBorder="1" applyNumberFormat="1">
      <alignment horizontal="center" vertical="center" wrapText="1"/>
      <protection locked="0"/>
    </xf>
    <xf numFmtId="49" fontId="128" fillId="0" borderId="15" xfId="0" applyFont="1" applyBorder="1" applyNumberFormat="1">
      <alignment horizontal="center" vertical="center" wrapText="1"/>
    </xf>
    <xf numFmtId="0" fontId="53" fillId="0" borderId="14" xfId="0" applyFont="1" applyBorder="1" applyNumberFormat="1">
      <alignment horizontal="center" vertical="center"/>
    </xf>
    <xf numFmtId="49" fontId="23" fillId="43" borderId="19"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23" fillId="43" borderId="38" xfId="0" applyFont="1" applyFill="1" applyBorder="1" applyNumberFormat="1">
      <alignment horizontal="left" vertical="center" wrapText="1" indent="1"/>
    </xf>
    <xf numFmtId="49" fontId="23" fillId="38" borderId="14" xfId="0" applyFont="1" applyFill="1" applyBorder="1" applyNumberFormat="1">
      <alignment horizontal="left" vertical="center" wrapText="1"/>
    </xf>
    <xf numFmtId="49" fontId="128" fillId="0" borderId="0" xfId="0" applyFont="1" applyNumberFormat="1">
      <alignment horizontal="center" vertical="top" wrapText="1"/>
    </xf>
    <xf numFmtId="0" fontId="53" fillId="0" borderId="14" xfId="0" applyFont="1" applyBorder="1" applyNumberFormat="1">
      <alignment horizontal="center" vertical="center"/>
    </xf>
    <xf numFmtId="0" fontId="53" fillId="43" borderId="14" xfId="0" applyFont="1" applyFill="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43" borderId="25" xfId="0" applyFont="1" applyFill="1" applyBorder="1" applyNumberFormat="1">
      <alignment horizontal="left" vertical="center" wrapText="1" indent="1"/>
    </xf>
    <xf numFmtId="49" fontId="48" fillId="40" borderId="17" xfId="0" applyFont="1" applyFill="1" applyBorder="1" applyNumberFormat="1">
      <alignment horizontal="left" vertical="center" inden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49" fontId="23" fillId="38" borderId="77" xfId="0" applyFont="1" applyFill="1" applyBorder="1" applyNumberFormat="1">
      <alignment horizontal="center" vertical="center" wrapText="1"/>
    </xf>
    <xf numFmtId="0" fontId="0" fillId="40" borderId="52" xfId="0" applyFont="1" applyFill="1" applyBorder="1" applyNumberFormat="1">
      <alignment horizontal="left" vertical="center"/>
    </xf>
    <xf numFmtId="49" fontId="48" fillId="40" borderId="53" xfId="0" applyFont="1" applyFill="1" applyBorder="1" applyNumberFormat="1">
      <alignment horizontal="left" vertical="center" inden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0" fontId="23" fillId="40" borderId="55" xfId="0" applyFont="1" applyFill="1" applyBorder="1" applyNumberFormat="1">
      <alignment vertical="center" wrapText="1"/>
    </xf>
    <xf numFmtId="49" fontId="0" fillId="38" borderId="38" xfId="0" applyFont="1" applyFill="1" applyBorder="1" applyNumberFormat="1">
      <alignment vertical="top"/>
    </xf>
    <xf numFmtId="49" fontId="23" fillId="43" borderId="19" xfId="0" applyFont="1" applyFill="1" applyBorder="1" applyNumberFormat="1">
      <alignment vertical="center" wrapText="1"/>
    </xf>
    <xf numFmtId="49" fontId="0" fillId="42" borderId="38" xfId="0" applyFont="1" applyFill="1" applyBorder="1" applyNumberFormat="1">
      <alignment vertical="top"/>
      <protection locked="0"/>
    </xf>
    <xf numFmtId="49" fontId="128" fillId="0" borderId="14" xfId="0" applyFont="1" applyBorder="1" applyNumberFormat="1">
      <alignment horizontal="center" vertical="center" wrapText="1"/>
    </xf>
    <xf numFmtId="49" fontId="0" fillId="42" borderId="19" xfId="0" applyFont="1" applyFill="1" applyBorder="1" applyNumberFormat="1">
      <alignment vertical="top"/>
      <protection locked="0"/>
    </xf>
    <xf numFmtId="14" fontId="23" fillId="43" borderId="38" xfId="0" applyFont="1" applyFill="1" applyBorder="1" applyNumberFormat="1">
      <alignment horizontal="left" vertical="center" wrapText="1" inden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0" fontId="53" fillId="0" borderId="15" xfId="0" applyFont="1" applyBorder="1" applyNumberFormat="1">
      <alignment horizontal="center" vertical="center"/>
    </xf>
    <xf numFmtId="0" fontId="108" fillId="0" borderId="49" xfId="0" applyFont="1" applyBorder="1" applyNumberFormat="1">
      <alignment horizontal="left" vertical="center" indent="1"/>
    </xf>
    <xf numFmtId="49" fontId="23" fillId="0" borderId="58" xfId="0" applyFont="1" applyBorder="1" applyNumberFormat="1">
      <alignment horizontal="center" vertical="center"/>
    </xf>
    <xf numFmtId="0" fontId="23" fillId="0" borderId="58" xfId="0" applyFont="1" applyBorder="1" applyNumberFormat="1">
      <alignment horizontal="right" vertical="center"/>
    </xf>
    <xf numFmtId="0" fontId="23" fillId="0" borderId="58"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49" fontId="0" fillId="0" borderId="0" xfId="0" applyFont="1" applyNumberFormat="1">
      <alignment vertical="top"/>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39" borderId="14" xfId="0" applyFont="1" applyFill="1" applyBorder="1" applyNumberFormat="1">
      <alignment horizontal="left" vertical="center"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9"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48" fillId="0" borderId="14" xfId="0" applyFont="1" applyBorder="1" applyNumberFormat="1">
      <alignment horizontal="left" vertical="center" indent="1"/>
    </xf>
    <xf numFmtId="0" fontId="54" fillId="0" borderId="0" xfId="0" applyFont="1" applyNumberFormat="1">
      <alignment horizontal="center" vertical="top"/>
    </xf>
    <xf numFmtId="49" fontId="23" fillId="0" borderId="25" xfId="0" applyFont="1" applyBorder="1" applyNumberFormat="1">
      <alignment horizontal="center" vertical="center" wrapText="1"/>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49" fontId="55" fillId="0" borderId="15" xfId="0" applyFont="1" applyBorder="1" applyNumberFormat="1">
      <alignment horizontal="left" vertical="center" indent="1"/>
    </xf>
    <xf numFmtId="0" fontId="55" fillId="0" borderId="14" xfId="0" applyFont="1" applyBorder="1" applyNumberFormat="1">
      <alignment horizontal="left" vertical="center" indent="1"/>
    </xf>
    <xf numFmtId="49" fontId="0" fillId="0" borderId="21" xfId="0" applyFont="1" applyBorder="1" applyNumberFormat="1">
      <alignment vertical="top"/>
    </xf>
    <xf numFmtId="49" fontId="45" fillId="0" borderId="19"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0" fillId="0" borderId="15" xfId="0" applyFont="1" applyBorder="1" applyNumberFormat="1">
      <alignment horizontal="center" vertical="center" wrapText="1"/>
    </xf>
    <xf numFmtId="0" fontId="0" fillId="0" borderId="14" xfId="0" applyFont="1" applyBorder="1" applyNumberFormat="1">
      <alignment horizontal="left" vertical="center" wrapText="1"/>
    </xf>
    <xf numFmtId="49" fontId="0" fillId="0" borderId="14" xfId="0" applyFont="1" applyBorder="1" applyNumberFormat="1">
      <alignment horizontal="center" vertical="center"/>
    </xf>
    <xf numFmtId="0" fontId="0" fillId="0" borderId="14" xfId="0" applyFont="1" applyBorder="1" applyNumberFormat="1">
      <alignment horizontal="center" vertical="center" wrapText="1"/>
    </xf>
    <xf numFmtId="4" fontId="0" fillId="38" borderId="14" xfId="0" applyFont="1" applyFill="1" applyBorder="1" applyNumberFormat="1">
      <alignment horizontal="right" vertical="center" wrapText="1"/>
    </xf>
    <xf numFmtId="49" fontId="23" fillId="0" borderId="38" xfId="0" applyFont="1" applyBorder="1" applyNumberFormat="1">
      <alignment horizontal="center" vertical="top" wrapText="1"/>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2" borderId="14" xfId="0" applyFont="1" applyFill="1" applyBorder="1" applyNumberFormat="1">
      <alignment horizontal="left" vertical="center" wrapText="1"/>
      <protection locked="0"/>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23" fillId="0" borderId="25" xfId="0" applyFont="1" applyBorder="1" applyNumberFormat="1">
      <alignment horizontal="center" vertical="top" wrapText="1"/>
    </xf>
    <xf numFmtId="49" fontId="23" fillId="42" borderId="14" xfId="0" applyFont="1" applyFill="1" applyBorder="1" applyNumberFormat="1">
      <alignment horizontal="left" vertical="center" wrapText="1" indent="1"/>
      <protection locked="0"/>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0" fontId="23" fillId="43" borderId="14" xfId="0" applyFont="1" applyFill="1" applyBorder="1" applyNumberFormat="1">
      <alignment horizontal="left" vertical="top" wrapText="1"/>
    </xf>
    <xf numFmtId="0" fontId="0" fillId="43" borderId="14" xfId="0" applyFont="1" applyFill="1" applyBorder="1" applyNumberFormat="1">
      <alignment horizontal="left" vertical="center" wrapText="1"/>
      <protection locked="0"/>
    </xf>
    <xf numFmtId="49" fontId="23"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49" fontId="0" fillId="0" borderId="14" xfId="0" applyFont="1" applyBorder="1" applyNumberFormat="1">
      <alignment horizontal="left" vertical="top"/>
    </xf>
    <xf numFmtId="49" fontId="0" fillId="43" borderId="14" xfId="0" applyFont="1" applyFill="1" applyBorder="1" applyNumberFormat="1">
      <alignment horizontal="left" vertical="top"/>
    </xf>
    <xf numFmtId="49" fontId="0" fillId="43" borderId="14" xfId="0" applyFont="1" applyFill="1" applyBorder="1" applyNumberFormat="1">
      <alignment horizontal="left" vertical="center" wrapText="1"/>
      <protection locked="0"/>
    </xf>
    <xf numFmtId="49" fontId="0" fillId="39" borderId="38" xfId="0" applyFont="1" applyFill="1" applyBorder="1" applyNumberFormat="1">
      <alignment horizontal="left" vertical="top"/>
      <protection locked="0"/>
    </xf>
    <xf numFmtId="49" fontId="23" fillId="43" borderId="0" xfId="0" applyFont="1" applyFill="1" applyNumberFormat="1">
      <alignment horizontal="center" vertical="center" wrapText="1"/>
    </xf>
    <xf numFmtId="0" fontId="48" fillId="0" borderId="38" xfId="0" applyFont="1" applyBorder="1" applyNumberFormat="1">
      <alignment horizontal="left" vertical="center"/>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49" fontId="0" fillId="0" borderId="0" xfId="0" applyFont="1" applyNumberFormat="1">
      <alignment vertical="top"/>
    </xf>
    <xf numFmtId="0" fontId="0" fillId="0" borderId="0" xfId="0" applyFont="1" applyNumberFormat="1">
      <alignment vertical="center"/>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0" fillId="0" borderId="24"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0" fontId="0" fillId="0" borderId="29" xfId="0" applyFont="1" applyBorder="1" applyNumberFormat="1">
      <alignment vertical="center"/>
    </xf>
    <xf numFmtId="49" fontId="23" fillId="0" borderId="38" xfId="0" applyFont="1" applyBorder="1" applyNumberFormat="1">
      <alignment horizontal="center" vertical="center"/>
    </xf>
    <xf numFmtId="49" fontId="23" fillId="0" borderId="38" xfId="0" applyFont="1" applyBorder="1" applyNumberFormat="1">
      <alignment vertical="center" wrapText="1"/>
    </xf>
    <xf numFmtId="0" fontId="23" fillId="0" borderId="26" xfId="0" applyFont="1" applyBorder="1" applyNumberFormat="1">
      <alignment horizontal="center" vertical="center"/>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45" fillId="0" borderId="38" xfId="0" applyFont="1" applyBorder="1" applyNumberFormat="1">
      <alignment vertical="center" wrapText="1"/>
    </xf>
    <xf numFmtId="0" fontId="23" fillId="43" borderId="19" xfId="0" applyFont="1" applyFill="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horizontal="left" vertical="center" wrapText="1"/>
    </xf>
    <xf numFmtId="0"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vertical="center" wrapText="1"/>
    </xf>
    <xf numFmtId="0" fontId="23" fillId="0" borderId="38" xfId="0" applyFont="1" applyBorder="1" applyNumberFormat="1">
      <alignment horizontal="left" vertical="center" wrapText="1"/>
    </xf>
    <xf numFmtId="49" fontId="23" fillId="0" borderId="38" xfId="0" applyFont="1" applyBorder="1" applyNumberFormat="1">
      <alignment horizontal="left" vertical="center" wrapText="1"/>
    </xf>
    <xf numFmtId="0" fontId="23" fillId="43" borderId="38" xfId="0" applyFont="1" applyFill="1" applyBorder="1" applyNumberFormat="1">
      <alignment horizontal="left" vertical="center" wrapText="1"/>
    </xf>
    <xf numFmtId="49" fontId="23" fillId="0" borderId="38" xfId="0" applyFont="1" applyBorder="1" applyNumberFormat="1">
      <alignment horizontal="center"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23" fillId="0" borderId="38" xfId="0" applyFont="1" applyBorder="1" applyNumberFormat="1">
      <alignment horizontal="center" vertical="center" wrapText="1"/>
    </xf>
    <xf numFmtId="0" fontId="48" fillId="40" borderId="39"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45" fillId="0" borderId="38" xfId="0" applyFont="1" applyBorder="1" applyNumberFormat="1">
      <alignment horizontal="center" vertical="center" wrapText="1"/>
    </xf>
    <xf numFmtId="0" fontId="48" fillId="40" borderId="39" xfId="0" applyFont="1" applyFill="1" applyBorder="1" applyNumberFormat="1">
      <alignment vertical="center"/>
    </xf>
    <xf numFmtId="0" fontId="48" fillId="0" borderId="38" xfId="0" applyFont="1" applyBorder="1" applyNumberFormat="1">
      <alignment horizontal="left" vertical="center"/>
    </xf>
    <xf numFmtId="49" fontId="23" fillId="39" borderId="19" xfId="0" applyFont="1" applyFill="1" applyBorder="1" applyNumberFormat="1">
      <alignment horizontal="left" vertical="center" wrapText="1"/>
      <protection locked="0"/>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0" borderId="21" xfId="0" applyFont="1" applyBorder="1" applyNumberFormat="1">
      <alignment horizontal="lef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49" fontId="100" fillId="0" borderId="14" xfId="0" applyFont="1" applyBorder="1" applyNumberFormat="1">
      <alignment vertical="top" wrapText="1"/>
    </xf>
    <xf numFmtId="49" fontId="96" fillId="0" borderId="14" xfId="0" applyFont="1" applyBorder="1" applyNumberFormat="1">
      <alignment horizontal="center" vertical="top" wrapText="1"/>
    </xf>
    <xf numFmtId="49" fontId="96" fillId="34" borderId="14" xfId="0" applyFont="1" applyFill="1" applyBorder="1" applyNumberFormat="1">
      <alignment horizontal="center" vertical="top"/>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0" fontId="100" fillId="0" borderId="14" xfId="0" applyFont="1" applyBorder="1" applyNumberFormat="1">
      <alignment vertical="top" wrapText="1"/>
    </xf>
    <xf numFmtId="49" fontId="100" fillId="0" borderId="0" xfId="0" applyFont="1" applyNumberFormat="1">
      <alignment vertical="top" wrapText="1"/>
    </xf>
    <xf numFmtId="49" fontId="100" fillId="0" borderId="0" xfId="0" applyFont="1" applyNumberFormat="1">
      <alignment vertical="top"/>
    </xf>
    <xf numFmtId="49" fontId="100" fillId="0" borderId="0" xfId="0" applyFont="1" applyNumberFormat="1">
      <alignment horizontal="center" vertical="top" wrapText="1"/>
    </xf>
    <xf numFmtId="49" fontId="100" fillId="0" borderId="14" xfId="0" applyFont="1" applyBorder="1" applyNumberFormat="1">
      <alignment horizontal="center" vertical="top" wrapText="1"/>
    </xf>
    <xf numFmtId="49" fontId="100" fillId="0" borderId="14" xfId="0" applyFont="1" applyBorder="1" applyNumberFormat="1">
      <alignment horizontal="center" vertical="top" wrapText="1"/>
    </xf>
    <xf numFmtId="49" fontId="100" fillId="34" borderId="14" xfId="0" applyFont="1" applyFill="1" applyBorder="1" applyNumberFormat="1">
      <alignment horizontal="center" vertical="top" wrapText="1"/>
    </xf>
    <xf numFmtId="49" fontId="96" fillId="34" borderId="14" xfId="0" applyFont="1" applyFill="1" applyBorder="1" applyNumberFormat="1">
      <alignment horizontal="center" vertical="top" wrapText="1"/>
    </xf>
    <xf numFmtId="49" fontId="100" fillId="0" borderId="14" xfId="0" applyFont="1" applyBorder="1" applyNumberFormat="1">
      <alignment horizontal="left" vertical="top" wrapText="1"/>
    </xf>
    <xf numFmtId="0" fontId="96" fillId="34" borderId="14" xfId="0" applyFont="1" applyFill="1" applyBorder="1" applyNumberFormat="1">
      <alignment horizontal="center" vertical="top" wrapText="1"/>
    </xf>
    <xf numFmtId="0" fontId="100" fillId="34" borderId="14" xfId="0" applyFont="1" applyFill="1" applyBorder="1" applyNumberFormat="1">
      <alignment horizontal="right" vertical="center"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0" fontId="100" fillId="0" borderId="14" xfId="0" applyFont="1" applyBorder="1" applyNumberFormat="1">
      <alignment horizontal="left" vertical="top" wrapText="1"/>
    </xf>
    <xf numFmtId="49" fontId="100" fillId="34" borderId="14" xfId="0" applyFont="1" applyFill="1" applyBorder="1" applyNumberFormat="1">
      <alignment horizontal="left" vertical="top" wrapText="1"/>
    </xf>
    <xf numFmtId="0" fontId="100" fillId="34" borderId="14" xfId="0" applyFont="1" applyFill="1" applyBorder="1" applyNumberFormat="1">
      <alignment horizontal="center" vertical="center" wrapText="1"/>
    </xf>
    <xf numFmtId="0" fontId="100" fillId="34" borderId="14" xfId="0" applyFont="1" applyFill="1" applyBorder="1" applyNumberFormat="1">
      <alignment horizontal="center" vertical="center"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19" xfId="0" applyFont="1" applyBorder="1" applyNumberFormat="1">
      <alignment horizontal="center" vertical="top" wrapText="1"/>
    </xf>
    <xf numFmtId="0" fontId="100" fillId="0" borderId="19" xfId="0" applyFont="1" applyBorder="1" applyNumberFormat="1">
      <alignment horizontal="left" vertical="top" wrapText="1"/>
    </xf>
    <xf numFmtId="49" fontId="100" fillId="0" borderId="39" xfId="0" applyFont="1" applyBorder="1" applyNumberFormat="1">
      <alignment horizontal="center" vertical="top" wrapText="1"/>
    </xf>
    <xf numFmtId="49" fontId="100" fillId="0" borderId="39" xfId="0" applyFont="1" applyBorder="1" applyNumberFormat="1">
      <alignment horizontal="center" vertical="top" wrapText="1"/>
    </xf>
    <xf numFmtId="0" fontId="100" fillId="0" borderId="15" xfId="0" applyFont="1" applyBorder="1" applyNumberFormat="1">
      <alignment horizontal="left" vertical="top" wrapText="1"/>
    </xf>
    <xf numFmtId="49" fontId="100" fillId="0" borderId="25"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24" xfId="0" applyFont="1" applyBorder="1" applyNumberFormat="1">
      <alignment horizontal="center" vertical="top" wrapText="1"/>
    </xf>
    <xf numFmtId="0" fontId="100" fillId="0" borderId="19" xfId="0" applyFont="1" applyBorder="1" applyNumberFormat="1">
      <alignment vertical="top" wrapText="1"/>
    </xf>
    <xf numFmtId="49" fontId="96" fillId="0" borderId="14" xfId="0" applyFont="1" applyBorder="1" applyNumberFormat="1">
      <alignment horizontal="left" vertical="top" wrapText="1"/>
    </xf>
    <xf numFmtId="0" fontId="96" fillId="0" borderId="16" xfId="0" applyFont="1" applyBorder="1" applyNumberFormat="1">
      <alignment horizontal="center" vertical="center" wrapText="1"/>
    </xf>
    <xf numFmtId="0" fontId="96" fillId="0" borderId="16" xfId="0" applyFont="1" applyBorder="1" applyNumberFormat="1">
      <alignment horizontal="center" vertical="center"/>
    </xf>
    <xf numFmtId="49" fontId="96" fillId="0" borderId="14" xfId="0" applyFont="1" applyBorder="1" applyNumberFormat="1">
      <alignment horizontal="center" vertical="center" wrapText="1"/>
    </xf>
    <xf numFmtId="0" fontId="96" fillId="0" borderId="14" xfId="0" applyFont="1" applyBorder="1" applyNumberFormat="1">
      <alignment vertical="center" wrapText="1"/>
    </xf>
    <xf numFmtId="49" fontId="100" fillId="0" borderId="16" xfId="0" applyFont="1" applyBorder="1" applyNumberFormat="1">
      <alignment horizontal="left" vertical="top" wrapText="1"/>
    </xf>
    <xf numFmtId="0" fontId="96" fillId="0" borderId="14" xfId="0" applyFont="1" applyBorder="1" applyNumberFormat="1">
      <alignment horizontal="center"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100" fillId="0" borderId="32" xfId="0" applyFont="1" applyBorder="1" applyNumberFormat="1">
      <alignment horizontal="left" vertical="top" wrapText="1"/>
    </xf>
    <xf numFmtId="49" fontId="100" fillId="0" borderId="15" xfId="0" applyFont="1" applyBorder="1" applyNumberFormat="1">
      <alignment horizontal="left" vertical="top"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38" xfId="0" applyFont="1" applyBorder="1" applyNumberFormat="1">
      <alignment horizontal="left" vertical="top" wrapText="1"/>
    </xf>
    <xf numFmtId="0" fontId="100" fillId="0" borderId="38" xfId="0" applyFont="1" applyBorder="1" applyNumberFormat="1">
      <alignment horizontal="left" vertical="top" wrapText="1"/>
    </xf>
    <xf numFmtId="49" fontId="100" fillId="0" borderId="0" xfId="0" applyFont="1" applyNumberFormat="1">
      <alignment horizontal="left" vertical="top" wrapText="1"/>
    </xf>
    <xf numFmtId="49" fontId="100" fillId="34" borderId="0" xfId="0" applyFont="1" applyFill="1" applyNumberFormat="1">
      <alignment horizontal="left" vertical="top" wrapText="1"/>
    </xf>
    <xf numFmtId="0" fontId="100" fillId="0" borderId="0" xfId="0" applyFont="1" applyNumberFormat="1">
      <alignment vertical="top" wrapText="1"/>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0" fontId="0" fillId="0" borderId="0" xfId="0" applyFont="1" applyNumberFormat="1">
      <alignment horizontal="left" vertical="center"/>
    </xf>
    <xf numFmtId="0" fontId="0" fillId="37" borderId="14" xfId="0" applyFont="1" applyFill="1" applyBorder="1" applyNumberFormat="1">
      <alignment horizontal="right" vertical="center" wrapText="1" indent="1"/>
    </xf>
    <xf numFmtId="0" fontId="0" fillId="0" borderId="16" xfId="0" applyFont="1" applyBorder="1" applyNumberFormat="1">
      <alignment vertical="center"/>
    </xf>
    <xf numFmtId="0" fontId="23" fillId="0" borderId="0" xfId="0" applyFont="1" applyNumberFormat="1">
      <alignment horizontal="left" vertical="center" wrapText="1"/>
    </xf>
    <xf numFmtId="0" fontId="23" fillId="0" borderId="0" xfId="0" applyFont="1" applyNumberFormat="1">
      <alignment horizontal="righ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 fontId="23" fillId="38" borderId="14" xfId="0" applyFont="1" applyFill="1" applyBorder="1" applyNumberFormat="1">
      <alignment horizontal="left"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indent="6"/>
      <protection locked="0"/>
    </xf>
    <xf numFmtId="167" fontId="0" fillId="42" borderId="14" xfId="0" applyFont="1" applyFill="1" applyBorder="1" applyNumberFormat="1">
      <alignment horizontal="center" vertical="center" wrapText="1"/>
      <protection locked="0"/>
    </xf>
    <xf numFmtId="49" fontId="23" fillId="0" borderId="14" xfId="0" applyFont="1" applyBorder="1" applyNumberFormat="1">
      <alignment horizontal="left" vertical="center" wrapText="1"/>
    </xf>
    <xf numFmtId="49" fontId="106" fillId="40" borderId="16" xfId="0" applyFont="1" applyFill="1" applyBorder="1" applyNumberFormat="1">
      <alignment horizontal="left" vertical="center"/>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54" fillId="0" borderId="0" xfId="0" applyFont="1" applyNumberFormat="1">
      <alignment horizontal="left" vertical="center"/>
    </xf>
    <xf numFmtId="49" fontId="40" fillId="0" borderId="0" xfId="0" applyFont="1" applyNumberFormat="1">
      <alignment vertical="top"/>
    </xf>
    <xf numFmtId="49" fontId="0" fillId="0" borderId="26" xfId="0" applyFont="1" applyBorder="1" applyNumberFormat="1">
      <alignment vertical="top"/>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0" fillId="0" borderId="0" xfId="0" applyFont="1" applyNumberFormat="1">
      <alignment vertical="top"/>
    </xf>
    <xf numFmtId="49" fontId="54" fillId="0" borderId="0" xfId="0" applyFont="1" applyNumberFormat="1">
      <alignment horizontal="left" vertical="center"/>
    </xf>
    <xf numFmtId="49" fontId="54" fillId="0" borderId="0" xfId="0" applyFont="1" applyNumberFormat="1">
      <alignment horizontal="left" vertical="top"/>
    </xf>
    <xf numFmtId="49" fontId="72" fillId="40" borderId="16" xfId="0" applyFont="1" applyFill="1" applyBorder="1" applyNumberFormat="1">
      <alignment horizontal="left" vertical="top"/>
    </xf>
    <xf numFmtId="49" fontId="114" fillId="40" borderId="17" xfId="0" applyFont="1" applyFill="1" applyBorder="1" applyNumberFormat="1">
      <alignment horizontal="left" vertical="center"/>
    </xf>
    <xf numFmtId="49" fontId="55" fillId="0" borderId="0" xfId="0" applyFont="1" applyNumberFormat="1">
      <alignment vertical="top"/>
    </xf>
    <xf numFmtId="0" fontId="23" fillId="0" borderId="0" xfId="0" applyFont="1" applyNumberFormat="1">
      <alignment horizontal="left" vertical="top" wrapText="1"/>
    </xf>
    <xf numFmtId="49" fontId="23" fillId="0" borderId="0" xfId="0" applyFont="1" applyNumberFormat="1">
      <alignment vertical="center" wrapText="1"/>
    </xf>
    <xf numFmtId="49" fontId="0" fillId="0" borderId="0" xfId="0" applyFont="1" applyNumberFormat="1">
      <alignment vertical="top"/>
    </xf>
    <xf numFmtId="49" fontId="0" fillId="0" borderId="14" xfId="0" applyFont="1" applyBorder="1" applyNumberFormat="1">
      <alignment vertical="top"/>
    </xf>
    <xf numFmtId="49" fontId="0" fillId="0" borderId="16" xfId="0" applyFont="1" applyBorder="1" applyNumberFormat="1">
      <alignment vertical="top"/>
    </xf>
    <xf numFmtId="49" fontId="0" fillId="0" borderId="14" xfId="0" applyFont="1" applyBorder="1" applyNumberFormat="1">
      <alignment horizontal="center"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45" borderId="19" xfId="0" applyFont="1" applyFill="1" applyBorder="1" applyNumberFormat="1">
      <alignment vertical="top"/>
    </xf>
    <xf numFmtId="49" fontId="0" fillId="0" borderId="16" xfId="0" applyFont="1" applyBorder="1" applyNumberFormat="1">
      <alignment horizontal="center" vertical="top"/>
    </xf>
    <xf numFmtId="49" fontId="0" fillId="46" borderId="14" xfId="0" applyFont="1" applyFill="1" applyBorder="1" applyNumberFormat="1">
      <alignment vertical="top"/>
    </xf>
    <xf numFmtId="49" fontId="0" fillId="0" borderId="17" xfId="0" applyFont="1" applyBorder="1" applyNumberFormat="1">
      <alignment horizontal="center" vertical="top"/>
    </xf>
    <xf numFmtId="49" fontId="0" fillId="3" borderId="14" xfId="0" applyFont="1" applyFill="1" applyBorder="1" applyNumberFormat="1">
      <alignment vertical="top"/>
    </xf>
    <xf numFmtId="49" fontId="0" fillId="47" borderId="14" xfId="0" applyFont="1" applyFill="1" applyBorder="1" applyNumberFormat="1">
      <alignment vertical="top"/>
    </xf>
    <xf numFmtId="49" fontId="0" fillId="16" borderId="19" xfId="0" applyFont="1" applyFill="1" applyBorder="1" applyNumberFormat="1">
      <alignment vertical="top"/>
    </xf>
    <xf numFmtId="49" fontId="0" fillId="5" borderId="16" xfId="0" applyFont="1" applyFill="1" applyBorder="1" applyNumberFormat="1">
      <alignment vertical="top"/>
    </xf>
    <xf numFmtId="49" fontId="0" fillId="5" borderId="14" xfId="0" applyFont="1" applyFill="1" applyBorder="1" applyNumberFormat="1">
      <alignment vertical="top"/>
    </xf>
    <xf numFmtId="49" fontId="0" fillId="16" borderId="14"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xf numFmtId="0" fontId="1" fillId="0" borderId="0" xfId="0" applyFont="1" applyNumberFormat="1"/>
    <xf numFmtId="0" fontId="38" fillId="0" borderId="0" xfId="0" applyFont="1" applyNumberFormat="1"/>
    <xf numFmtId="0" fontId="38" fillId="0" borderId="0" xfId="0" applyFont="1" applyNumberFormat="1"/>
    <xf numFmtId="49" fontId="23" fillId="38" borderId="12" xfId="0" applyFont="1" applyFill="1" applyBorder="1" applyNumberFormat="1">
      <alignment horizontal="center" vertical="top"/>
    </xf>
    <xf numFmtId="49" fontId="0" fillId="0" borderId="0" xfId="0" applyFont="1" applyNumberFormat="1">
      <alignment vertical="top"/>
    </xf>
    <xf numFmtId="49" fontId="46" fillId="0" borderId="13" xfId="0" applyFont="1" applyBorder="1" applyNumberFormat="1">
      <alignment vertical="top" wrapText="1"/>
    </xf>
    <xf numFmtId="0" fontId="0" fillId="0" borderId="13" xfId="0" applyFont="1" applyBorder="1" applyNumberFormat="1">
      <alignment vertical="top" wrapText="1"/>
    </xf>
    <xf numFmtId="0" fontId="22" fillId="0" borderId="20" xfId="0" applyFont="1" applyBorder="1" applyNumberFormat="1">
      <alignment vertical="top" wrapText="1"/>
    </xf>
    <xf numFmtId="0" fontId="0" fillId="0" borderId="0" xfId="0" applyFont="1" applyNumberFormat="1">
      <alignment vertical="top"/>
    </xf>
    <xf numFmtId="0" fontId="0" fillId="0" borderId="14" xfId="0" applyFont="1" applyBorder="1" applyNumberFormat="1">
      <alignment vertical="top" wrapText="1"/>
    </xf>
    <xf numFmtId="49" fontId="0" fillId="0" borderId="14" xfId="0" applyFont="1" applyBorder="1" applyNumberFormat="1">
      <alignment vertical="top" wrapText="1"/>
    </xf>
    <xf numFmtId="49" fontId="0" fillId="0" borderId="19" xfId="0" applyFont="1" applyBorder="1" applyNumberFormat="1">
      <alignment vertical="top"/>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xf numFmtId="49" fontId="0" fillId="0" borderId="0" xfId="0" applyFont="1" applyNumberFormat="1">
      <alignment vertical="top"/>
    </xf>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107" fillId="0" borderId="0" xfId="0" applyFont="1" applyNumberFormat="1">
      <alignment vertical="center" wrapText="1"/>
    </xf>
    <xf numFmtId="0" fontId="107" fillId="0" borderId="0" xfId="0" applyFont="1" applyNumberFormat="1">
      <alignment horizontal="left" vertical="center" wrapText="1"/>
    </xf>
    <xf numFmtId="49" fontId="122" fillId="0" borderId="0" xfId="0" applyFont="1" applyNumberFormat="1">
      <alignment wrapText="1"/>
    </xf>
    <xf numFmtId="0" fontId="107" fillId="0" borderId="0" xfId="0" applyFont="1" applyNumberFormat="1">
      <alignment vertical="center"/>
    </xf>
    <xf numFmtId="0" fontId="22" fillId="0" borderId="0" xfId="0" applyFont="1" applyNumberFormat="1">
      <alignment horizontal="left" vertical="top" wrapText="1"/>
    </xf>
    <xf numFmtId="49" fontId="23" fillId="0" borderId="0" xfId="0" applyFont="1" applyNumberFormat="1">
      <alignment vertical="top" wrapText="1"/>
    </xf>
    <xf numFmtId="0" fontId="22" fillId="57" borderId="68" xfId="0" applyFont="1" applyFill="1" applyBorder="1" applyNumberFormat="1">
      <alignment horizontal="center" vertical="center" wrapText="1"/>
    </xf>
    <xf numFmtId="0" fontId="22" fillId="57" borderId="69" xfId="0" applyFont="1" applyFill="1" applyBorder="1" applyNumberFormat="1">
      <alignment horizontal="center" vertical="center" wrapText="1"/>
    </xf>
    <xf numFmtId="0" fontId="22" fillId="57" borderId="70" xfId="0" applyFont="1" applyFill="1" applyBorder="1" applyNumberFormat="1">
      <alignment horizontal="center" vertical="center" wrapText="1"/>
    </xf>
    <xf numFmtId="0" fontId="71" fillId="0" borderId="0" xfId="0" applyFont="1" applyNumberFormat="1">
      <alignment wrapText="1"/>
    </xf>
    <xf numFmtId="0" fontId="22" fillId="48" borderId="40" xfId="0" applyFont="1" applyFill="1" applyBorder="1" applyNumberFormat="1">
      <alignment horizontal="right" vertical="center" wrapText="1" indent="1"/>
    </xf>
    <xf numFmtId="0" fontId="22" fillId="48" borderId="67" xfId="0" applyFont="1" applyFill="1" applyBorder="1" applyNumberFormat="1">
      <alignment horizontal="right" vertical="center" wrapText="1" inden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3" xfId="0" applyFont="1" applyFill="1" applyBorder="1" applyNumberFormat="1">
      <alignment horizontal="center" vertical="center" wrapText="1"/>
    </xf>
    <xf numFmtId="0" fontId="125" fillId="0" borderId="40" xfId="0" applyFont="1" applyBorder="1" applyNumberFormat="1">
      <alignment vertical="center" wrapText="1"/>
    </xf>
    <xf numFmtId="0" fontId="125" fillId="0" borderId="0" xfId="0" applyFont="1" applyNumberFormat="1">
      <alignment vertical="center" wrapText="1"/>
    </xf>
    <xf numFmtId="0" fontId="0" fillId="55" borderId="63" xfId="0" applyFont="1" applyFill="1" applyBorder="1" applyNumberFormat="1">
      <alignment horizontal="center"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0" fillId="38" borderId="63" xfId="0" applyFont="1" applyFill="1" applyBorder="1" applyNumberFormat="1">
      <alignment horizontal="center" vertical="center" wrapText="1"/>
    </xf>
    <xf numFmtId="0" fontId="0" fillId="42" borderId="63" xfId="0" applyFont="1" applyFill="1" applyBorder="1" applyNumberFormat="1">
      <alignment horizontal="center" vertical="center" wrapText="1"/>
    </xf>
    <xf numFmtId="0" fontId="22" fillId="48" borderId="0" xfId="0" applyFont="1" applyFill="1" applyNumberFormat="1">
      <alignment horizontal="right" vertical="center" wrapText="1" indent="1"/>
    </xf>
    <xf numFmtId="0" fontId="123" fillId="0" borderId="40" xfId="0" applyFont="1" applyBorder="1" applyNumberFormat="1">
      <alignment horizontal="left" vertical="center" wrapText="1"/>
    </xf>
    <xf numFmtId="0" fontId="123" fillId="0" borderId="64" xfId="0" applyFont="1" applyBorder="1" applyNumberFormat="1">
      <alignment horizontal="left" vertical="center" wrapText="1"/>
    </xf>
    <xf numFmtId="0" fontId="22" fillId="48" borderId="63" xfId="0" applyFont="1" applyFill="1" applyBorder="1" applyNumberFormat="1">
      <alignment horizontal="right" vertical="center" wrapText="1" indent="1"/>
    </xf>
    <xf numFmtId="0" fontId="22" fillId="48" borderId="66" xfId="0" applyFont="1" applyFill="1" applyBorder="1" applyNumberFormat="1">
      <alignment horizontal="right" vertical="center" wrapText="1" indent="1"/>
    </xf>
    <xf numFmtId="0" fontId="125" fillId="0" borderId="0" xfId="0" applyFont="1" applyNumberFormat="1"/>
    <xf numFmtId="0" fontId="125" fillId="0" borderId="40" xfId="0" applyFont="1" applyBorder="1" applyNumberFormat="1">
      <alignment wrapText="1"/>
    </xf>
    <xf numFmtId="0" fontId="125" fillId="0" borderId="0" xfId="0" applyFont="1" applyNumberFormat="1">
      <alignment vertical="top" wrapText="1"/>
    </xf>
    <xf numFmtId="0" fontId="22" fillId="48" borderId="65"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71" fillId="0" borderId="65"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49" fontId="71" fillId="0" borderId="0" xfId="0" applyFont="1" applyNumberFormat="1">
      <alignment vertical="top" wrapText="1"/>
    </xf>
    <xf numFmtId="0" fontId="38" fillId="0" borderId="0" xfId="0" applyFont="1" applyNumberFormat="1"/>
    <xf numFmtId="0" fontId="68" fillId="0" borderId="0" xfId="0" applyFont="1" applyNumberFormat="1">
      <alignment vertical="center" wrapText="1"/>
    </xf>
    <xf numFmtId="0" fontId="96" fillId="0" borderId="0" xfId="0" applyFont="1" applyNumberFormat="1">
      <alignment horizontal="left" vertical="center" wrapText="1"/>
    </xf>
    <xf numFmtId="0" fontId="68" fillId="0" borderId="0" xfId="0" applyFont="1" applyNumberFormat="1">
      <alignment horizontal="left" vertical="center" wrapText="1"/>
    </xf>
    <xf numFmtId="0" fontId="68" fillId="0" borderId="0" xfId="0" applyFont="1" applyNumberFormat="1">
      <alignment vertical="center" wrapText="1"/>
    </xf>
    <xf numFmtId="0" fontId="40" fillId="0" borderId="0" xfId="0" applyFont="1" applyNumberFormat="1">
      <alignment horizontal="center" vertical="center" wrapText="1"/>
    </xf>
    <xf numFmtId="0" fontId="40"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horizontal="left" vertical="center" wrapText="1"/>
    </xf>
    <xf numFmtId="0" fontId="23" fillId="0" borderId="0" xfId="0" applyFont="1" applyNumberFormat="1">
      <alignment horizontal="left" vertical="top" indent="1"/>
    </xf>
    <xf numFmtId="49" fontId="71" fillId="0" borderId="0" xfId="0" applyFont="1" applyNumberFormat="1">
      <alignment vertical="top"/>
    </xf>
    <xf numFmtId="49" fontId="23" fillId="0" borderId="0" xfId="0" applyFont="1" applyNumberFormat="1">
      <alignment vertical="center" wrapText="1"/>
    </xf>
    <xf numFmtId="49" fontId="54"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54" fillId="0" borderId="0" xfId="0" applyFont="1" applyNumberFormat="1">
      <alignment vertical="top"/>
    </xf>
    <xf numFmtId="49" fontId="0" fillId="0" borderId="0" xfId="0" applyFont="1" applyNumberFormat="1">
      <alignment vertical="top"/>
    </xf>
    <xf numFmtId="0" fontId="65" fillId="0" borderId="0" xfId="0" applyFont="1" applyNumberFormat="1">
      <alignment vertical="center" wrapText="1"/>
    </xf>
    <xf numFmtId="0" fontId="96" fillId="0" borderId="0" xfId="0" applyFont="1" applyNumberFormat="1">
      <alignment horizontal="lef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3" fillId="0" borderId="0" xfId="0" applyFont="1" applyNumberFormat="1">
      <alignment vertical="center" wrapText="1"/>
    </xf>
    <xf numFmtId="0" fontId="42" fillId="37" borderId="0" xfId="0" applyFont="1" applyFill="1" applyNumberFormat="1">
      <alignment vertical="center"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36" fillId="37" borderId="0" xfId="0" applyFont="1" applyFill="1" applyNumberFormat="1">
      <alignment vertical="center" wrapText="1"/>
    </xf>
    <xf numFmtId="0" fontId="101"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23" fillId="37" borderId="28" xfId="0" applyFont="1" applyFill="1" applyBorder="1" applyNumberFormat="1">
      <alignment horizontal="right" vertical="center" wrapText="1" indent="1"/>
    </xf>
    <xf numFmtId="0" fontId="0" fillId="38" borderId="14" xfId="0" applyFont="1" applyFill="1" applyBorder="1" applyNumberFormat="1">
      <alignment horizontal="left" vertical="center" wrapText="1" indent="1"/>
    </xf>
    <xf numFmtId="14" fontId="96" fillId="37" borderId="0" xfId="0" applyFont="1" applyFill="1" applyNumberFormat="1">
      <alignment horizontal="left"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23" fillId="37" borderId="0" xfId="0" applyFont="1" applyFill="1" applyNumberFormat="1">
      <alignment horizontal="center" vertical="center" wrapText="1"/>
    </xf>
    <xf numFmtId="0" fontId="93" fillId="0" borderId="0" xfId="0" applyFont="1" applyNumberFormat="1">
      <alignment horizontal="center" vertical="center" wrapText="1"/>
    </xf>
    <xf numFmtId="0" fontId="23" fillId="0" borderId="0" xfId="0" applyFont="1" applyNumberFormat="1">
      <alignment vertical="center" wrapText="1"/>
    </xf>
    <xf numFmtId="0" fontId="41" fillId="0" borderId="0" xfId="0" applyFont="1" applyNumberFormat="1">
      <alignment vertical="center" wrapText="1"/>
    </xf>
    <xf numFmtId="0" fontId="42" fillId="37" borderId="0" xfId="0" applyFont="1" applyFill="1" applyNumberFormat="1">
      <alignment vertical="center" wrapText="1"/>
    </xf>
    <xf numFmtId="0" fontId="23" fillId="37" borderId="28" xfId="0" applyFont="1" applyFill="1" applyBorder="1" applyNumberFormat="1">
      <alignment horizontal="right" vertical="center" wrapText="1" indent="1"/>
    </xf>
    <xf numFmtId="0" fontId="23" fillId="42" borderId="14" xfId="0" applyFont="1" applyFill="1" applyBorder="1" applyNumberFormat="1">
      <alignment horizontal="left" vertical="top" wrapText="1" indent="1"/>
      <protection locked="0"/>
    </xf>
    <xf numFmtId="0" fontId="23" fillId="0" borderId="0" xfId="0" applyFont="1" applyNumberFormat="1">
      <alignment horizontal="left" vertical="center" wrapText="1"/>
    </xf>
    <xf numFmtId="0" fontId="54" fillId="0" borderId="0" xfId="0" applyFont="1" applyNumberFormat="1">
      <alignment vertical="center" wrapText="1"/>
    </xf>
    <xf numFmtId="0" fontId="65"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14" fontId="98" fillId="0" borderId="14" xfId="0" applyFont="1" applyBorder="1" applyNumberFormat="1">
      <alignment horizontal="center" vertical="center" wrapText="1"/>
    </xf>
    <xf numFmtId="167" fontId="0" fillId="42" borderId="14" xfId="0" applyFont="1" applyFill="1" applyBorder="1" applyNumberFormat="1">
      <alignment horizontal="left" vertical="center" wrapText="1" indent="1"/>
      <protection locked="0"/>
    </xf>
    <xf numFmtId="0" fontId="34" fillId="0" borderId="0" xfId="0" applyFont="1" applyNumberFormat="1">
      <alignment horizontal="left" vertical="center" indent="1"/>
    </xf>
    <xf numFmtId="0" fontId="23" fillId="37" borderId="0" xfId="0" applyFont="1" applyFill="1" applyNumberFormat="1">
      <alignment vertical="center" wrapText="1"/>
    </xf>
    <xf numFmtId="14" fontId="98" fillId="0" borderId="14" xfId="0" applyFont="1" applyBorder="1" applyNumberFormat="1">
      <alignment horizontal="left" vertical="center" wrapText="1"/>
    </xf>
    <xf numFmtId="49" fontId="23" fillId="37" borderId="28" xfId="0" applyFont="1" applyFill="1" applyBorder="1" applyNumberFormat="1">
      <alignment horizontal="right" vertical="center" wrapText="1" indent="1"/>
    </xf>
    <xf numFmtId="167" fontId="0" fillId="42" borderId="14" xfId="0" applyFont="1" applyFill="1" applyBorder="1" applyNumberFormat="1">
      <alignment horizontal="left" vertical="center" wrapText="1" indent="1"/>
      <protection locked="0"/>
    </xf>
    <xf numFmtId="49" fontId="54" fillId="0" borderId="0" xfId="0" applyFont="1" applyNumberFormat="1">
      <alignment vertical="center" wrapText="1"/>
    </xf>
    <xf numFmtId="0" fontId="0" fillId="42" borderId="14"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167" fontId="0" fillId="0" borderId="14" xfId="0" applyFont="1" applyBorder="1" applyNumberFormat="1">
      <alignment horizontal="left" vertical="center" wrapText="1" indent="1"/>
    </xf>
    <xf numFmtId="0" fontId="0" fillId="37" borderId="0" xfId="0" applyFont="1" applyFill="1" applyNumberFormat="1">
      <alignment horizontal="right" vertical="center" wrapText="1" indent="1"/>
    </xf>
    <xf numFmtId="0" fontId="101" fillId="0" borderId="0" xfId="0" applyFont="1" applyNumberFormat="1">
      <alignment horizontal="left" vertical="center" wrapText="1"/>
    </xf>
    <xf numFmtId="0" fontId="23" fillId="37" borderId="0" xfId="0" applyFont="1" applyFill="1" applyNumberFormat="1">
      <alignment horizontal="right" vertical="center" wrapText="1" indent="1"/>
    </xf>
    <xf numFmtId="0" fontId="23" fillId="0" borderId="0" xfId="0" applyFont="1" applyNumberFormat="1">
      <alignment horizontal="center" vertical="center" wrapText="1"/>
    </xf>
    <xf numFmtId="0" fontId="23" fillId="37" borderId="0" xfId="0" applyFont="1" applyFill="1" applyNumberFormat="1">
      <alignment horizontal="center" vertical="center" wrapText="1"/>
    </xf>
    <xf numFmtId="0" fontId="0" fillId="37" borderId="0" xfId="0" applyFont="1" applyFill="1" applyNumberFormat="1">
      <alignment horizontal="left" vertical="center" wrapText="1" indent="1"/>
    </xf>
    <xf numFmtId="49" fontId="23" fillId="0" borderId="14" xfId="0" applyFont="1" applyBorder="1" applyNumberFormat="1">
      <alignment horizontal="left" vertical="center" wrapText="1" indent="1"/>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49" fontId="23" fillId="38" borderId="14" xfId="0" applyFont="1" applyFill="1" applyBorder="1" applyNumberFormat="1">
      <alignment horizontal="left" vertical="center" wrapText="1" indent="1"/>
    </xf>
    <xf numFmtId="14" fontId="23" fillId="37" borderId="0" xfId="0" applyFont="1" applyFill="1" applyNumberFormat="1">
      <alignment horizontal="center" vertical="center" wrapText="1"/>
    </xf>
    <xf numFmtId="0" fontId="0" fillId="37" borderId="28" xfId="0" applyFont="1" applyFill="1" applyBorder="1" applyNumberFormat="1">
      <alignment horizontal="right" vertical="center" wrapText="1" indent="1"/>
    </xf>
    <xf numFmtId="0" fontId="23" fillId="0" borderId="0" xfId="0" applyFont="1" applyNumberFormat="1">
      <alignment vertical="center"/>
    </xf>
    <xf numFmtId="14" fontId="23" fillId="37" borderId="0" xfId="0" applyFont="1" applyFill="1" applyNumberFormat="1">
      <alignment horizontal="left" vertical="center" wrapText="1"/>
    </xf>
    <xf numFmtId="0" fontId="23" fillId="42" borderId="14" xfId="0" applyFont="1" applyFill="1" applyBorder="1" applyNumberFormat="1">
      <alignment horizontal="left" vertical="center" wrapText="1" indent="1"/>
      <protection locked="0"/>
    </xf>
    <xf numFmtId="0" fontId="23" fillId="42" borderId="14" xfId="0" applyFont="1" applyFill="1" applyBorder="1" applyNumberFormat="1">
      <alignment horizontal="left" vertical="center" wrapText="1" indent="1"/>
      <protection locked="0"/>
    </xf>
    <xf numFmtId="0" fontId="66" fillId="37" borderId="0" xfId="0" applyFont="1" applyFill="1" applyNumberFormat="1">
      <alignment horizontal="right" vertical="center" wrapText="1" indent="1"/>
    </xf>
    <xf numFmtId="0" fontId="66" fillId="37" borderId="0" xfId="0" applyFont="1" applyFill="1" applyNumberFormat="1">
      <alignment horizontal="left" vertical="center" wrapText="1" indent="1"/>
    </xf>
    <xf numFmtId="49" fontId="23" fillId="43" borderId="14" xfId="0" applyFont="1" applyFill="1" applyBorder="1" applyNumberFormat="1">
      <alignment horizontal="left" vertical="center" wrapText="1" inden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40" fillId="0" borderId="0" xfId="0" applyFont="1" applyNumberFormat="1">
      <alignment horizontal="left" vertical="center" wrapText="1"/>
    </xf>
    <xf numFmtId="49" fontId="32" fillId="0" borderId="14" xfId="0" applyFont="1" applyBorder="1" applyNumberFormat="1">
      <alignment horizontal="left" vertical="center" wrapText="1" indent="1"/>
    </xf>
    <xf numFmtId="0" fontId="40" fillId="0" borderId="0" xfId="0" applyFont="1" applyNumberFormat="1">
      <alignment horizontal="left" vertical="center" wrapText="1"/>
    </xf>
    <xf numFmtId="0" fontId="23" fillId="0" borderId="0" xfId="0" applyFont="1" applyNumberFormat="1">
      <alignment vertical="center" wrapText="1"/>
    </xf>
    <xf numFmtId="14" fontId="97" fillId="0" borderId="0" xfId="0" applyFont="1" applyNumberFormat="1">
      <alignment horizontal="center" vertical="center" wrapText="1"/>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4" fillId="0" borderId="0" xfId="0" applyFont="1" applyNumberFormat="1">
      <alignment vertical="center" wrapText="1"/>
    </xf>
    <xf numFmtId="0" fontId="88" fillId="0" borderId="0" xfId="0" applyFont="1" applyNumberFormat="1">
      <alignment vertical="center" wrapText="1"/>
    </xf>
    <xf numFmtId="0" fontId="23" fillId="43" borderId="14" xfId="0" applyFont="1" applyFill="1" applyBorder="1" applyNumberFormat="1">
      <alignment horizontal="left" vertical="center" wrapText="1" indent="1"/>
    </xf>
    <xf numFmtId="167" fontId="0" fillId="0" borderId="13" xfId="0" applyFont="1" applyBorder="1" applyNumberFormat="1">
      <alignment horizontal="left" vertical="center" wrapText="1" indent="1"/>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xf>
    <xf numFmtId="0" fontId="96" fillId="0" borderId="0" xfId="0" applyFont="1" applyNumberFormat="1">
      <alignment horizontal="left" vertical="center" wrapText="1"/>
    </xf>
    <xf numFmtId="49" fontId="40" fillId="0" borderId="0" xfId="0" applyFont="1" applyNumberFormat="1">
      <alignment horizontal="left" vertical="center" wrapText="1"/>
    </xf>
    <xf numFmtId="49" fontId="42" fillId="37" borderId="0" xfId="0" applyFont="1" applyFill="1" applyNumberFormat="1">
      <alignment horizontal="center" vertical="center" wrapText="1"/>
    </xf>
    <xf numFmtId="0" fontId="23" fillId="0" borderId="0" xfId="0" applyFont="1" applyNumberFormat="1">
      <alignment horizontal="left" vertical="center" wrapText="1" indent="4"/>
    </xf>
    <xf numFmtId="0" fontId="23" fillId="0" borderId="0" xfId="0" applyFont="1" applyNumberFormat="1">
      <alignment horizontal="left" vertical="center" wrapText="1" indent="1"/>
    </xf>
    <xf numFmtId="49" fontId="23" fillId="42" borderId="14"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3" fillId="37" borderId="0" xfId="0" applyFont="1" applyFill="1" applyNumberFormat="1">
      <alignment horizontal="right" vertical="center" wrapText="1" indent="1"/>
    </xf>
    <xf numFmtId="49" fontId="23" fillId="0" borderId="0" xfId="0" applyFont="1" applyNumberFormat="1">
      <alignment horizontal="center" vertical="center" wrapText="1"/>
    </xf>
    <xf numFmtId="49" fontId="0" fillId="37" borderId="0" xfId="0" applyFont="1" applyFill="1" applyNumberFormat="1">
      <alignment horizontal="right" vertical="center" wrapText="1" indent="1"/>
    </xf>
    <xf numFmtId="0" fontId="36" fillId="0" borderId="0" xfId="0" applyFont="1" applyNumberFormat="1">
      <alignment vertical="top" wrapText="1"/>
    </xf>
    <xf numFmtId="0" fontId="96" fillId="0" borderId="0" xfId="0" applyFont="1" applyNumberFormat="1">
      <alignment horizontal="left" vertical="center" wrapText="1"/>
    </xf>
    <xf numFmtId="0" fontId="40" fillId="0" borderId="0" xfId="0" applyFont="1" applyNumberFormat="1">
      <alignment horizontal="left" vertical="center" wrapText="1"/>
    </xf>
    <xf numFmtId="0" fontId="41"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center" vertical="center" wrapText="1"/>
    </xf>
    <xf numFmtId="0" fontId="40" fillId="0" borderId="0" xfId="0" applyFont="1" applyNumberFormat="1">
      <alignment horizontal="center" vertical="center" wrapText="1"/>
    </xf>
    <xf numFmtId="0" fontId="54" fillId="0" borderId="0" xfId="0" applyFont="1" applyNumberFormat="1">
      <alignment vertical="center" wrapText="1"/>
    </xf>
    <xf numFmtId="0" fontId="55" fillId="0" borderId="0" xfId="0" applyFont="1" applyNumberFormat="1">
      <alignment vertical="center" wrapText="1"/>
    </xf>
    <xf numFmtId="0" fontId="77" fillId="0" borderId="0" xfId="0" applyFont="1" applyNumberFormat="1">
      <alignment vertical="center" wrapText="1"/>
    </xf>
    <xf numFmtId="0" fontId="55"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center" vertical="center" wrapText="1"/>
    </xf>
    <xf numFmtId="0" fontId="55" fillId="0" borderId="0" xfId="0" applyFont="1" applyNumberFormat="1">
      <alignment horizontal="left" vertical="center" wrapText="1" indent="1"/>
    </xf>
    <xf numFmtId="0" fontId="55" fillId="0" borderId="0" xfId="0" applyFont="1" applyNumberFormat="1">
      <alignment horizontal="left" vertical="center" indent="1"/>
    </xf>
    <xf numFmtId="0" fontId="61" fillId="0" borderId="0" xfId="0" applyFont="1" applyNumberFormat="1">
      <alignment vertical="center" wrapText="1"/>
    </xf>
    <xf numFmtId="0" fontId="23"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50" fillId="0" borderId="0" xfId="0" applyFont="1" applyNumberFormat="1">
      <alignment vertical="center" wrapText="1"/>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17" xfId="0" applyFont="1" applyBorder="1" applyNumberFormat="1">
      <alignment horizontal="left" vertical="center" wrapText="1" inden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23" fillId="0" borderId="0" xfId="0" applyFont="1" applyNumberFormat="1">
      <alignment horizontal="center" vertical="center" wrapText="1"/>
    </xf>
    <xf numFmtId="4" fontId="23"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4" xfId="0" applyFont="1" applyBorder="1" applyNumberFormat="1">
      <alignment horizontal="center" vertical="center" wrapText="1"/>
    </xf>
    <xf numFmtId="0" fontId="44" fillId="0" borderId="0" xfId="0" applyFont="1" applyNumberFormat="1">
      <alignment horizontal="center" vertical="center" wrapText="1"/>
    </xf>
    <xf numFmtId="49" fontId="44" fillId="0" borderId="17" xfId="0" applyFont="1" applyBorder="1" applyNumberFormat="1">
      <alignment horizontal="center" vertical="center" wrapText="1"/>
    </xf>
    <xf numFmtId="49" fontId="44" fillId="0" borderId="17" xfId="0" applyFont="1" applyBorder="1" applyNumberFormat="1">
      <alignment horizontal="center" vertical="center" wrapText="1"/>
    </xf>
    <xf numFmtId="0" fontId="54" fillId="0" borderId="0" xfId="0" applyFont="1" applyNumberFormat="1">
      <alignment vertical="center"/>
    </xf>
    <xf numFmtId="0" fontId="54" fillId="0" borderId="0" xfId="0" applyFont="1" applyNumberFormat="1">
      <alignment vertical="center"/>
    </xf>
    <xf numFmtId="0" fontId="59" fillId="0" borderId="0" xfId="0" applyFont="1" applyNumberFormat="1">
      <alignment vertical="center"/>
    </xf>
    <xf numFmtId="49" fontId="23" fillId="40" borderId="21" xfId="0" applyFont="1" applyFill="1" applyBorder="1" applyNumberFormat="1">
      <alignment horizontal="center" vertical="center" wrapText="1"/>
    </xf>
    <xf numFmtId="49" fontId="54" fillId="40" borderId="21" xfId="0" applyFont="1" applyFill="1" applyBorder="1" applyNumberFormat="1">
      <alignment horizontal="left" vertical="center" wrapText="1"/>
    </xf>
    <xf numFmtId="49" fontId="54" fillId="40" borderId="22" xfId="0" applyFont="1" applyFill="1" applyBorder="1" applyNumberFormat="1">
      <alignment horizontal="left" vertical="center" wrapText="1"/>
    </xf>
    <xf numFmtId="0" fontId="55" fillId="0" borderId="24" xfId="0" applyFont="1" applyBorder="1" applyNumberFormat="1">
      <alignment vertical="center"/>
    </xf>
    <xf numFmtId="0" fontId="50" fillId="0" borderId="0" xfId="0" applyFont="1" applyNumberFormat="1">
      <alignment vertical="center" wrapText="1"/>
    </xf>
    <xf numFmtId="0" fontId="23" fillId="0" borderId="0" xfId="0" applyFont="1" applyNumberFormat="1">
      <alignment horizontal="center"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9" fontId="54" fillId="0" borderId="14" xfId="0" applyFont="1" applyBorder="1" applyNumberFormat="1">
      <alignment horizontal="left" vertical="center" wrapText="1"/>
    </xf>
    <xf numFmtId="0" fontId="55" fillId="0" borderId="0" xfId="0" applyFont="1" applyNumberFormat="1">
      <alignment vertical="center"/>
    </xf>
    <xf numFmtId="0" fontId="55" fillId="0" borderId="0" xfId="0" applyFont="1" applyNumberFormat="1">
      <alignment vertical="center"/>
    </xf>
    <xf numFmtId="49" fontId="0" fillId="0" borderId="0" xfId="0" applyFont="1" applyNumberFormat="1">
      <alignment vertical="top"/>
    </xf>
    <xf numFmtId="0" fontId="44" fillId="0" borderId="26" xfId="0" applyFont="1" applyBorder="1" applyNumberFormat="1">
      <alignment vertical="top" wrapText="1"/>
    </xf>
    <xf numFmtId="0" fontId="23" fillId="0" borderId="25" xfId="0" applyFont="1" applyBorder="1" applyNumberFormat="1">
      <alignment horizontal="center" vertical="center" wrapText="1"/>
    </xf>
    <xf numFmtId="0" fontId="55" fillId="0" borderId="25" xfId="0" applyFont="1" applyBorder="1" applyNumberFormat="1">
      <alignment horizontal="center" vertical="center" wrapText="1"/>
    </xf>
    <xf numFmtId="14" fontId="23" fillId="43" borderId="25" xfId="0" applyFont="1" applyFill="1" applyBorder="1" applyNumberFormat="1">
      <alignment horizontal="left" vertical="center" wrapText="1" indent="1"/>
    </xf>
    <xf numFmtId="49" fontId="23" fillId="38" borderId="25" xfId="0" applyFont="1" applyFill="1" applyBorder="1" applyNumberFormat="1">
      <alignment horizontal="center" vertical="center" wrapText="1"/>
    </xf>
    <xf numFmtId="0" fontId="79" fillId="0" borderId="0" xfId="0" applyFont="1" applyNumberFormat="1">
      <alignment vertical="center" wrapText="1"/>
    </xf>
    <xf numFmtId="49" fontId="54" fillId="0" borderId="0" xfId="0" applyFont="1" applyNumberFormat="1">
      <alignment vertical="top"/>
    </xf>
    <xf numFmtId="49" fontId="55" fillId="0" borderId="0" xfId="0" applyFont="1" applyNumberFormat="1">
      <alignment vertical="top"/>
    </xf>
    <xf numFmtId="0" fontId="0" fillId="0" borderId="0" xfId="0" applyFont="1" applyNumberFormat="1">
      <alignment vertical="center" wrapText="1"/>
    </xf>
    <xf numFmtId="0" fontId="44" fillId="0" borderId="0" xfId="0" applyFont="1" applyNumberFormat="1">
      <alignment vertical="top" wrapText="1"/>
    </xf>
    <xf numFmtId="49" fontId="36" fillId="40" borderId="16" xfId="0" applyFont="1" applyFill="1" applyBorder="1" applyNumberFormat="1">
      <alignment horizontal="right" vertical="center" wrapText="1"/>
    </xf>
    <xf numFmtId="49" fontId="36" fillId="40" borderId="17"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0" fillId="40" borderId="17" xfId="0" applyFont="1" applyFill="1" applyBorder="1" applyNumberFormat="1">
      <alignment horizontal="right" vertical="center" wrapText="1"/>
    </xf>
    <xf numFmtId="49" fontId="0" fillId="40" borderId="15" xfId="0" applyFont="1" applyFill="1" applyBorder="1" applyNumberFormat="1">
      <alignment horizontal="right" vertical="center" wrapText="1"/>
    </xf>
    <xf numFmtId="49" fontId="23" fillId="40" borderId="16"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48" fillId="40" borderId="17" xfId="0" applyFont="1" applyFill="1" applyBorder="1" applyNumberFormat="1">
      <alignment horizontal="left" vertical="center"/>
    </xf>
    <xf numFmtId="49" fontId="23" fillId="40" borderId="15" xfId="0" applyFont="1" applyFill="1" applyBorder="1" applyNumberFormat="1">
      <alignment horizontal="right" vertical="center" wrapText="1"/>
    </xf>
    <xf numFmtId="0" fontId="45" fillId="0" borderId="0" xfId="0" applyFont="1" applyNumberFormat="1">
      <alignment horizontal="center" vertical="center" wrapText="1"/>
    </xf>
    <xf numFmtId="0" fontId="23" fillId="0" borderId="23" xfId="0" applyFont="1" applyBorder="1" applyNumberFormat="1">
      <alignment vertical="center" wrapText="1"/>
    </xf>
    <xf numFmtId="0" fontId="23" fillId="0" borderId="0" xfId="0" applyFont="1" applyNumberFormat="1">
      <alignment vertical="center" wrapText="1"/>
    </xf>
    <xf numFmtId="0" fontId="53" fillId="0" borderId="0" xfId="0" applyFont="1" applyNumberFormat="1">
      <alignment vertical="center" wrapText="1"/>
    </xf>
    <xf numFmtId="0" fontId="99" fillId="0" borderId="0" xfId="0" applyFont="1" applyNumberFormat="1">
      <alignment vertical="center" wrapText="1"/>
    </xf>
    <xf numFmtId="0" fontId="57" fillId="0" borderId="0" xfId="0" applyFont="1" applyNumberFormat="1">
      <alignment horizontal="center" vertical="center" wrapText="1"/>
    </xf>
    <xf numFmtId="49" fontId="0"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0" xfId="0" applyFont="1" applyNumberFormat="1">
      <alignment vertical="center"/>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54" fillId="0" borderId="0" xfId="0" applyFont="1" applyNumberFormat="1">
      <alignment vertical="center"/>
    </xf>
    <xf numFmtId="0" fontId="49" fillId="0" borderId="0" xfId="0" applyFont="1" applyNumberFormat="1">
      <alignment vertical="center"/>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49" fillId="0" borderId="0" xfId="0" applyFont="1" applyNumberFormat="1">
      <alignmen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7" fillId="0" borderId="0" xfId="0" applyFont="1" applyNumberFormat="1">
      <alignment vertical="center"/>
    </xf>
    <xf numFmtId="0" fontId="49" fillId="0" borderId="0" xfId="0" applyFont="1" applyNumberFormat="1">
      <alignment vertical="center"/>
    </xf>
    <xf numFmtId="0" fontId="23" fillId="44" borderId="0" xfId="0" applyFont="1" applyFill="1" applyNumberFormat="1">
      <alignment horizontal="center" vertical="center" wrapText="1"/>
    </xf>
    <xf numFmtId="0" fontId="23" fillId="0" borderId="0" xfId="0" applyFont="1" applyNumberFormat="1">
      <alignment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80" fillId="0" borderId="14" xfId="0" applyFont="1" applyBorder="1" applyNumberFormat="1">
      <alignment horizontal="center" vertical="center" wrapText="1"/>
    </xf>
    <xf numFmtId="0" fontId="23" fillId="0" borderId="0" xfId="0" applyFont="1" applyNumberFormat="1">
      <alignment horizontal="center" vertical="center" wrapText="1"/>
    </xf>
    <xf numFmtId="0" fontId="87"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54" fillId="0" borderId="24" xfId="0" applyFont="1" applyBorder="1" applyNumberFormat="1">
      <alignment vertical="center"/>
    </xf>
    <xf numFmtId="0" fontId="0" fillId="0" borderId="0" xfId="0" applyFont="1" applyNumberFormat="1">
      <alignment vertical="center"/>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54" fillId="0" borderId="24" xfId="0" applyFont="1" applyBorder="1" applyNumberFormat="1">
      <alignment vertical="center"/>
    </xf>
    <xf numFmtId="0" fontId="55"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43" xfId="0" applyFont="1" applyFill="1" applyBorder="1" applyNumberFormat="1">
      <alignment horizontal="center" vertical="center" wrapText="1"/>
    </xf>
    <xf numFmtId="49" fontId="0" fillId="40" borderId="17" xfId="0" applyFont="1" applyFill="1" applyBorder="1" applyNumberFormat="1">
      <alignment horizontal="left" vertical="center"/>
    </xf>
    <xf numFmtId="0" fontId="0" fillId="40" borderId="15"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5" xfId="0" applyFont="1" applyBorder="1" applyNumberFormat="1">
      <alignment horizontal="center" vertical="center" wrapText="1"/>
    </xf>
    <xf numFmtId="0" fontId="23" fillId="0" borderId="75"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0" borderId="14" xfId="0" applyFont="1" applyBorder="1" applyNumberFormat="1">
      <alignment horizontal="left" vertical="center" wrapText="1" indent="1"/>
    </xf>
    <xf numFmtId="0" fontId="54" fillId="0" borderId="24" xfId="0" applyFont="1" applyBorder="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1"/>
      <protection locked="0"/>
    </xf>
    <xf numFmtId="49" fontId="48" fillId="40" borderId="15" xfId="0" applyFont="1" applyFill="1" applyBorder="1" applyNumberFormat="1">
      <alignment horizontal="left" vertical="center" indent="1"/>
    </xf>
    <xf numFmtId="0" fontId="23" fillId="43" borderId="25" xfId="0" applyFont="1" applyFill="1" applyBorder="1" applyNumberFormat="1">
      <alignment horizontal="left" vertical="center" wrapText="1" indent="2"/>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0" fontId="80" fillId="44" borderId="0" xfId="0" applyFont="1" applyFill="1" applyNumberFormat="1">
      <alignment vertical="top"/>
    </xf>
    <xf numFmtId="49" fontId="23" fillId="0" borderId="0" xfId="0" applyFont="1" applyNumberFormat="1">
      <alignment vertical="center" wrapText="1"/>
    </xf>
    <xf numFmtId="49" fontId="23" fillId="0" borderId="0" xfId="0" applyFont="1" applyNumberFormat="1">
      <alignment horizontal="center" vertical="center" wrapText="1"/>
    </xf>
    <xf numFmtId="49" fontId="48" fillId="40" borderId="17" xfId="0" applyFont="1" applyFill="1" applyBorder="1" applyNumberFormat="1">
      <alignment horizontal="left" vertical="center" indent="2"/>
    </xf>
    <xf numFmtId="0" fontId="0" fillId="0" borderId="0" xfId="0" applyFont="1" applyNumberFormat="1">
      <alignment vertical="center"/>
    </xf>
    <xf numFmtId="0" fontId="54"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5" fillId="0" borderId="0" xfId="0" applyFont="1" applyNumberFormat="1">
      <alignment vertical="center"/>
    </xf>
    <xf numFmtId="0" fontId="49" fillId="0" borderId="0" xfId="0" applyFont="1" applyNumberFormat="1">
      <alignment vertical="center"/>
    </xf>
    <xf numFmtId="0" fontId="56" fillId="0" borderId="0" xfId="0" applyFont="1" applyNumberFormat="1">
      <alignment vertical="center"/>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69"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113" fillId="0" borderId="0" xfId="0" applyFont="1" applyNumberFormat="1">
      <alignment vertical="center"/>
    </xf>
    <xf numFmtId="0" fontId="23" fillId="0" borderId="29" xfId="0" applyFont="1" applyBorder="1" applyNumberFormat="1">
      <alignment horizontal="left" vertical="center" indent="1"/>
    </xf>
    <xf numFmtId="0" fontId="72" fillId="0" borderId="0" xfId="0" applyFont="1" applyNumberFormat="1">
      <alignment vertical="center"/>
    </xf>
    <xf numFmtId="0" fontId="55" fillId="0" borderId="0" xfId="0" applyFont="1" applyNumberFormat="1">
      <alignment vertical="center"/>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72" fillId="0" borderId="0" xfId="0" applyFont="1" applyNumberFormat="1">
      <alignment vertical="center"/>
    </xf>
    <xf numFmtId="0" fontId="23" fillId="0" borderId="0" xfId="0" applyFont="1" applyNumberFormat="1">
      <alignment vertical="center"/>
    </xf>
    <xf numFmtId="0" fontId="37" fillId="0" borderId="0" xfId="0" applyFont="1" applyNumberFormat="1">
      <alignment vertical="center"/>
    </xf>
    <xf numFmtId="0" fontId="49" fillId="0" borderId="0" xfId="0" applyFont="1" applyNumberFormat="1">
      <alignment vertical="center"/>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xf>
    <xf numFmtId="0" fontId="55" fillId="0" borderId="0" xfId="0" applyFont="1" applyNumberFormat="1">
      <alignment vertical="center"/>
    </xf>
    <xf numFmtId="49" fontId="55" fillId="37" borderId="0" xfId="0" applyFont="1" applyFill="1" applyNumberFormat="1">
      <alignment horizontal="center" vertical="center" wrapText="1"/>
    </xf>
    <xf numFmtId="49" fontId="55" fillId="37" borderId="29" xfId="0" applyFont="1" applyFill="1" applyBorder="1" applyNumberFormat="1">
      <alignment horizontal="center" vertical="center" wrapText="1"/>
    </xf>
    <xf numFmtId="0" fontId="45" fillId="0" borderId="0" xfId="0" applyFont="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4" xfId="0" applyFont="1" applyBorder="1" applyNumberFormat="1">
      <alignment horizontal="center" vertical="top"/>
    </xf>
    <xf numFmtId="0" fontId="23" fillId="0" borderId="14" xfId="0" applyFont="1" applyBorder="1" applyNumberFormat="1">
      <alignment horizontal="left" vertical="top" wrapText="1"/>
    </xf>
    <xf numFmtId="0" fontId="23" fillId="43" borderId="19"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22" xfId="0" applyFont="1" applyBorder="1" applyNumberFormat="1">
      <alignment horizontal="left" vertical="center" wrapText="1"/>
    </xf>
    <xf numFmtId="0" fontId="23" fillId="0" borderId="0" xfId="0" applyFont="1" applyNumberFormat="1">
      <alignment horizontal="left" vertical="center" indent="1"/>
    </xf>
    <xf numFmtId="0" fontId="0" fillId="0" borderId="0" xfId="0" applyFont="1" applyNumberFormat="1">
      <alignment vertical="center"/>
    </xf>
    <xf numFmtId="0" fontId="23" fillId="43" borderId="38" xfId="0" applyFont="1" applyFill="1" applyBorder="1" applyNumberFormat="1">
      <alignment horizontal="center" vertical="top" wrapText="1"/>
    </xf>
    <xf numFmtId="0" fontId="0" fillId="0" borderId="24" xfId="0" applyFont="1" applyBorder="1" applyNumberFormat="1">
      <alignment horizontal="center" vertical="center"/>
    </xf>
    <xf numFmtId="0" fontId="0" fillId="0" borderId="0" xfId="0" applyFont="1" applyNumberFormat="1">
      <alignment horizontal="center" vertical="center"/>
    </xf>
    <xf numFmtId="49" fontId="23" fillId="0" borderId="0" xfId="0" applyFont="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horizontal="left" vertical="top"/>
    </xf>
    <xf numFmtId="0" fontId="23" fillId="43" borderId="25" xfId="0" applyFont="1" applyFill="1" applyBorder="1" applyNumberFormat="1">
      <alignment horizontal="center" vertical="top" wrapText="1"/>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0" fontId="0" fillId="0" borderId="0" xfId="0" applyFont="1" applyNumberFormat="1">
      <alignment vertical="center"/>
    </xf>
    <xf numFmtId="49" fontId="23"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9" xfId="0" applyFont="1" applyBorder="1" applyNumberFormat="1">
      <alignment horizontal="center" vertical="top"/>
    </xf>
    <xf numFmtId="0" fontId="23" fillId="0" borderId="19" xfId="0" applyFont="1" applyBorder="1" applyNumberFormat="1">
      <alignment horizontal="left" vertical="top" wrapText="1"/>
    </xf>
    <xf numFmtId="0" fontId="0" fillId="0" borderId="38" xfId="0" applyFont="1" applyBorder="1" applyNumberFormat="1">
      <alignment horizontal="center" vertical="top"/>
    </xf>
    <xf numFmtId="0" fontId="23" fillId="0" borderId="38" xfId="0" applyFont="1" applyBorder="1" applyNumberFormat="1">
      <alignment horizontal="left" vertical="top" wrapText="1"/>
    </xf>
    <xf numFmtId="0" fontId="0" fillId="0" borderId="25" xfId="0" applyFont="1" applyBorder="1" applyNumberFormat="1">
      <alignment horizontal="center" vertical="top"/>
    </xf>
    <xf numFmtId="0" fontId="23" fillId="0" borderId="25" xfId="0" applyFont="1" applyBorder="1" applyNumberFormat="1">
      <alignment horizontal="left" vertical="top"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43" borderId="14" xfId="0" applyFont="1" applyFill="1" applyBorder="1" applyNumberFormat="1">
      <alignment horizontal="left" vertical="top" wrapText="1"/>
    </xf>
    <xf numFmtId="0" fontId="0"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49" fontId="23" fillId="43" borderId="19"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0" fillId="37" borderId="14" xfId="0" applyFont="1" applyFill="1" applyBorder="1" applyNumberFormat="1">
      <alignment horizontal="left" vertical="center" wrapText="1"/>
    </xf>
    <xf numFmtId="49" fontId="0" fillId="37" borderId="14" xfId="0" applyFont="1" applyFill="1" applyBorder="1" applyNumberFormat="1">
      <alignment horizontal="left" vertical="center" wrapText="1"/>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49" fontId="23" fillId="43" borderId="38" xfId="0" applyFont="1" applyFill="1" applyBorder="1" applyNumberFormat="1">
      <alignment horizontal="center"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49" fontId="0" fillId="43" borderId="14" xfId="0" applyFont="1" applyFill="1" applyBorder="1" applyNumberFormat="1">
      <alignment horizontal="left" vertical="top"/>
    </xf>
    <xf numFmtId="49" fontId="0" fillId="0" borderId="14" xfId="0" applyFont="1" applyBorder="1" applyNumberFormat="1">
      <alignment vertical="top"/>
    </xf>
    <xf numFmtId="49" fontId="0" fillId="39" borderId="14" xfId="0" applyFont="1" applyFill="1" applyBorder="1" applyNumberFormat="1">
      <alignment horizontal="left" vertical="top"/>
      <protection locked="0"/>
    </xf>
    <xf numFmtId="49" fontId="23" fillId="43" borderId="25" xfId="0" applyFont="1" applyFill="1" applyBorder="1" applyNumberFormat="1">
      <alignment horizontal="center" vertical="center" wrapText="1"/>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31" xfId="0" applyFont="1" applyFill="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15" xfId="0" applyFont="1" applyFill="1" applyBorder="1" applyNumberFormat="1">
      <alignment horizontal="left" vertical="center"/>
    </xf>
    <xf numFmtId="49" fontId="0" fillId="0" borderId="0" xfId="0" applyFont="1" applyNumberFormat="1">
      <alignment vertical="center"/>
    </xf>
    <xf numFmtId="0" fontId="0" fillId="0" borderId="0" xfId="0" applyFont="1" applyNumberFormat="1">
      <alignment vertical="center"/>
    </xf>
    <xf numFmtId="0" fontId="45" fillId="0" borderId="0" xfId="0" applyFont="1" applyNumberFormat="1">
      <alignment horizontal="center" vertical="center" wrapText="1"/>
    </xf>
    <xf numFmtId="49" fontId="0" fillId="0" borderId="38" xfId="0" applyFont="1" applyBorder="1" applyNumberFormat="1">
      <alignment vertical="top"/>
    </xf>
    <xf numFmtId="49" fontId="0" fillId="0" borderId="38" xfId="0" applyFont="1" applyBorder="1" applyNumberFormat="1">
      <alignment horizontal="left" vertical="top"/>
    </xf>
    <xf numFmtId="0" fontId="23" fillId="43" borderId="38" xfId="0" applyFont="1" applyFill="1" applyBorder="1" applyNumberFormat="1">
      <alignment horizontal="center" vertical="top" wrapText="1"/>
    </xf>
    <xf numFmtId="49" fontId="0" fillId="43" borderId="38" xfId="0" applyFont="1" applyFill="1" applyBorder="1" applyNumberFormat="1">
      <alignment horizontal="left" vertical="top"/>
    </xf>
    <xf numFmtId="0" fontId="0"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49" fontId="23" fillId="43" borderId="19" xfId="0" applyFont="1" applyFill="1" applyBorder="1" applyNumberFormat="1">
      <alignment horizontal="center" vertical="center" wrapText="1"/>
    </xf>
    <xf numFmtId="0" fontId="0" fillId="37" borderId="14" xfId="0" applyFont="1" applyFill="1" applyBorder="1" applyNumberFormat="1">
      <alignment horizontal="left" vertical="center" wrapText="1"/>
    </xf>
    <xf numFmtId="49" fontId="0" fillId="42" borderId="14" xfId="0" applyFont="1" applyFill="1" applyBorder="1" applyNumberFormat="1">
      <alignment horizontal="left" vertical="center" wrapText="1"/>
      <protection locked="0"/>
    </xf>
    <xf numFmtId="49"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0" fontId="23" fillId="0" borderId="0" xfId="0" applyFont="1" applyNumberFormat="1">
      <alignment horizontal="left" vertical="center" indent="1"/>
    </xf>
    <xf numFmtId="0" fontId="0" fillId="0" borderId="0" xfId="0" applyFont="1" applyNumberFormat="1">
      <alignment horizontal="left" vertical="center" indent="1"/>
    </xf>
    <xf numFmtId="0" fontId="0" fillId="0" borderId="0" xfId="0" applyFont="1" applyNumberFormat="1">
      <alignment vertical="center"/>
    </xf>
    <xf numFmtId="49" fontId="23" fillId="43" borderId="38" xfId="0" applyFont="1" applyFill="1" applyBorder="1" applyNumberFormat="1">
      <alignment horizontal="center"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49" fontId="0" fillId="39" borderId="38" xfId="0" applyFont="1" applyFill="1" applyBorder="1" applyNumberFormat="1">
      <alignment vertical="top"/>
      <protection locked="0"/>
    </xf>
    <xf numFmtId="49" fontId="0" fillId="43" borderId="38" xfId="0" applyFont="1" applyFill="1" applyBorder="1" applyNumberFormat="1">
      <alignment horizontal="left" vertical="center" wrapText="1"/>
      <protection locked="0"/>
    </xf>
    <xf numFmtId="49" fontId="23" fillId="43" borderId="38" xfId="0" applyFont="1" applyFill="1" applyBorder="1" applyNumberFormat="1">
      <alignment horizontal="center" vertical="center" wrapText="1"/>
    </xf>
    <xf numFmtId="49" fontId="0" fillId="0" borderId="14" xfId="0" applyFont="1" applyBorder="1" applyNumberFormat="1">
      <alignment vertical="top"/>
    </xf>
    <xf numFmtId="49" fontId="0" fillId="39" borderId="14" xfId="0" applyFont="1" applyFill="1" applyBorder="1" applyNumberFormat="1">
      <alignment horizontal="left" vertical="top"/>
      <protection locked="0"/>
    </xf>
    <xf numFmtId="49" fontId="0" fillId="37" borderId="14" xfId="0" applyFont="1" applyFill="1" applyBorder="1" applyNumberFormat="1">
      <alignment horizontal="left" vertical="center" wrapText="1"/>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48" fillId="40" borderId="31" xfId="0" applyFont="1" applyFill="1" applyBorder="1" applyNumberFormat="1">
      <alignment horizontal="left" vertical="center"/>
    </xf>
    <xf numFmtId="0" fontId="48" fillId="40" borderId="15" xfId="0" applyFont="1" applyFill="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15" xfId="0" applyFont="1" applyFill="1" applyBorder="1" applyNumberFormat="1">
      <alignment horizontal="left" vertical="center"/>
    </xf>
    <xf numFmtId="0" fontId="0"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0" fontId="23" fillId="0" borderId="0" xfId="0" applyFont="1" applyNumberFormat="1">
      <alignment vertical="center"/>
    </xf>
    <xf numFmtId="49" fontId="55" fillId="0" borderId="0" xfId="0" applyFont="1" applyNumberFormat="1">
      <alignment vertical="top"/>
    </xf>
    <xf numFmtId="49" fontId="55" fillId="0" borderId="0" xfId="0" applyFont="1" applyNumberFormat="1">
      <alignment horizontal="center" vertical="center"/>
    </xf>
    <xf numFmtId="49" fontId="55" fillId="0" borderId="0" xfId="0" applyFont="1" applyNumberFormat="1">
      <alignment horizontal="center" vertical="center"/>
    </xf>
    <xf numFmtId="49" fontId="54" fillId="0" borderId="0" xfId="0" applyFont="1" applyNumberFormat="1">
      <alignment horizontal="center" vertical="center"/>
    </xf>
    <xf numFmtId="49" fontId="72"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21" xfId="0" applyFont="1" applyBorder="1" applyNumberFormat="1">
      <alignment horizontal="left" vertical="center" wrapText="1" indent="1"/>
    </xf>
    <xf numFmtId="0" fontId="22" fillId="0" borderId="0" xfId="0" applyFont="1" applyNumberFormat="1">
      <alignment horizontal="left" vertical="center" wrapText="1" indent="1"/>
    </xf>
    <xf numFmtId="0" fontId="50" fillId="0" borderId="0" xfId="0" applyFont="1" applyNumberFormat="1">
      <alignment vertical="center"/>
    </xf>
    <xf numFmtId="0" fontId="118" fillId="0" borderId="0" xfId="0" applyFont="1" applyNumberFormat="1">
      <alignment vertical="center" wrapText="1"/>
    </xf>
    <xf numFmtId="0" fontId="119" fillId="0" borderId="0" xfId="0" applyFont="1" applyNumberFormat="1">
      <alignment vertical="center" wrapText="1"/>
    </xf>
    <xf numFmtId="0" fontId="5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49" fontId="23" fillId="0" borderId="0" xfId="0" applyFont="1" applyNumberFormat="1">
      <alignment vertical="top"/>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xf>
    <xf numFmtId="49" fontId="23" fillId="0" borderId="39" xfId="0" applyFont="1" applyBorder="1" applyNumberFormat="1">
      <alignment vertical="center" wrapText="1"/>
    </xf>
    <xf numFmtId="0" fontId="23"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23" fillId="0" borderId="21" xfId="0" applyFont="1" applyBorder="1" applyNumberFormat="1">
      <alignment vertical="center" wrapText="1"/>
    </xf>
    <xf numFmtId="49" fontId="23" fillId="0" borderId="24" xfId="0" applyFont="1" applyBorder="1" applyNumberFormat="1">
      <alignment vertical="center" wrapText="1"/>
    </xf>
    <xf numFmtId="0" fontId="23" fillId="0" borderId="0" xfId="0" applyFont="1" applyNumberFormat="1">
      <alignment horizontal="center" vertical="center"/>
    </xf>
    <xf numFmtId="0" fontId="23"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49" fontId="45" fillId="0" borderId="0" xfId="0" applyFont="1" applyNumberFormat="1">
      <alignment horizontal="center" vertical="center" wrapText="1"/>
    </xf>
    <xf numFmtId="0" fontId="48" fillId="0" borderId="0" xfId="0" applyFont="1" applyNumberFormat="1">
      <alignment vertical="center"/>
    </xf>
    <xf numFmtId="0" fontId="48" fillId="0" borderId="24" xfId="0" applyFont="1" applyBorder="1" applyNumberFormat="1">
      <alignment horizontal="left" vertical="center"/>
    </xf>
    <xf numFmtId="49" fontId="23" fillId="0" borderId="19" xfId="0" applyFont="1" applyBorder="1" applyNumberFormat="1">
      <alignment horizontal="center" vertical="center"/>
    </xf>
    <xf numFmtId="0" fontId="23" fillId="0" borderId="19" xfId="0" applyFont="1" applyBorder="1" applyNumberFormat="1">
      <alignment horizontal="left" vertical="center" wrapText="1"/>
    </xf>
    <xf numFmtId="0" fontId="23" fillId="0" borderId="39" xfId="0" applyFont="1" applyBorder="1" applyNumberFormat="1">
      <alignment horizontal="left" vertical="center" wrapText="1"/>
    </xf>
    <xf numFmtId="49" fontId="72" fillId="0" borderId="32" xfId="0" applyFont="1" applyBorder="1" applyNumberFormat="1">
      <alignment vertical="top"/>
    </xf>
    <xf numFmtId="49" fontId="72" fillId="0" borderId="29" xfId="0" applyFont="1" applyBorder="1" applyNumberFormat="1">
      <alignment vertical="top"/>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0" borderId="0" xfId="0" applyFont="1" applyNumberFormat="1">
      <alignment horizontal="left" vertical="center" wrapText="1"/>
    </xf>
    <xf numFmtId="0" fontId="23" fillId="0" borderId="16" xfId="0" applyFont="1" applyBorder="1" applyNumberFormat="1">
      <alignment horizontal="left" vertical="center" wrapText="1"/>
    </xf>
    <xf numFmtId="49" fontId="0"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23" fillId="37" borderId="0" xfId="0" applyFont="1" applyFill="1" applyNumberFormat="1"/>
    <xf numFmtId="0" fontId="66" fillId="37" borderId="0" xfId="0" applyFont="1" applyFill="1" applyNumberFormat="1"/>
    <xf numFmtId="0" fontId="55" fillId="37" borderId="0" xfId="0" applyFont="1" applyFill="1" applyNumberFormat="1"/>
    <xf numFmtId="0" fontId="66" fillId="37" borderId="0" xfId="0" applyFont="1" applyFill="1" applyNumberFormat="1">
      <alignment horizontal="center"/>
    </xf>
    <xf numFmtId="0" fontId="95" fillId="0" borderId="0" xfId="0" applyFont="1" applyNumberFormat="1">
      <alignment vertical="center"/>
    </xf>
    <xf numFmtId="0" fontId="94" fillId="0" borderId="0" xfId="0" applyFont="1" applyNumberFormat="1">
      <alignment vertical="center"/>
    </xf>
    <xf numFmtId="0" fontId="78" fillId="37" borderId="0" xfId="0" applyFont="1" applyFill="1" applyNumberFormat="1">
      <alignment horizontal="right" vertical="center"/>
    </xf>
    <xf numFmtId="0" fontId="23" fillId="37" borderId="0" xfId="0" applyFont="1" applyFill="1" applyNumberFormat="1">
      <alignment vertical="center" wrapText="1"/>
    </xf>
    <xf numFmtId="0" fontId="55" fillId="37" borderId="0" xfId="0" applyFont="1" applyFill="1" applyNumberFormat="1">
      <alignment vertical="center" wrapText="1"/>
    </xf>
    <xf numFmtId="0" fontId="23" fillId="37" borderId="0" xfId="0" applyFont="1" applyFill="1" applyNumberFormat="1">
      <alignment horizontal="center" vertical="center" wrapText="1"/>
    </xf>
    <xf numFmtId="0" fontId="98" fillId="37" borderId="0" xfId="0" applyFont="1" applyFill="1" applyNumberFormat="1">
      <alignment horizontal="left" vertical="center"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44" fillId="37" borderId="0" xfId="0" applyFont="1" applyFill="1" applyNumberFormat="1">
      <alignment horizontal="center" vertical="center"/>
    </xf>
    <xf numFmtId="49" fontId="55" fillId="0" borderId="14" xfId="0" applyFont="1" applyBorder="1" applyNumberFormat="1">
      <alignment horizontal="center" vertical="center"/>
    </xf>
    <xf numFmtId="0" fontId="55" fillId="0" borderId="14" xfId="0" applyFont="1" applyBorder="1" applyNumberFormat="1">
      <alignment vertical="center" wrapText="1"/>
    </xf>
    <xf numFmtId="0" fontId="55" fillId="0" borderId="14" xfId="0" applyFont="1" applyBorder="1" applyNumberFormat="1">
      <alignment horizontal="left" vertical="center" wrapText="1"/>
    </xf>
    <xf numFmtId="0" fontId="70" fillId="37" borderId="0" xfId="0" applyFont="1" applyFill="1" applyNumberFormat="1"/>
    <xf numFmtId="49" fontId="0" fillId="37" borderId="14" xfId="0" applyFont="1" applyFill="1" applyBorder="1" applyNumberFormat="1">
      <alignment horizontal="center" vertical="center"/>
    </xf>
    <xf numFmtId="0" fontId="0" fillId="37" borderId="14" xfId="0" applyFont="1" applyFill="1" applyBorder="1" applyNumberFormat="1">
      <alignment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vertical="center" wrapText="1"/>
    </xf>
    <xf numFmtId="0" fontId="0" fillId="37" borderId="14" xfId="0" applyFont="1" applyFill="1" applyBorder="1" applyNumberFormat="1">
      <alignment horizontal="left" vertical="center" wrapText="1" indent="1"/>
    </xf>
    <xf numFmtId="49" fontId="0" fillId="42" borderId="14" xfId="0" applyFont="1" applyFill="1" applyBorder="1" applyNumberFormat="1">
      <alignment horizontal="left" vertical="center" wrapText="1"/>
      <protection locked="0"/>
    </xf>
    <xf numFmtId="0" fontId="55" fillId="0" borderId="14" xfId="0" applyFont="1" applyBorder="1" applyNumberFormat="1">
      <alignment horizontal="left" vertical="center" wrapText="1" indent="1"/>
    </xf>
    <xf numFmtId="49" fontId="23"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95" fillId="0" borderId="0" xfId="0" applyFont="1" applyNumberFormat="1">
      <alignment vertical="center" wrapText="1"/>
    </xf>
    <xf numFmtId="0" fontId="0" fillId="37" borderId="14" xfId="0" applyFont="1" applyFill="1" applyBorder="1" applyNumberFormat="1">
      <alignment horizontal="center" vertical="center"/>
    </xf>
    <xf numFmtId="0" fontId="0" fillId="37" borderId="14" xfId="0" applyFont="1" applyFill="1" applyBorder="1" applyNumberFormat="1">
      <alignment horizontal="left" vertical="center" wrapText="1" indent="2"/>
    </xf>
    <xf numFmtId="49" fontId="0" fillId="0" borderId="14" xfId="0" applyFont="1" applyBorder="1" applyNumberFormat="1">
      <alignment horizontal="left" vertical="center" wrapText="1"/>
    </xf>
    <xf numFmtId="49" fontId="23" fillId="37" borderId="0" xfId="0" applyFont="1" applyFill="1" applyNumberFormat="1">
      <alignment vertical="center" wrapText="1"/>
    </xf>
    <xf numFmtId="0" fontId="23" fillId="37" borderId="26" xfId="0" applyFont="1" applyFill="1" applyBorder="1" applyNumberFormat="1">
      <alignment vertical="center" wrapText="1"/>
    </xf>
    <xf numFmtId="0" fontId="23" fillId="40" borderId="16" xfId="0" applyFont="1" applyFill="1" applyBorder="1" applyNumberFormat="1">
      <alignment horizontal="center"/>
    </xf>
    <xf numFmtId="49" fontId="48" fillId="40" borderId="17" xfId="0" applyFont="1" applyFill="1" applyBorder="1" applyNumberFormat="1">
      <alignment horizontal="left" vertical="center" indent="1"/>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0" fontId="55" fillId="37" borderId="0" xfId="0" applyFont="1" applyFill="1" applyNumberFormat="1"/>
    <xf numFmtId="49" fontId="55" fillId="37" borderId="14" xfId="0" applyFont="1" applyFill="1" applyBorder="1" applyNumberFormat="1">
      <alignment horizontal="center" vertical="center"/>
    </xf>
    <xf numFmtId="0" fontId="55" fillId="37" borderId="14" xfId="0" applyFont="1" applyFill="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0" fontId="0" fillId="37" borderId="14" xfId="0" applyFont="1" applyFill="1" applyBorder="1" applyNumberFormat="1">
      <alignment horizontal="left" vertical="center" wrapText="1"/>
    </xf>
    <xf numFmtId="49" fontId="0" fillId="39" borderId="14" xfId="0" applyFont="1" applyFill="1" applyBorder="1" applyNumberFormat="1">
      <alignment horizontal="left" vertical="center" wrapText="1"/>
      <protection locked="0"/>
    </xf>
    <xf numFmtId="0" fontId="0" fillId="37" borderId="19" xfId="0" applyFont="1" applyFill="1" applyBorder="1" applyNumberFormat="1">
      <alignment horizontal="left" vertical="center" wrapText="1"/>
    </xf>
    <xf numFmtId="0" fontId="23" fillId="37" borderId="19" xfId="0" applyFont="1" applyFill="1" applyBorder="1" applyNumberFormat="1">
      <alignment horizontal="left" vertical="top" wrapText="1"/>
    </xf>
    <xf numFmtId="49" fontId="0" fillId="0" borderId="14" xfId="0" applyFont="1" applyBorder="1" applyNumberFormat="1">
      <alignment horizontal="left" vertical="center" wrapText="1" indent="1"/>
    </xf>
    <xf numFmtId="0" fontId="23" fillId="37" borderId="38" xfId="0" applyFont="1" applyFill="1" applyBorder="1" applyNumberFormat="1">
      <alignment horizontal="left" vertical="top" wrapText="1"/>
    </xf>
    <xf numFmtId="0" fontId="45" fillId="37" borderId="0" xfId="0" applyFont="1" applyFill="1" applyNumberFormat="1">
      <alignment horizontal="center" vertical="center"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37" borderId="25" xfId="0" applyFont="1" applyFill="1" applyBorder="1" applyNumberFormat="1">
      <alignment horizontal="left" vertical="top" wrapText="1"/>
    </xf>
    <xf numFmtId="0" fontId="58" fillId="37" borderId="0" xfId="0" applyFont="1" applyFill="1" applyNumberFormat="1"/>
    <xf numFmtId="49" fontId="23" fillId="42" borderId="14" xfId="0" applyFont="1" applyFill="1" applyBorder="1" applyNumberFormat="1" quotePrefix="1">
      <alignment horizontal="left" vertical="center" wrapText="1"/>
      <protection locked="0"/>
    </xf>
    <xf numFmtId="49" fontId="23" fillId="39"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0" fillId="37" borderId="16" xfId="0" applyFont="1" applyFill="1" applyBorder="1" applyNumberFormat="1">
      <alignment horizontal="left" vertical="center" wrapText="1" indent="1"/>
    </xf>
    <xf numFmtId="49" fontId="23" fillId="43" borderId="16" xfId="0" applyFont="1" applyFill="1" applyBorder="1" applyNumberFormat="1">
      <alignment horizontal="left" vertical="center" wrapText="1"/>
    </xf>
    <xf numFmtId="0" fontId="0" fillId="37" borderId="14" xfId="0" applyFont="1" applyFill="1" applyBorder="1" applyNumberFormat="1">
      <alignment vertical="top" wrapText="1"/>
    </xf>
    <xf numFmtId="49" fontId="23" fillId="37" borderId="0" xfId="0" applyFont="1" applyFill="1" applyNumberFormat="1">
      <alignment horizontal="center" vertical="center" wrapText="1"/>
    </xf>
    <xf numFmtId="0" fontId="0" fillId="37" borderId="16" xfId="0" applyFont="1" applyFill="1" applyBorder="1" applyNumberFormat="1">
      <alignment horizontal="left" vertical="center" wrapText="1"/>
    </xf>
    <xf numFmtId="0" fontId="0" fillId="37" borderId="25" xfId="0" applyFont="1" applyFill="1" applyBorder="1" applyNumberFormat="1">
      <alignment vertical="center" wrapText="1"/>
    </xf>
    <xf numFmtId="0" fontId="81" fillId="37" borderId="0" xfId="0" applyFont="1" applyFill="1" applyNumberFormat="1"/>
    <xf numFmtId="0" fontId="23" fillId="0" borderId="0" xfId="0" applyFont="1" applyNumberFormat="1">
      <alignment vertical="top" wrapText="1"/>
    </xf>
    <xf numFmtId="0" fontId="55" fillId="0" borderId="0" xfId="0" applyFont="1" applyNumberFormat="1">
      <alignment vertical="center" wrapText="1"/>
    </xf>
    <xf numFmtId="0" fontId="53" fillId="0" borderId="0" xfId="0" applyFont="1" applyNumberFormat="1">
      <alignment horizontal="right" vertical="top" wrapText="1"/>
    </xf>
    <xf numFmtId="0" fontId="53" fillId="0" borderId="0" xfId="0" applyFont="1" applyNumberFormat="1">
      <alignment horizontal="left" vertical="top" wrapText="1" indent="1"/>
    </xf>
    <xf numFmtId="0" fontId="53" fillId="0" borderId="0" xfId="0" applyFont="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2" fillId="37" borderId="0" xfId="0" applyFont="1" applyFill="1" applyNumberFormat="1">
      <alignment horizontal="right" vertical="center"/>
    </xf>
    <xf numFmtId="0" fontId="83" fillId="37" borderId="0" xfId="0" applyFont="1" applyFill="1" applyNumberFormat="1">
      <alignment vertical="center"/>
    </xf>
    <xf numFmtId="0" fontId="82" fillId="37" borderId="0" xfId="0" applyFont="1" applyFill="1" applyNumberFormat="1">
      <alignment horizontal="right" vertical="top"/>
    </xf>
    <xf numFmtId="0" fontId="83" fillId="37" borderId="0" xfId="0" applyFont="1" applyFill="1" applyNumberFormat="1">
      <alignment vertical="center" wrapText="1"/>
    </xf>
    <xf numFmtId="0" fontId="23" fillId="37" borderId="0" xfId="0" applyFont="1" applyFill="1" applyNumberFormat="1"/>
    <xf numFmtId="0" fontId="0" fillId="37" borderId="0" xfId="0" applyFont="1" applyFill="1" applyNumberFormat="1"/>
    <xf numFmtId="0" fontId="0" fillId="37" borderId="0" xfId="0" applyFont="1" applyFill="1" applyNumberFormat="1">
      <alignment horizontal="center"/>
    </xf>
    <xf numFmtId="0" fontId="54" fillId="0" borderId="0" xfId="0" applyFont="1" applyNumberFormat="1">
      <alignment horizontal="center" vertical="center" wrapTex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45" fillId="37" borderId="0" xfId="0" applyFont="1" applyFill="1" applyNumberFormat="1">
      <alignment horizontal="center" vertical="center" wrapText="1"/>
    </xf>
    <xf numFmtId="0" fontId="22" fillId="0" borderId="0" xfId="0" applyFont="1" applyNumberFormat="1">
      <alignment horizontal="left" vertical="center" wrapText="1" indent="3"/>
    </xf>
    <xf numFmtId="0" fontId="69" fillId="0" borderId="0" xfId="0" applyFont="1" applyNumberFormat="1">
      <alignment horizontal="center" vertical="center" wrapText="1"/>
    </xf>
    <xf numFmtId="0" fontId="69" fillId="0" borderId="0" xfId="0" applyFont="1" applyNumberFormat="1">
      <alignment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65" fillId="0" borderId="0" xfId="0" applyFont="1" applyNumberFormat="1">
      <alignment vertical="center" wrapText="1"/>
    </xf>
    <xf numFmtId="0" fontId="63" fillId="0" borderId="0" xfId="0" applyFont="1" applyNumberFormat="1">
      <alignment vertical="center" wrapText="1"/>
    </xf>
    <xf numFmtId="0" fontId="84" fillId="37" borderId="0" xfId="0" applyFont="1" applyFill="1" applyNumberFormat="1">
      <alignment horizontal="center" vertical="center" wrapText="1"/>
    </xf>
    <xf numFmtId="0" fontId="65" fillId="0" borderId="0" xfId="0" applyFont="1" applyNumberFormat="1">
      <alignment horizontal="left" vertical="center" wrapText="1" indent="1"/>
    </xf>
    <xf numFmtId="0" fontId="23" fillId="0" borderId="0" xfId="0" applyFont="1" applyNumberFormat="1">
      <alignment horizontal="right" vertical="center"/>
    </xf>
    <xf numFmtId="0" fontId="55" fillId="0" borderId="0" xfId="0" applyFont="1" applyNumberFormat="1">
      <alignment vertical="center" wrapText="1"/>
    </xf>
    <xf numFmtId="0" fontId="0" fillId="0" borderId="16"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44" fillId="37" borderId="0" xfId="0" applyFont="1" applyFill="1" applyNumberFormat="1">
      <alignment horizontal="center" vertical="center" wrapText="1"/>
    </xf>
    <xf numFmtId="49" fontId="44" fillId="37" borderId="0" xfId="0" applyFont="1" applyFill="1" applyNumberFormat="1">
      <alignment horizontal="center" vertical="center" wrapText="1"/>
    </xf>
    <xf numFmtId="0" fontId="23" fillId="0" borderId="0" xfId="0" applyFont="1" applyNumberFormat="1">
      <alignment vertical="center" wrapText="1"/>
    </xf>
    <xf numFmtId="0" fontId="77" fillId="0" borderId="0" xfId="0" applyFont="1" applyNumberFormat="1">
      <alignmen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49" fontId="77" fillId="0" borderId="14" xfId="0" applyFont="1" applyBorder="1" applyNumberFormat="1">
      <alignment horizontal="left" vertical="center" wrapText="1"/>
    </xf>
    <xf numFmtId="49" fontId="0" fillId="0" borderId="14" xfId="0" applyFont="1" applyBorder="1" applyNumberFormat="1">
      <alignment vertical="top" wrapText="1"/>
    </xf>
    <xf numFmtId="49" fontId="0" fillId="0" borderId="14" xfId="0" applyFont="1" applyBorder="1" applyNumberFormat="1">
      <alignment horizontal="center" vertical="center" wrapText="1"/>
    </xf>
    <xf numFmtId="49" fontId="0" fillId="39"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 fontId="0" fillId="42"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 fontId="0" fillId="42" borderId="15" xfId="0" applyFont="1" applyFill="1" applyBorder="1" applyNumberFormat="1">
      <alignment horizontal="right" vertical="center" wrapText="1"/>
      <protection locked="0"/>
    </xf>
    <xf numFmtId="0" fontId="0" fillId="39" borderId="14" xfId="0" applyFont="1" applyFill="1" applyBorder="1" applyNumberFormat="1">
      <alignment horizontal="right" vertical="center" wrapText="1"/>
      <protection locked="0"/>
    </xf>
    <xf numFmtId="3" fontId="0" fillId="0" borderId="15" xfId="0" applyFont="1" applyBorder="1" applyNumberFormat="1">
      <alignment horizontal="right" vertical="center" wrapText="1"/>
    </xf>
    <xf numFmtId="0" fontId="0" fillId="0" borderId="19" xfId="0" applyFont="1" applyBorder="1" applyNumberFormat="1">
      <alignment horizontal="left" vertical="top" wrapText="1"/>
    </xf>
    <xf numFmtId="49" fontId="36" fillId="40" borderId="16" xfId="0" applyFont="1" applyFill="1" applyBorder="1" applyNumberFormat="1">
      <alignment horizontal="center" vertical="center"/>
    </xf>
    <xf numFmtId="0" fontId="48" fillId="40" borderId="17" xfId="0" applyFont="1" applyFill="1" applyBorder="1" applyNumberFormat="1">
      <alignment vertical="center"/>
    </xf>
    <xf numFmtId="49" fontId="48" fillId="40" borderId="17" xfId="0" applyFont="1" applyFill="1" applyBorder="1" applyNumberFormat="1">
      <alignment vertical="center"/>
    </xf>
    <xf numFmtId="49" fontId="78" fillId="40" borderId="17" xfId="0" applyFont="1" applyFill="1" applyBorder="1" applyNumberFormat="1">
      <alignment vertical="center"/>
    </xf>
    <xf numFmtId="49" fontId="78" fillId="40" borderId="15" xfId="0" applyFont="1" applyFill="1" applyBorder="1" applyNumberFormat="1">
      <alignment vertical="center"/>
    </xf>
    <xf numFmtId="0" fontId="0" fillId="0" borderId="25" xfId="0" applyFont="1" applyBorder="1" applyNumberFormat="1">
      <alignment horizontal="left" vertical="top" wrapText="1"/>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50" fillId="0" borderId="0" xfId="0" applyFont="1" applyNumberFormat="1">
      <alignment vertical="center" wrapText="1"/>
    </xf>
    <xf numFmtId="0" fontId="55" fillId="0" borderId="0" xfId="0" applyFont="1" applyNumberFormat="1">
      <alignment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49" fontId="0" fillId="0" borderId="39" xfId="0" applyFont="1" applyBorder="1" applyNumberFormat="1">
      <alignment horizontal="center" vertical="center" wrapText="1"/>
    </xf>
    <xf numFmtId="0" fontId="23" fillId="43" borderId="21" xfId="0" applyFont="1" applyFill="1" applyBorder="1" applyNumberFormat="1">
      <alignment horizontal="lef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0" fontId="55" fillId="0" borderId="0" xfId="0" applyFont="1" applyNumberFormat="1">
      <alignment vertical="center"/>
    </xf>
    <xf numFmtId="49" fontId="0" fillId="0" borderId="32" xfId="0" applyFont="1" applyBorder="1" applyNumberFormat="1">
      <alignment horizontal="center" vertical="center" wrapText="1"/>
    </xf>
    <xf numFmtId="0" fontId="23" fillId="43" borderId="29" xfId="0" applyFont="1" applyFill="1" applyBorder="1" applyNumberFormat="1">
      <alignment horizontal="left" vertical="center" wrapText="1"/>
    </xf>
    <xf numFmtId="0" fontId="93" fillId="0" borderId="0" xfId="0" applyFont="1" applyNumberFormat="1">
      <alignment vertical="center" wrapText="1"/>
    </xf>
    <xf numFmtId="0" fontId="55" fillId="0" borderId="0" xfId="0" applyFont="1" applyNumberFormat="1">
      <alignment vertical="center" wrapText="1"/>
    </xf>
    <xf numFmtId="0" fontId="45" fillId="37" borderId="0" xfId="0" applyFont="1" applyFill="1" applyNumberFormat="1">
      <alignment horizontal="center" vertical="center" wrapText="1"/>
    </xf>
    <xf numFmtId="0" fontId="23" fillId="0" borderId="21" xfId="0" applyFont="1" applyBorder="1" applyNumberFormat="1">
      <alignment horizontal="left" vertical="top" wrapText="1" indent="1"/>
    </xf>
    <xf numFmtId="0" fontId="69" fillId="0" borderId="0" xfId="0" applyFont="1" applyNumberFormat="1">
      <alignment vertical="center" wrapText="1"/>
    </xf>
    <xf numFmtId="0" fontId="65" fillId="0" borderId="0" xfId="0" applyFont="1" applyNumberFormat="1">
      <alignment vertical="center" wrapText="1"/>
    </xf>
    <xf numFmtId="0" fontId="63" fillId="0" borderId="0" xfId="0" applyFont="1" applyNumberFormat="1">
      <alignment vertical="center" wrapText="1"/>
    </xf>
    <xf numFmtId="0" fontId="23" fillId="0" borderId="25" xfId="0" applyFont="1" applyBorder="1" applyNumberFormat="1">
      <alignment horizontal="center" vertical="center" wrapText="1"/>
    </xf>
    <xf numFmtId="0" fontId="23" fillId="0" borderId="0" xfId="0" applyFont="1" applyNumberFormat="1">
      <alignmen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40" fillId="0" borderId="0" xfId="0" applyFont="1" applyNumberFormat="1">
      <alignment vertical="center" wrapText="1"/>
    </xf>
    <xf numFmtId="0" fontId="23" fillId="0" borderId="0" xfId="0" applyFont="1" applyNumberFormat="1">
      <alignment vertical="center" wrapText="1"/>
    </xf>
    <xf numFmtId="0" fontId="55" fillId="0" borderId="0" xfId="0" applyFont="1" applyNumberFormat="1">
      <alignment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2" fillId="0" borderId="0" xfId="0" applyFont="1" applyNumberFormat="1">
      <alignment horizontal="center" vertical="center" wrapText="1"/>
    </xf>
    <xf numFmtId="0" fontId="50" fillId="0" borderId="0" xfId="0" applyFont="1" applyNumberFormat="1">
      <alignment vertical="center" wrapText="1"/>
    </xf>
    <xf numFmtId="4" fontId="65" fillId="0" borderId="0" xfId="0" applyFont="1" applyNumberFormat="1">
      <alignment horizontal="right"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44" fillId="37" borderId="17" xfId="0" applyFont="1" applyFill="1" applyBorder="1" applyNumberFormat="1">
      <alignment horizontal="center" vertical="center" wrapText="1"/>
    </xf>
    <xf numFmtId="49" fontId="44" fillId="37" borderId="17" xfId="0" applyFont="1" applyFill="1" applyBorder="1" applyNumberFormat="1">
      <alignment horizontal="center"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top"/>
    </xf>
    <xf numFmtId="0" fontId="45" fillId="37" borderId="26" xfId="0" applyFont="1" applyFill="1" applyBorder="1" applyNumberFormat="1">
      <alignment vertical="top"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49" fontId="34" fillId="40" borderId="15" xfId="0" applyFont="1" applyFill="1" applyBorder="1" applyNumberFormat="1">
      <alignment horizontal="left" vertical="center" wrapText="1"/>
    </xf>
    <xf numFmtId="0" fontId="0" fillId="0" borderId="38" xfId="0" applyFont="1" applyBorder="1" applyNumberFormat="1">
      <alignment horizontal="left" vertical="top"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45" fillId="37" borderId="0" xfId="0" applyFont="1" applyFill="1" applyNumberFormat="1">
      <alignment vertical="top" wrapText="1"/>
    </xf>
    <xf numFmtId="0" fontId="55" fillId="37" borderId="25" xfId="0" applyFont="1" applyFill="1" applyBorder="1" applyNumberFormat="1">
      <alignment horizontal="center" vertical="center" wrapText="1"/>
    </xf>
    <xf numFmtId="14" fontId="23" fillId="43" borderId="25" xfId="0" applyFont="1" applyFill="1" applyBorder="1" applyNumberFormat="1">
      <alignment horizontal="left" vertical="center" wrapText="1"/>
    </xf>
    <xf numFmtId="14" fontId="23" fillId="43" borderId="14" xfId="0" applyFont="1" applyFill="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6" fillId="40" borderId="17" xfId="0" applyFont="1" applyFill="1" applyBorder="1" applyNumberFormat="1">
      <alignment horizontal="center" vertical="center"/>
    </xf>
    <xf numFmtId="49" fontId="78" fillId="40" borderId="17" xfId="0" applyFont="1" applyFill="1" applyBorder="1" applyNumberFormat="1">
      <alignment horizontal="left" vertical="center" indent="1"/>
    </xf>
    <xf numFmtId="49" fontId="78" fillId="40" borderId="15" xfId="0" applyFont="1" applyFill="1" applyBorder="1" applyNumberFormat="1">
      <alignment horizontal="left" vertical="center" indent="1"/>
    </xf>
    <xf numFmtId="0" fontId="65" fillId="0" borderId="0" xfId="0" applyFont="1" applyNumberFormat="1">
      <alignment vertical="center" wrapText="1"/>
    </xf>
    <xf numFmtId="0" fontId="84" fillId="0" borderId="0" xfId="0" applyFont="1" applyNumberFormat="1">
      <alignment horizontal="center" vertical="center" wrapText="1"/>
    </xf>
    <xf numFmtId="0" fontId="53" fillId="0" borderId="0" xfId="0" applyFont="1" applyNumberFormat="1">
      <alignment vertical="top" wrapText="1"/>
    </xf>
    <xf numFmtId="0" fontId="23" fillId="0" borderId="0" xfId="0" applyFont="1" applyNumberFormat="1">
      <alignment horizontal="right" vertical="top" wrapText="1"/>
    </xf>
    <xf numFmtId="0" fontId="53"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horizontal="left" vertical="center" indent="1"/>
    </xf>
    <xf numFmtId="0" fontId="54" fillId="0" borderId="14" xfId="0" applyFont="1" applyBorder="1" applyNumberFormat="1">
      <alignment horizontal="center" vertical="center"/>
    </xf>
    <xf numFmtId="0" fontId="54" fillId="0" borderId="0" xfId="0" applyFont="1" applyNumberFormat="1">
      <alignment horizontal="center" vertical="center"/>
    </xf>
    <xf numFmtId="0" fontId="54"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4" xfId="0" applyFont="1" applyBorder="1" applyNumberFormat="1">
      <alignment horizontal="left" vertical="center" wrapText="1" indent="6"/>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53" fillId="0" borderId="14" xfId="0" applyFont="1" applyBorder="1" applyNumberFormat="1">
      <alignment vertical="top" wrapText="1"/>
    </xf>
    <xf numFmtId="0" fontId="54" fillId="0" borderId="16" xfId="0" applyFont="1" applyBorder="1" applyNumberFormat="1">
      <alignment horizontal="center" vertical="center"/>
    </xf>
    <xf numFmtId="0" fontId="23" fillId="0" borderId="0" xfId="0" applyFont="1" applyNumberFormat="1">
      <alignment horizontal="center"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23" fillId="37" borderId="14" xfId="0" applyFont="1" applyFill="1" applyBorder="1" applyNumberFormat="1">
      <alignment horizontal="left" vertical="center" wrapText="1" indent="1"/>
    </xf>
    <xf numFmtId="0" fontId="45" fillId="0" borderId="0" xfId="0" applyFont="1" applyNumberFormat="1">
      <alignment vertical="center" wrapTex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54" fillId="0" borderId="14" xfId="0" applyFont="1" applyBorder="1" applyNumberFormat="1">
      <alignment horizontal="center" vertical="center" wrapText="1"/>
    </xf>
    <xf numFmtId="0" fontId="54"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54" fillId="0" borderId="16" xfId="0" applyFont="1" applyBorder="1" applyNumberFormat="1">
      <alignment horizontal="center" vertical="center" wrapText="1"/>
    </xf>
    <xf numFmtId="0" fontId="54" fillId="0" borderId="0" xfId="0" applyFont="1" applyNumberFormat="1">
      <alignment vertical="center" wrapText="1"/>
    </xf>
    <xf numFmtId="0" fontId="55" fillId="0" borderId="26" xfId="0" applyFont="1" applyBorder="1" applyNumberFormat="1">
      <alignment vertical="center" wrapText="1"/>
    </xf>
    <xf numFmtId="0" fontId="23" fillId="37" borderId="14" xfId="0" applyFont="1" applyFill="1" applyBorder="1" applyNumberFormat="1">
      <alignment horizontal="left" vertical="center" wrapText="1" indent="5"/>
    </xf>
    <xf numFmtId="0" fontId="23" fillId="43" borderId="14" xfId="0" applyFont="1" applyFill="1" applyBorder="1" applyNumberFormat="1">
      <alignment horizontal="left" vertical="center" wrapText="1" indent="6"/>
    </xf>
    <xf numFmtId="4" fontId="23" fillId="39" borderId="14" xfId="0" applyFont="1" applyFill="1" applyBorder="1" applyNumberFormat="1">
      <alignment horizontal="right" vertical="center" wrapText="1"/>
      <protection locked="0"/>
    </xf>
    <xf numFmtId="4" fontId="23" fillId="0" borderId="14" xfId="0" applyFont="1" applyBorder="1" applyNumberFormat="1">
      <alignment horizontal="right" vertical="center" wrapText="1"/>
    </xf>
    <xf numFmtId="164" fontId="23" fillId="39" borderId="14" xfId="0" applyFont="1" applyFill="1" applyBorder="1" applyNumberFormat="1">
      <alignment horizontal="right" vertical="center" wrapText="1"/>
      <protection locked="0"/>
    </xf>
    <xf numFmtId="167" fontId="0" fillId="42" borderId="14" xfId="0" applyFont="1" applyFill="1" applyBorder="1" applyNumberFormat="1">
      <alignment horizontal="center" vertical="center" wrapText="1"/>
      <protection locked="0"/>
    </xf>
    <xf numFmtId="0" fontId="53" fillId="0" borderId="19" xfId="0" applyFont="1" applyBorder="1" applyNumberFormat="1">
      <alignment horizontal="left" vertical="top" wrapText="1"/>
    </xf>
    <xf numFmtId="49" fontId="23" fillId="0" borderId="14" xfId="0" applyFont="1" applyBorder="1" applyNumberFormat="1">
      <alignment horizontal="left" vertical="center" wrapText="1"/>
    </xf>
    <xf numFmtId="4" fontId="55" fillId="0" borderId="14" xfId="0" applyFont="1" applyBorder="1" applyNumberFormat="1">
      <alignment horizontal="center" vertical="center" wrapText="1"/>
    </xf>
    <xf numFmtId="49" fontId="0" fillId="42" borderId="14" xfId="0" applyFont="1" applyFill="1" applyBorder="1" applyNumberFormat="1">
      <alignment horizontal="center" vertical="center" wrapText="1"/>
      <protection locked="0"/>
    </xf>
    <xf numFmtId="0" fontId="53" fillId="0" borderId="38" xfId="0" applyFont="1" applyBorder="1" applyNumberFormat="1">
      <alignment horizontal="left" vertical="top"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6"/>
    </xf>
    <xf numFmtId="49" fontId="23" fillId="40" borderId="15" xfId="0" applyFont="1" applyFill="1" applyBorder="1" applyNumberFormat="1">
      <alignment horizontal="center" vertical="center" wrapText="1"/>
    </xf>
    <xf numFmtId="0" fontId="53" fillId="0" borderId="25" xfId="0" applyFont="1" applyBorder="1" applyNumberFormat="1">
      <alignment horizontal="left" vertical="top" wrapText="1"/>
    </xf>
    <xf numFmtId="49" fontId="48" fillId="40" borderId="17" xfId="0" applyFont="1" applyFill="1" applyBorder="1" applyNumberFormat="1">
      <alignment horizontal="left" vertical="center" indent="5"/>
    </xf>
    <xf numFmtId="49" fontId="0" fillId="40" borderId="17" xfId="0" applyFont="1" applyFill="1" applyBorder="1" applyNumberFormat="1">
      <alignment horizontal="center" vertical="center" wrapText="1"/>
    </xf>
    <xf numFmtId="49" fontId="0" fillId="40" borderId="15" xfId="0" applyFont="1" applyFill="1" applyBorder="1" applyNumberFormat="1">
      <alignment horizontal="center" vertical="center" wrapText="1"/>
    </xf>
    <xf numFmtId="49" fontId="47" fillId="0" borderId="0" xfId="0" applyFont="1" applyNumberFormat="1">
      <alignment vertical="top"/>
    </xf>
    <xf numFmtId="49" fontId="48" fillId="40" borderId="17" xfId="0" applyFont="1" applyFill="1" applyBorder="1" applyNumberFormat="1">
      <alignment horizontal="left" vertical="center" indent="4"/>
    </xf>
    <xf numFmtId="0" fontId="55" fillId="0" borderId="0" xfId="0" applyFont="1" applyNumberFormat="1">
      <alignmen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49" fontId="23" fillId="0" borderId="0" xfId="0" applyFont="1" applyNumberFormat="1">
      <alignment vertical="center" wrapText="1"/>
    </xf>
    <xf numFmtId="4" fontId="54" fillId="0" borderId="14" xfId="0" applyFont="1" applyBorder="1" applyNumberFormat="1">
      <alignment horizontal="right" vertical="center" wrapText="1"/>
    </xf>
    <xf numFmtId="164" fontId="54" fillId="0" borderId="14" xfId="0" applyFont="1" applyBorder="1" applyNumberFormat="1">
      <alignment horizontal="right" vertical="center" wrapText="1"/>
    </xf>
    <xf numFmtId="167"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54"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54" fillId="0" borderId="14" xfId="0" applyFont="1" applyBorder="1" applyNumberFormat="1">
      <alignment vertical="center" wrapText="1"/>
    </xf>
    <xf numFmtId="0" fontId="74" fillId="0" borderId="0" xfId="0" applyFont="1" applyNumberFormat="1">
      <alignment vertical="center" wrapText="1"/>
    </xf>
    <xf numFmtId="0" fontId="54" fillId="0" borderId="0" xfId="0" applyFont="1" applyNumberFormat="1">
      <alignment horizontal="left" vertical="center" wrapText="1"/>
    </xf>
    <xf numFmtId="0" fontId="54" fillId="0" borderId="0" xfId="0" applyFont="1" applyNumberFormat="1">
      <alignment vertical="center" wrapText="1"/>
    </xf>
    <xf numFmtId="0" fontId="47" fillId="37" borderId="0" xfId="0" applyFont="1" applyFill="1" applyNumberFormat="1">
      <alignment vertical="center" wrapText="1"/>
    </xf>
    <xf numFmtId="0" fontId="23" fillId="37" borderId="0" xfId="0" applyFont="1" applyFill="1" applyNumberFormat="1">
      <alignment horizontal="left" vertical="center" wrapText="1"/>
    </xf>
    <xf numFmtId="0" fontId="23" fillId="37" borderId="0" xfId="0" applyFont="1" applyFill="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0" fillId="0" borderId="0" xfId="0" applyFont="1" applyNumberFormat="1">
      <alignment vertical="center"/>
    </xf>
    <xf numFmtId="0" fontId="54" fillId="0" borderId="0" xfId="0" applyFont="1" applyNumberFormat="1">
      <alignment vertical="center"/>
    </xf>
    <xf numFmtId="0" fontId="54" fillId="0" borderId="0" xfId="0" applyFont="1" applyNumberFormat="1">
      <alignment horizontal="center" vertical="center"/>
    </xf>
    <xf numFmtId="0" fontId="0" fillId="37" borderId="14" xfId="0" applyFont="1" applyFill="1" applyBorder="1" applyNumberFormat="1">
      <alignment horizontal="right" vertical="center" wrapText="1" indent="1"/>
    </xf>
    <xf numFmtId="0" fontId="0" fillId="0" borderId="17" xfId="0" applyFont="1" applyBorder="1" applyNumberFormat="1">
      <alignment vertical="center"/>
    </xf>
    <xf numFmtId="0" fontId="23" fillId="38" borderId="14" xfId="0" applyFont="1" applyFill="1" applyBorder="1" applyNumberFormat="1">
      <alignment horizontal="left" vertical="center" wrapText="1" indent="1"/>
    </xf>
    <xf numFmtId="0" fontId="23" fillId="0" borderId="0" xfId="0" applyFont="1" applyNumberFormat="1">
      <alignment vertical="center" wrapText="1"/>
    </xf>
    <xf numFmtId="0" fontId="73" fillId="0" borderId="0" xfId="0" applyFont="1" applyNumberFormat="1">
      <alignment vertical="center"/>
    </xf>
    <xf numFmtId="0" fontId="55" fillId="0" borderId="0" xfId="0" applyFont="1" applyNumberFormat="1">
      <alignment vertical="center"/>
    </xf>
    <xf numFmtId="167" fontId="23" fillId="38" borderId="14" xfId="0" applyFont="1" applyFill="1" applyBorder="1" applyNumberFormat="1">
      <alignment horizontal="left" vertical="center" wrapText="1" indent="1"/>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wrapText="1"/>
    </xf>
    <xf numFmtId="0" fontId="23" fillId="37" borderId="29" xfId="0" applyFont="1" applyFill="1" applyBorder="1" applyNumberFormat="1">
      <alignment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19" xfId="0" applyFont="1" applyBorder="1" applyNumberFormat="1">
      <alignmen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0" fontId="23" fillId="0" borderId="38" xfId="0" applyFont="1" applyBorder="1" applyNumberFormat="1">
      <alignment vertical="center" wrapText="1"/>
    </xf>
    <xf numFmtId="0" fontId="23" fillId="0" borderId="19" xfId="0" applyFont="1" applyBorder="1" applyNumberFormat="1">
      <alignment horizontal="center" vertical="center" wrapText="1"/>
    </xf>
    <xf numFmtId="0" fontId="54"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7" xfId="0" applyFont="1" applyBorder="1" applyNumberFormat="1">
      <alignment horizontal="center" vertical="center" wrapText="1"/>
    </xf>
    <xf numFmtId="0" fontId="23" fillId="37" borderId="38" xfId="0" applyFont="1" applyFill="1" applyBorder="1" applyNumberFormat="1">
      <alignment horizontal="center" vertical="center" wrapText="1"/>
    </xf>
    <xf numFmtId="49" fontId="48" fillId="40" borderId="38" xfId="0" applyFont="1" applyFill="1" applyBorder="1" applyNumberFormat="1">
      <alignment horizontal="center" vertical="center" textRotation="90" wrapText="1"/>
    </xf>
    <xf numFmtId="0" fontId="54" fillId="0" borderId="0" xfId="0" applyFont="1" applyNumberFormat="1">
      <alignment vertical="center"/>
    </xf>
    <xf numFmtId="0" fontId="23" fillId="0" borderId="25" xfId="0" applyFont="1" applyBorder="1" applyNumberFormat="1">
      <alignment vertical="center" wrapText="1"/>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8" fillId="40" borderId="25" xfId="0" applyFont="1" applyFill="1" applyBorder="1" applyNumberFormat="1">
      <alignment horizontal="center" vertical="center" textRotation="90" wrapText="1"/>
    </xf>
    <xf numFmtId="49" fontId="77" fillId="0" borderId="0" xfId="0" applyFont="1" applyNumberFormat="1">
      <alignment vertical="center" wrapText="1"/>
    </xf>
    <xf numFmtId="0" fontId="111" fillId="37" borderId="0" xfId="0" applyFont="1" applyFill="1" applyNumberFormat="1">
      <alignment vertical="center" wrapText="1"/>
    </xf>
    <xf numFmtId="0" fontId="112" fillId="37" borderId="0" xfId="0" applyFont="1" applyFill="1" applyNumberFormat="1">
      <alignment vertical="center" wrapText="1"/>
    </xf>
    <xf numFmtId="49" fontId="85" fillId="37" borderId="21" xfId="0" applyFont="1" applyFill="1" applyBorder="1" applyNumberFormat="1">
      <alignment horizontal="left" vertical="center" wrapText="1"/>
    </xf>
    <xf numFmtId="49" fontId="85" fillId="37" borderId="21" xfId="0" applyFont="1" applyFill="1" applyBorder="1" applyNumberFormat="1">
      <alignment horizontal="center" vertical="center" wrapText="1"/>
    </xf>
    <xf numFmtId="0" fontId="5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167" fontId="0" fillId="42" borderId="19" xfId="0" applyFont="1" applyFill="1" applyBorder="1" applyNumberFormat="1">
      <alignment horizontal="center" vertical="center" wrapText="1"/>
      <protection locked="0"/>
    </xf>
    <xf numFmtId="4" fontId="23" fillId="0" borderId="19" xfId="0" applyFont="1" applyBorder="1" applyNumberFormat="1">
      <alignment horizontal="right" vertical="center" wrapText="1"/>
    </xf>
    <xf numFmtId="49" fontId="23" fillId="0" borderId="14" xfId="0" applyFont="1" applyBorder="1" applyNumberFormat="1">
      <alignment horizontal="left" vertical="center" wrapText="1"/>
    </xf>
    <xf numFmtId="49" fontId="0" fillId="42" borderId="25" xfId="0" applyFont="1" applyFill="1" applyBorder="1" applyNumberFormat="1">
      <alignment horizontal="center" vertical="center" wrapText="1"/>
      <protection locked="0"/>
    </xf>
    <xf numFmtId="4" fontId="23" fillId="0" borderId="25" xfId="0" applyFont="1" applyBorder="1" applyNumberFormat="1">
      <alignment horizontal="right" vertical="center" wrapText="1"/>
    </xf>
    <xf numFmtId="0" fontId="55" fillId="0" borderId="0" xfId="0" applyFont="1" applyNumberFormat="1">
      <alignment horizontal="left" vertical="center" indent="1"/>
    </xf>
    <xf numFmtId="0" fontId="55" fillId="0" borderId="0" xfId="0" applyFont="1" applyNumberFormat="1">
      <alignment vertical="center" wrapText="1"/>
    </xf>
    <xf numFmtId="0" fontId="55" fillId="0" borderId="0" xfId="0" applyFont="1" applyNumberFormat="1">
      <alignment horizontal="center" vertical="center"/>
    </xf>
    <xf numFmtId="0" fontId="55" fillId="0" borderId="0" xfId="0" applyFont="1" applyNumberFormat="1">
      <alignment vertical="center" wrapText="1"/>
    </xf>
    <xf numFmtId="49" fontId="55" fillId="0" borderId="0" xfId="0" applyFont="1" applyNumberFormat="1">
      <alignment vertical="top"/>
    </xf>
    <xf numFmtId="49" fontId="112" fillId="0" borderId="0" xfId="0" applyFont="1" applyNumberFormat="1">
      <alignment vertical="top"/>
    </xf>
    <xf numFmtId="0" fontId="23" fillId="0" borderId="0" xfId="0" applyFont="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23" fillId="0" borderId="0" xfId="0" applyFont="1" applyNumberFormat="1">
      <alignment vertical="center" wrapText="1"/>
    </xf>
    <xf numFmtId="0" fontId="47" fillId="0" borderId="0" xfId="0" applyFont="1" applyNumberFormat="1">
      <alignment vertical="center" wrapText="1"/>
    </xf>
    <xf numFmtId="0" fontId="23" fillId="0" borderId="0" xfId="0" applyFont="1" applyNumberFormat="1">
      <alignment horizontal="left" vertical="center" wrapText="1"/>
    </xf>
    <xf numFmtId="0" fontId="23"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49" fontId="23" fillId="0" borderId="0" xfId="0" applyFont="1" applyNumberFormat="1">
      <alignment vertical="center" wrapText="1"/>
    </xf>
    <xf numFmtId="0" fontId="23" fillId="0" borderId="14" xfId="0" applyFont="1" applyBorder="1" applyNumberFormat="1">
      <alignment horizontal="center" vertical="center"/>
    </xf>
    <xf numFmtId="0" fontId="23" fillId="0" borderId="0" xfId="0" applyFont="1" applyNumberFormat="1">
      <alignment horizontal="center" vertical="center"/>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0" fontId="23" fillId="37" borderId="14" xfId="0" applyFont="1" applyFill="1" applyBorder="1" applyNumberFormat="1">
      <alignment horizontal="left" vertical="center" wrapText="1" indent="1"/>
    </xf>
    <xf numFmtId="0" fontId="23"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vertical="center" wrapText="1"/>
    </xf>
    <xf numFmtId="49" fontId="23" fillId="0" borderId="14" xfId="0" applyFont="1" applyBorder="1" applyNumberFormat="1">
      <alignment horizontal="left" vertical="center" wrapText="1"/>
    </xf>
    <xf numFmtId="0" fontId="55" fillId="0" borderId="0" xfId="0" applyFont="1" applyNumberFormat="1">
      <alignment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77" fillId="0" borderId="0" xfId="0" applyFont="1" applyNumberFormat="1">
      <alignment horizontal="left" vertical="center" wrapText="1"/>
    </xf>
    <xf numFmtId="0" fontId="77" fillId="0" borderId="0" xfId="0" applyFont="1" applyNumberFormat="1">
      <alignment vertical="center" wrapText="1"/>
    </xf>
    <xf numFmtId="0" fontId="55" fillId="0" borderId="0" xfId="0" applyFont="1" applyNumberFormat="1">
      <alignment vertical="center"/>
    </xf>
    <xf numFmtId="49" fontId="77" fillId="0" borderId="0" xfId="0" applyFont="1" applyNumberFormat="1">
      <alignment horizontal="left" vertical="center"/>
    </xf>
    <xf numFmtId="0" fontId="54" fillId="0" borderId="0" xfId="0" applyFont="1" applyNumberFormat="1">
      <alignment vertical="center" wrapText="1"/>
    </xf>
    <xf numFmtId="0" fontId="23" fillId="0" borderId="0" xfId="0" applyFont="1" applyNumberFormat="1">
      <alignment horizontal="center" vertical="center" wrapText="1"/>
    </xf>
    <xf numFmtId="49" fontId="23" fillId="0" borderId="0" xfId="0" applyFont="1" applyNumberFormat="1">
      <alignment vertical="center" wrapText="1"/>
    </xf>
    <xf numFmtId="49" fontId="23" fillId="0" borderId="14" xfId="0" applyFont="1" applyBorder="1" applyNumberFormat="1">
      <alignment vertical="center" wrapText="1"/>
    </xf>
    <xf numFmtId="0" fontId="23" fillId="0" borderId="0" xfId="0" applyFont="1" applyNumberFormat="1">
      <alignment vertical="center"/>
    </xf>
    <xf numFmtId="0" fontId="23" fillId="0" borderId="0" xfId="0" applyFont="1" applyNumberFormat="1">
      <alignment horizontal="center" vertical="center"/>
    </xf>
    <xf numFmtId="0" fontId="23" fillId="0" borderId="0" xfId="0" applyFont="1" applyNumberFormat="1">
      <alignment horizontal="right" vertical="center" wrapText="1"/>
    </xf>
    <xf numFmtId="0" fontId="55" fillId="0" borderId="0" xfId="0" applyFont="1" applyNumberFormat="1">
      <alignment vertical="center" wrapText="1"/>
    </xf>
    <xf numFmtId="0" fontId="23" fillId="0" borderId="19" xfId="0" applyFont="1" applyBorder="1" applyNumberFormat="1">
      <alignment vertical="center" wrapText="1"/>
    </xf>
    <xf numFmtId="0" fontId="0" fillId="0" borderId="14" xfId="0" applyFont="1" applyBorder="1" applyNumberFormat="1">
      <alignment horizontal="center" vertical="center" wrapText="1"/>
    </xf>
    <xf numFmtId="0" fontId="77" fillId="0" borderId="0" xfId="0" applyFont="1" applyNumberFormat="1">
      <alignment vertical="center" wrapText="1"/>
    </xf>
    <xf numFmtId="0" fontId="85" fillId="37" borderId="21" xfId="0" applyFont="1" applyFill="1" applyBorder="1" applyNumberFormat="1">
      <alignment horizontal="center" vertical="center" wrapText="1"/>
    </xf>
    <xf numFmtId="0" fontId="77" fillId="0" borderId="0" xfId="0" applyFont="1" applyNumberFormat="1">
      <alignment horizontal="left" vertical="center" indent="1"/>
    </xf>
    <xf numFmtId="0" fontId="55" fillId="0" borderId="0" xfId="0" applyFont="1" applyNumberFormat="1">
      <alignment vertical="center" wrapText="1"/>
    </xf>
    <xf numFmtId="0" fontId="77" fillId="0" borderId="0" xfId="0" applyFont="1" applyNumberFormat="1">
      <alignment horizontal="center" vertical="center"/>
    </xf>
    <xf numFmtId="0" fontId="23" fillId="0" borderId="0" xfId="0" applyFont="1" applyNumberFormat="1">
      <alignment vertical="center" wrapText="1"/>
    </xf>
    <xf numFmtId="0" fontId="23" fillId="0" borderId="0" xfId="0" applyFont="1" applyNumberFormat="1">
      <alignment horizontal="center" vertical="center" wrapText="1"/>
    </xf>
    <xf numFmtId="49" fontId="23" fillId="0" borderId="0" xfId="0" applyFont="1" applyNumberFormat="1">
      <alignment vertical="center" wrapText="1"/>
    </xf>
    <xf numFmtId="0" fontId="23" fillId="0" borderId="0" xfId="0" applyFont="1" applyNumberFormat="1">
      <alignment horizontal="left" vertical="center" indent="1"/>
    </xf>
    <xf numFmtId="49" fontId="23" fillId="0" borderId="0" xfId="0" applyFont="1" applyNumberFormat="1">
      <alignment horizontal="left" vertical="center"/>
    </xf>
    <xf numFmtId="164" fontId="23" fillId="0" borderId="14" xfId="0" applyFont="1" applyBorder="1" applyNumberFormat="1">
      <alignment horizontal="right" vertical="center" wrapText="1"/>
    </xf>
    <xf numFmtId="0" fontId="0" fillId="37" borderId="21" xfId="0" applyFont="1" applyFill="1" applyBorder="1" applyNumberFormat="1">
      <alignment horizontal="center" vertical="center" wrapText="1"/>
    </xf>
    <xf numFmtId="0" fontId="55"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55" fillId="0" borderId="14" xfId="0" applyFont="1" applyBorder="1" applyNumberFormat="1">
      <alignment vertical="center" wrapText="1"/>
    </xf>
    <xf numFmtId="0" fontId="23" fillId="0" borderId="0" xfId="0" applyFont="1" applyNumberFormat="1">
      <alignment vertical="center"/>
    </xf>
    <xf numFmtId="0" fontId="55" fillId="0" borderId="25" xfId="0" applyFont="1" applyBorder="1" applyNumberFormat="1">
      <alignment horizontal="center" vertical="center" wrapText="1"/>
    </xf>
    <xf numFmtId="0" fontId="23" fillId="0" borderId="32" xfId="0" applyFont="1" applyBorder="1" applyNumberFormat="1">
      <alignment horizontal="center" vertical="center" wrapText="1"/>
    </xf>
    <xf numFmtId="0" fontId="55"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0" xfId="0" applyFont="1" applyFill="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9" fontId="55" fillId="0" borderId="0" xfId="0" applyFont="1" applyNumberFormat="1">
      <alignment vertical="center" wrapText="1"/>
    </xf>
    <xf numFmtId="0" fontId="0" fillId="0" borderId="0" xfId="0" applyFont="1" applyNumberFormat="1">
      <alignment horizontal="left" vertical="top" wrapText="1"/>
    </xf>
    <xf numFmtId="0" fontId="54" fillId="0" borderId="0" xfId="0" applyFont="1" applyNumberFormat="1">
      <alignment vertical="top" wrapText="1"/>
    </xf>
    <xf numFmtId="0" fontId="23" fillId="0" borderId="21" xfId="0" applyFont="1" applyBorder="1" applyNumberFormat="1">
      <alignment horizontal="left" vertical="center" wrapText="1" indent="1"/>
    </xf>
    <xf numFmtId="0" fontId="23" fillId="0" borderId="0" xfId="0" applyFont="1" applyNumberFormat="1">
      <alignment horizontal="left" vertical="center" wrapText="1"/>
    </xf>
    <xf numFmtId="0" fontId="23" fillId="43" borderId="22" xfId="0" applyFont="1" applyFill="1" applyBorder="1" applyNumberFormat="1">
      <alignment horizontal="left" vertical="center" wrapText="1"/>
    </xf>
    <xf numFmtId="0" fontId="23" fillId="0" borderId="0" xfId="0" applyFont="1" applyNumberFormat="1">
      <alignment horizontal="center" vertical="center" wrapText="1"/>
    </xf>
    <xf numFmtId="164" fontId="23" fillId="39" borderId="16" xfId="0" applyFont="1" applyFill="1" applyBorder="1" applyNumberFormat="1">
      <alignment horizontal="right" vertical="center" wrapText="1"/>
      <protection locked="0"/>
    </xf>
    <xf numFmtId="4" fontId="23" fillId="39" borderId="15" xfId="0" applyFont="1" applyFill="1" applyBorder="1" applyNumberFormat="1">
      <alignment horizontal="right" vertical="center" wrapText="1"/>
      <protection locked="0"/>
    </xf>
    <xf numFmtId="0" fontId="53" fillId="0" borderId="19" xfId="0" applyFont="1" applyBorder="1" applyNumberFormat="1">
      <alignment vertical="top" wrapText="1"/>
    </xf>
    <xf numFmtId="0" fontId="23" fillId="39" borderId="14" xfId="0" applyFont="1" applyFill="1" applyBorder="1" applyNumberFormat="1">
      <alignment horizontal="left" vertical="center" wrapText="1" indent="7"/>
      <protection locked="0"/>
    </xf>
    <xf numFmtId="49" fontId="0" fillId="42" borderId="14" xfId="0" applyFont="1" applyFill="1" applyBorder="1" applyNumberFormat="1">
      <alignment horizontal="center" vertical="center" wrapText="1"/>
      <protection locked="0"/>
    </xf>
    <xf numFmtId="4" fontId="55" fillId="0" borderId="16" xfId="0" applyFont="1" applyBorder="1" applyNumberFormat="1">
      <alignment horizontal="center" vertical="center" wrapText="1"/>
    </xf>
    <xf numFmtId="4" fontId="23" fillId="0" borderId="15" xfId="0" applyFont="1" applyBorder="1" applyNumberFormat="1">
      <alignment horizontal="right" vertical="center" wrapText="1"/>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9" fontId="23" fillId="40" borderId="29"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7"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61" fillId="0" borderId="0" xfId="0" applyFont="1" applyNumberFormat="1">
      <alignment vertical="center" wrapText="1"/>
    </xf>
    <xf numFmtId="0" fontId="55" fillId="0" borderId="14" xfId="0" applyFont="1" applyBorder="1" applyNumberFormat="1">
      <alignment horizontal="left" vertical="center" wrapText="1" indent="5"/>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45"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23" fillId="0" borderId="14" xfId="0" applyFont="1" applyBorder="1" applyNumberFormat="1">
      <alignment horizontal="left" vertical="center" wrapText="1" indent="4"/>
    </xf>
    <xf numFmtId="49" fontId="23" fillId="37" borderId="14" xfId="0" applyFont="1" applyFill="1" applyBorder="1" applyNumberFormat="1">
      <alignment horizontal="center" vertical="center" wrapText="1"/>
    </xf>
    <xf numFmtId="0" fontId="23" fillId="43" borderId="14" xfId="0" applyFont="1" applyFill="1" applyBorder="1" applyNumberFormat="1">
      <alignment horizontal="left" vertical="center" wrapText="1" indent="1"/>
    </xf>
    <xf numFmtId="167"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23" fillId="37" borderId="38" xfId="0" applyFont="1" applyFill="1" applyBorder="1" applyNumberFormat="1">
      <alignment horizontal="left" vertical="center" wrapText="1"/>
    </xf>
    <xf numFmtId="49" fontId="23" fillId="42" borderId="38" xfId="0" applyFont="1" applyFill="1" applyBorder="1" applyNumberFormat="1">
      <alignment horizontal="left" vertical="center" wrapText="1" indent="6"/>
      <protection locked="0"/>
    </xf>
    <xf numFmtId="164" fontId="23" fillId="40" borderId="15" xfId="0" applyFont="1" applyFill="1" applyBorder="1" applyNumberFormat="1">
      <alignment horizontal="right" vertical="center" wrapText="1"/>
    </xf>
    <xf numFmtId="49" fontId="48" fillId="40" borderId="16" xfId="0" applyFont="1" applyFill="1" applyBorder="1" applyNumberFormat="1">
      <alignment horizontal="left" vertical="center"/>
    </xf>
    <xf numFmtId="164" fontId="23" fillId="40" borderId="17" xfId="0" applyFont="1" applyFill="1" applyBorder="1" applyNumberFormat="1">
      <alignment horizontal="right" vertical="center" wrapText="1"/>
    </xf>
    <xf numFmtId="4" fontId="23" fillId="0" borderId="38" xfId="0" applyFont="1" applyBorder="1" applyNumberFormat="1">
      <alignment horizontal="right" vertical="center" wrapText="1"/>
    </xf>
    <xf numFmtId="49" fontId="48" fillId="40" borderId="16" xfId="0" applyFont="1" applyFill="1" applyBorder="1" applyNumberFormat="1">
      <alignment horizontal="left" vertical="center" indent="1"/>
    </xf>
    <xf numFmtId="0" fontId="23" fillId="37" borderId="25" xfId="0" applyFont="1" applyFill="1" applyBorder="1" applyNumberFormat="1">
      <alignment horizontal="left" vertical="center" wrapText="1"/>
    </xf>
    <xf numFmtId="49" fontId="23" fillId="42" borderId="25" xfId="0" applyFont="1" applyFill="1" applyBorder="1" applyNumberFormat="1">
      <alignment horizontal="left" vertical="center" wrapText="1" indent="6"/>
      <protection locked="0"/>
    </xf>
    <xf numFmtId="4" fontId="55" fillId="40" borderId="15" xfId="0" applyFont="1" applyFill="1" applyBorder="1" applyNumberFormat="1">
      <alignment horizontal="center"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55" fillId="0" borderId="26" xfId="0" applyFont="1" applyBorder="1" applyNumberFormat="1">
      <alignment vertical="top"/>
    </xf>
    <xf numFmtId="0" fontId="116" fillId="0" borderId="0" xfId="0" applyFont="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26" xfId="0" applyFont="1" applyBorder="1" applyNumberFormat="1">
      <alignment horizontal="left" vertical="center" wrapText="1" indent="1"/>
    </xf>
    <xf numFmtId="4" fontId="55" fillId="0" borderId="14" xfId="0" applyFont="1" applyBorder="1" applyNumberFormat="1">
      <alignment horizontal="right" vertical="center" wrapText="1"/>
    </xf>
    <xf numFmtId="164" fontId="55" fillId="0" borderId="14" xfId="0" applyFont="1" applyBorder="1" applyNumberFormat="1">
      <alignment horizontal="right" vertical="center" wrapText="1"/>
    </xf>
    <xf numFmtId="167"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left" vertical="center"/>
    </xf>
    <xf numFmtId="49" fontId="54" fillId="0" borderId="0" xfId="0" applyFont="1" applyNumberFormat="1">
      <alignment horizontal="left" vertical="center"/>
    </xf>
    <xf numFmtId="0" fontId="54" fillId="0" borderId="0" xfId="0" applyFont="1" applyNumberFormat="1">
      <alignment horizontal="left" vertical="center"/>
    </xf>
    <xf numFmtId="0" fontId="74" fillId="0" borderId="0" xfId="0" applyFont="1" applyNumberFormat="1">
      <alignment horizontal="left" vertical="center"/>
    </xf>
    <xf numFmtId="0" fontId="54" fillId="0" borderId="0" xfId="0" applyFont="1" applyNumberFormat="1">
      <alignment horizontal="left" vertical="center"/>
    </xf>
    <xf numFmtId="0" fontId="55" fillId="0" borderId="0" xfId="0" applyFont="1" applyNumberFormat="1">
      <alignment horizontal="left" vertical="center"/>
    </xf>
    <xf numFmtId="0" fontId="74" fillId="37" borderId="0" xfId="0" applyFont="1" applyFill="1" applyNumberFormat="1">
      <alignment vertical="center" wrapText="1"/>
    </xf>
    <xf numFmtId="0" fontId="23" fillId="37" borderId="3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23" fillId="37" borderId="24"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26"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23" fillId="0" borderId="14" xfId="0" applyFont="1" applyBorder="1" applyNumberFormat="1">
      <alignment horizontal="left" vertical="center" wrapText="1" indent="1"/>
    </xf>
    <xf numFmtId="0" fontId="23" fillId="0" borderId="14" xfId="0" applyFont="1" applyBorder="1" applyNumberFormat="1">
      <alignment horizontal="left" vertical="center" wrapText="1" indent="1"/>
    </xf>
    <xf numFmtId="49" fontId="23" fillId="40" borderId="16" xfId="0" applyFont="1" applyFill="1" applyBorder="1" applyNumberFormat="1">
      <alignment horizontal="center" vertical="center" wrapText="1"/>
    </xf>
    <xf numFmtId="49" fontId="77" fillId="0" borderId="26" xfId="0" applyFont="1" applyBorder="1" applyNumberFormat="1">
      <alignment vertical="top"/>
    </xf>
    <xf numFmtId="0" fontId="23" fillId="0" borderId="0" xfId="0" applyFont="1" applyNumberFormat="1">
      <alignment horizontal="left" vertical="top" wrapText="1"/>
    </xf>
    <xf numFmtId="0" fontId="74"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pplyNumberFormat="1">
      <alignment horizontal="left" vertical="top" wrapText="1"/>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49" fontId="48" fillId="40" borderId="17" xfId="0" applyFont="1" applyFill="1" applyBorder="1" applyNumberFormat="1">
      <alignment horizontal="left" vertical="center" indent="3"/>
    </xf>
    <xf numFmtId="0" fontId="55" fillId="0" borderId="0" xfId="0" applyFont="1" applyNumberFormat="1">
      <alignment horizontal="center" vertical="center"/>
    </xf>
    <xf numFmtId="0" fontId="54" fillId="0" borderId="0" xfId="0" applyFont="1" applyNumberFormat="1">
      <alignment horizontal="center" vertical="center" wrapText="1"/>
    </xf>
    <xf numFmtId="0" fontId="115" fillId="0" borderId="0" xfId="0" applyFont="1" applyNumberFormat="1">
      <alignment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23" fillId="38" borderId="17" xfId="0" applyFont="1" applyFill="1" applyBorder="1" applyNumberFormat="1">
      <alignment horizontal="left" vertical="center" wrapText="1"/>
    </xf>
    <xf numFmtId="0" fontId="54" fillId="0" borderId="0" xfId="0" applyFont="1" applyNumberFormat="1">
      <alignment horizontal="center" vertical="center" wrapText="1"/>
    </xf>
    <xf numFmtId="0" fontId="55" fillId="0" borderId="17" xfId="0" applyFont="1" applyBorder="1" applyNumberFormat="1">
      <alignment horizontal="left" vertical="center" wrapText="1"/>
    </xf>
    <xf numFmtId="49" fontId="23" fillId="43" borderId="14" xfId="0" applyFont="1" applyFill="1" applyBorder="1" applyNumberFormat="1">
      <alignment horizontal="center" vertical="center" wrapText="1"/>
    </xf>
    <xf numFmtId="167" fontId="0" fillId="42" borderId="14" xfId="0" applyFont="1" applyFill="1" applyBorder="1" applyNumberFormat="1">
      <alignment horizontal="center" vertical="center" wrapText="1"/>
      <protection locked="0"/>
    </xf>
    <xf numFmtId="49" fontId="23" fillId="43" borderId="17"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77" fillId="0" borderId="0" xfId="0" applyFont="1" applyNumberFormat="1">
      <alignment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45" fillId="0" borderId="29" xfId="0" applyFont="1" applyBorder="1" applyNumberFormat="1">
      <alignment horizontal="center" vertical="center" wrapText="1"/>
    </xf>
    <xf numFmtId="0" fontId="23" fillId="42" borderId="15"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0" fontId="55" fillId="0" borderId="0" xfId="0" applyFont="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23" fillId="39" borderId="38" xfId="0" applyFont="1" applyFill="1" applyBorder="1" applyNumberFormat="1">
      <alignment horizontal="left" vertical="center" wrapText="1" indent="6"/>
      <protection locked="0"/>
    </xf>
    <xf numFmtId="49" fontId="23" fillId="43" borderId="31" xfId="0" applyFont="1" applyFill="1" applyBorder="1" applyNumberFormat="1">
      <alignment horizontal="center" vertical="center" wrapText="1"/>
    </xf>
    <xf numFmtId="49" fontId="48" fillId="40" borderId="29" xfId="0" applyFont="1" applyFill="1" applyBorder="1" applyNumberFormat="1">
      <alignment horizontal="left" vertical="center"/>
    </xf>
    <xf numFmtId="49" fontId="23" fillId="39" borderId="25" xfId="0" applyFont="1" applyFill="1" applyBorder="1" applyNumberFormat="1">
      <alignment horizontal="left" vertical="center" wrapText="1" indent="6"/>
      <protection locked="0"/>
    </xf>
    <xf numFmtId="0" fontId="55" fillId="0" borderId="0" xfId="0" applyFont="1" applyNumberFormat="1">
      <alignment horizontal="center" vertical="center"/>
    </xf>
    <xf numFmtId="0" fontId="55" fillId="0" borderId="0" xfId="0" applyFont="1" applyNumberFormat="1">
      <alignment horizontal="left" vertical="center" wrapText="1" indent="1"/>
    </xf>
    <xf numFmtId="0" fontId="23" fillId="37" borderId="14" xfId="0" applyFont="1" applyFill="1" applyBorder="1" applyNumberFormat="1">
      <alignment horizontal="center" vertical="center" wrapText="1"/>
    </xf>
    <xf numFmtId="0" fontId="55" fillId="0" borderId="21" xfId="0" applyFont="1" applyBorder="1" applyNumberFormat="1">
      <alignment horizontal="left" vertical="center" wrapText="1"/>
    </xf>
    <xf numFmtId="0" fontId="23" fillId="0" borderId="0" xfId="0" applyFont="1" applyNumberFormat="1">
      <alignment horizontal="left" vertical="top" wrapText="1"/>
    </xf>
    <xf numFmtId="0" fontId="54" fillId="0" borderId="0" xfId="0" applyFont="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49" fontId="23" fillId="43"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55" fillId="0" borderId="14"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23"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49" fontId="23" fillId="37" borderId="14" xfId="0" applyFont="1" applyFill="1" applyBorder="1" applyNumberFormat="1">
      <alignment horizontal="left" vertical="center" wrapText="1" indent="1"/>
    </xf>
    <xf numFmtId="4" fontId="23" fillId="37" borderId="14" xfId="0" applyFont="1" applyFill="1" applyBorder="1" applyNumberFormat="1">
      <alignment horizontal="center" vertical="center" wrapText="1"/>
    </xf>
    <xf numFmtId="49" fontId="23" fillId="37" borderId="14" xfId="0" applyFont="1" applyFill="1" applyBorder="1" applyNumberFormat="1">
      <alignment horizontal="left" vertical="center" wrapText="1" indent="1"/>
    </xf>
    <xf numFmtId="167" fontId="0" fillId="42" borderId="14" xfId="0" applyFont="1" applyFill="1" applyBorder="1" applyNumberFormat="1">
      <alignment horizontal="center" vertical="center" wrapText="1"/>
      <protection locked="0"/>
    </xf>
    <xf numFmtId="49" fontId="0" fillId="0" borderId="0" xfId="0" applyFont="1" applyNumberFormat="1">
      <alignment vertical="top"/>
    </xf>
    <xf numFmtId="0" fontId="54" fillId="0" borderId="0" xfId="0" applyFont="1" applyNumberFormat="1">
      <alignment horizontal="left" vertical="center" indent="1"/>
    </xf>
    <xf numFmtId="0" fontId="54" fillId="0" borderId="14" xfId="0" applyFont="1" applyBorder="1" applyNumberFormat="1">
      <alignment horizontal="center" vertical="center"/>
    </xf>
    <xf numFmtId="0" fontId="54" fillId="0" borderId="0" xfId="0" applyFont="1" applyNumberFormat="1">
      <alignment horizontal="center" vertical="center"/>
    </xf>
    <xf numFmtId="0" fontId="54" fillId="0" borderId="0" xfId="0" applyFont="1" applyNumberFormat="1">
      <alignment horizontal="left" vertical="center" wrapText="1"/>
    </xf>
    <xf numFmtId="49" fontId="54" fillId="0" borderId="0" xfId="0" applyFont="1" applyNumberFormat="1">
      <alignment vertical="center" wrapText="1"/>
    </xf>
    <xf numFmtId="49" fontId="54"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4" xfId="0" applyFont="1" applyBorder="1" applyNumberFormat="1">
      <alignment horizontal="left" vertical="center" wrapText="1" indent="6"/>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23" fillId="38" borderId="16" xfId="0" applyFont="1" applyFill="1" applyBorder="1" applyNumberFormat="1">
      <alignment horizontal="left" vertical="center" wrapText="1"/>
    </xf>
    <xf numFmtId="0" fontId="53" fillId="0" borderId="14" xfId="0" applyFont="1" applyBorder="1" applyNumberFormat="1">
      <alignment vertical="top" wrapText="1"/>
    </xf>
    <xf numFmtId="0" fontId="55" fillId="0" borderId="0" xfId="0" applyFont="1" applyNumberFormat="1">
      <alignment vertical="center" wrapText="1"/>
    </xf>
    <xf numFmtId="0" fontId="55" fillId="0" borderId="0" xfId="0" applyFont="1" applyNumberFormat="1">
      <alignment vertical="center"/>
    </xf>
    <xf numFmtId="49" fontId="0" fillId="0" borderId="0" xfId="0" applyFont="1" applyNumberFormat="1">
      <alignment vertical="top"/>
    </xf>
    <xf numFmtId="0" fontId="54" fillId="0" borderId="16" xfId="0" applyFont="1" applyBorder="1" applyNumberFormat="1">
      <alignment horizontal="center" vertical="center"/>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23" fillId="0" borderId="26" xfId="0" applyFont="1" applyBorder="1" applyNumberFormat="1">
      <alignment vertical="center" wrapText="1"/>
    </xf>
    <xf numFmtId="0" fontId="23" fillId="37" borderId="14" xfId="0" applyFont="1" applyFill="1" applyBorder="1" applyNumberFormat="1">
      <alignment horizontal="left" vertical="center" wrapText="1" indent="1"/>
    </xf>
    <xf numFmtId="49" fontId="0" fillId="0" borderId="0" xfId="0" applyFont="1" applyNumberFormat="1">
      <alignment vertical="top"/>
    </xf>
    <xf numFmtId="0" fontId="61" fillId="0" borderId="0" xfId="0" applyFont="1" applyNumberFormat="1">
      <alignment vertical="center" wrapText="1"/>
    </xf>
    <xf numFmtId="0" fontId="23" fillId="37" borderId="14" xfId="0" applyFont="1" applyFill="1" applyBorder="1" applyNumberFormat="1">
      <alignment horizontal="left" vertical="center" wrapText="1" indent="2"/>
    </xf>
    <xf numFmtId="0" fontId="68" fillId="0" borderId="0" xfId="0" applyFont="1" applyNumberFormat="1">
      <alignmen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horizontal="lef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0" borderId="26" xfId="0" applyFont="1" applyBorder="1" applyNumberFormat="1">
      <alignment vertical="center" wrapText="1"/>
    </xf>
    <xf numFmtId="0" fontId="55" fillId="0" borderId="14" xfId="0" applyFont="1" applyBorder="1" applyNumberFormat="1">
      <alignment horizontal="left" vertical="center" wrapText="1"/>
    </xf>
    <xf numFmtId="0" fontId="55" fillId="37" borderId="14" xfId="0" applyFont="1" applyFill="1" applyBorder="1" applyNumberFormat="1">
      <alignment horizontal="left" vertical="center" wrapText="1" indent="3"/>
    </xf>
    <xf numFmtId="0" fontId="55" fillId="0" borderId="14" xfId="0" applyFont="1" applyBorder="1" applyNumberFormat="1">
      <alignment horizontal="left" vertical="center" wrapText="1" indent="6"/>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55" fillId="0" borderId="16" xfId="0" applyFont="1" applyBorder="1" applyNumberFormat="1">
      <alignment horizontal="left" vertical="center" wrapText="1"/>
    </xf>
    <xf numFmtId="0" fontId="55" fillId="0" borderId="14" xfId="0" applyFont="1" applyBorder="1" applyNumberFormat="1">
      <alignment vertical="top" wrapText="1"/>
    </xf>
    <xf numFmtId="0" fontId="68" fillId="0" borderId="0" xfId="0" applyFont="1" applyNumberFormat="1">
      <alignment vertical="center" wrapText="1"/>
    </xf>
    <xf numFmtId="0" fontId="54" fillId="0" borderId="14" xfId="0" applyFont="1" applyBorder="1" applyNumberFormat="1">
      <alignment horizontal="center" vertical="center" wrapText="1"/>
    </xf>
    <xf numFmtId="49" fontId="55" fillId="0" borderId="0" xfId="0" applyFont="1" applyNumberFormat="1">
      <alignment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center" wrapText="1"/>
    </xf>
    <xf numFmtId="0" fontId="55" fillId="0" borderId="14" xfId="0" applyFont="1" applyBorder="1" applyNumberFormat="1">
      <alignment horizontal="left" vertical="center" wrapText="1" indent="4"/>
    </xf>
    <xf numFmtId="0" fontId="68" fillId="0" borderId="0" xfId="0" applyFont="1" applyNumberFormat="1">
      <alignment vertical="center" wrapText="1"/>
    </xf>
    <xf numFmtId="0" fontId="54" fillId="0" borderId="16" xfId="0" applyFont="1" applyBorder="1" applyNumberFormat="1">
      <alignment horizontal="center" vertical="center" wrapText="1"/>
    </xf>
    <xf numFmtId="0" fontId="55" fillId="0" borderId="14" xfId="0" applyFont="1" applyBorder="1" applyNumberFormat="1">
      <alignment horizontal="left" vertical="center" wrapText="1" indent="5"/>
    </xf>
    <xf numFmtId="49" fontId="0" fillId="0" borderId="0" xfId="0" applyFont="1" applyNumberFormat="1">
      <alignment vertical="top"/>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39" borderId="19" xfId="0" applyFont="1" applyFill="1" applyBorder="1" applyNumberFormat="1">
      <alignment horizontal="left" vertical="center" wrapText="1" indent="6"/>
      <protection locked="0"/>
    </xf>
    <xf numFmtId="4" fontId="23" fillId="39" borderId="14" xfId="0" applyFont="1" applyFill="1" applyBorder="1" applyNumberFormat="1">
      <alignment horizontal="right" vertical="center" wrapText="1"/>
      <protection locked="0"/>
    </xf>
    <xf numFmtId="164" fontId="23" fillId="39" borderId="14" xfId="0" applyFont="1" applyFill="1" applyBorder="1" applyNumberFormat="1">
      <alignment horizontal="right" vertical="center" wrapText="1"/>
      <protection locked="0"/>
    </xf>
    <xf numFmtId="167"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45"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4" fontId="23" fillId="42" borderId="14" xfId="0" applyFont="1" applyFill="1" applyBorder="1" applyNumberFormat="1">
      <alignment horizontal="left" vertical="center" wrapText="1" indent="1"/>
      <protection locked="0"/>
    </xf>
    <xf numFmtId="49" fontId="23" fillId="37" borderId="14" xfId="0" applyFont="1" applyFill="1" applyBorder="1" applyNumberFormat="1">
      <alignment horizontal="left" vertical="center" wrapText="1" indent="1"/>
    </xf>
    <xf numFmtId="0" fontId="23" fillId="0" borderId="39" xfId="0" applyFont="1" applyBorder="1" applyNumberFormat="1">
      <alignment horizontal="center" vertical="center" wrapText="1"/>
    </xf>
    <xf numFmtId="4" fontId="23" fillId="37" borderId="14" xfId="0" applyFont="1" applyFill="1" applyBorder="1" applyNumberFormat="1">
      <alignment horizontal="center" vertical="center" wrapText="1"/>
    </xf>
    <xf numFmtId="49" fontId="23" fillId="43" borderId="22" xfId="0" applyFont="1" applyFill="1" applyBorder="1" applyNumberFormat="1">
      <alignment horizontal="center" vertical="center" wrapText="1"/>
    </xf>
    <xf numFmtId="0" fontId="23" fillId="0" borderId="14" xfId="0" applyFont="1" applyBorder="1" applyNumberFormat="1">
      <alignment horizontal="left" vertical="center" wrapText="1" indent="4"/>
    </xf>
    <xf numFmtId="49" fontId="23" fillId="42" borderId="14" xfId="0" applyFont="1" applyFill="1" applyBorder="1" applyNumberFormat="1">
      <alignment horizontal="left" vertical="center" wrapText="1" indent="1"/>
      <protection locked="0"/>
    </xf>
    <xf numFmtId="4" fontId="23" fillId="0" borderId="19" xfId="0" applyFont="1" applyBorder="1" applyNumberFormat="1">
      <alignment horizontal="right" vertical="center" wrapText="1"/>
    </xf>
    <xf numFmtId="0" fontId="53" fillId="0" borderId="19" xfId="0" applyFont="1" applyBorder="1" applyNumberFormat="1">
      <alignment horizontal="left" vertical="top" wrapText="1"/>
    </xf>
    <xf numFmtId="0" fontId="54" fillId="0" borderId="0" xfId="0" applyFont="1" applyNumberFormat="1">
      <alignment horizontal="left" vertical="center" indent="1"/>
    </xf>
    <xf numFmtId="0" fontId="54" fillId="0" borderId="16" xfId="0" applyFont="1" applyBorder="1" applyNumberFormat="1">
      <alignment horizontal="center" vertical="center"/>
    </xf>
    <xf numFmtId="0" fontId="54" fillId="0" borderId="16" xfId="0" applyFont="1" applyBorder="1" applyNumberFormat="1">
      <alignment horizontal="center" vertical="center" wrapText="1"/>
    </xf>
    <xf numFmtId="0" fontId="54" fillId="0" borderId="14" xfId="0" applyFont="1" applyBorder="1" applyNumberFormat="1">
      <alignment horizontal="center" vertical="center" wrapText="1"/>
    </xf>
    <xf numFmtId="0" fontId="54" fillId="0" borderId="0" xfId="0" applyFont="1" applyNumberFormat="1">
      <alignment horizontal="center" vertical="center"/>
    </xf>
    <xf numFmtId="49" fontId="54" fillId="0" borderId="0" xfId="0" applyFont="1" applyNumberFormat="1">
      <alignment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39" borderId="19" xfId="0" applyFont="1" applyFill="1" applyBorder="1" applyNumberFormat="1">
      <alignment horizontal="left" vertical="center" wrapText="1" indent="6"/>
      <protection locked="0"/>
    </xf>
    <xf numFmtId="0" fontId="23" fillId="0" borderId="14" xfId="0" applyFont="1" applyBorder="1" applyNumberFormat="1">
      <alignment horizontal="left" vertical="center" wrapText="1" indent="6"/>
    </xf>
    <xf numFmtId="4" fontId="23" fillId="39" borderId="14" xfId="0" applyFont="1" applyFill="1" applyBorder="1" applyNumberFormat="1">
      <alignment horizontal="right" vertical="center" wrapText="1"/>
      <protection locked="0"/>
    </xf>
    <xf numFmtId="164" fontId="23" fillId="39" borderId="14" xfId="0" applyFont="1" applyFill="1" applyBorder="1" applyNumberFormat="1">
      <alignment horizontal="right" vertical="center" wrapText="1"/>
      <protection locked="0"/>
    </xf>
    <xf numFmtId="49" fontId="23" fillId="43" borderId="14" xfId="0" applyFont="1" applyFill="1" applyBorder="1" applyNumberFormat="1">
      <alignment horizontal="center" vertical="center" wrapText="1"/>
    </xf>
    <xf numFmtId="49" fontId="23" fillId="43" borderId="19" xfId="0" applyFont="1" applyFill="1" applyBorder="1" applyNumberFormat="1">
      <alignment horizontal="center" vertical="center" wrapText="1"/>
    </xf>
    <xf numFmtId="0" fontId="45"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4"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protection locked="0"/>
    </xf>
    <xf numFmtId="0" fontId="23" fillId="0" borderId="39" xfId="0" applyFont="1" applyBorder="1" applyNumberFormat="1">
      <alignment horizontal="center" vertical="center" wrapText="1"/>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0" fontId="44" fillId="0" borderId="0" xfId="0" applyFont="1" applyNumberFormat="1">
      <alignment horizontal="center" vertical="center" wrapText="1"/>
    </xf>
    <xf numFmtId="49" fontId="23" fillId="42" borderId="14" xfId="0" applyFont="1" applyFill="1" applyBorder="1" applyNumberFormat="1">
      <alignment horizontal="left" vertical="center" wrapText="1" indent="1"/>
      <protection locked="0"/>
    </xf>
    <xf numFmtId="4" fontId="23" fillId="0" borderId="19" xfId="0" applyFont="1" applyBorder="1" applyNumberFormat="1">
      <alignment horizontal="right" vertical="center" wrapText="1"/>
    </xf>
    <xf numFmtId="0" fontId="53" fillId="0" borderId="19" xfId="0" applyFont="1" applyBorder="1" applyNumberFormat="1">
      <alignment horizontal="left" vertical="top" wrapText="1"/>
    </xf>
    <xf numFmtId="0" fontId="55" fillId="0" borderId="0" xfId="0" applyFont="1" applyNumberFormat="1">
      <alignment vertical="center" wrapText="1"/>
    </xf>
    <xf numFmtId="0" fontId="55" fillId="0" borderId="0" xfId="0" applyFont="1" applyNumberFormat="1">
      <alignment vertical="center"/>
    </xf>
    <xf numFmtId="49" fontId="0" fillId="0" borderId="0" xfId="0" applyFont="1" applyNumberFormat="1">
      <alignment vertical="top"/>
    </xf>
    <xf numFmtId="0" fontId="23" fillId="37" borderId="38" xfId="0" applyFont="1" applyFill="1" applyBorder="1" applyNumberFormat="1">
      <alignment horizontal="left" vertical="center" wrapText="1"/>
    </xf>
    <xf numFmtId="49" fontId="23" fillId="39" borderId="38" xfId="0" applyFont="1" applyFill="1" applyBorder="1" applyNumberFormat="1">
      <alignment horizontal="left" vertical="center" wrapText="1" indent="6"/>
      <protection locked="0"/>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0" fontId="23" fillId="0" borderId="32" xfId="0" applyFont="1" applyBorder="1" applyNumberFormat="1">
      <alignment horizontal="center" vertical="center" wrapText="1"/>
    </xf>
    <xf numFmtId="49" fontId="23" fillId="43" borderId="31" xfId="0" applyFont="1" applyFill="1" applyBorder="1" applyNumberFormat="1">
      <alignment horizontal="center"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0" fontId="53" fillId="0" borderId="38" xfId="0" applyFont="1" applyBorder="1" applyNumberFormat="1">
      <alignment horizontal="left" vertical="top"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indent="1"/>
    </xf>
    <xf numFmtId="49" fontId="48" fillId="40" borderId="17" xfId="0" applyFont="1" applyFill="1" applyBorder="1" applyNumberFormat="1">
      <alignment horizontal="left" vertical="center" indent="1"/>
    </xf>
    <xf numFmtId="49" fontId="48" fillId="40" borderId="17" xfId="0" applyFont="1" applyFill="1" applyBorder="1" applyNumberFormat="1">
      <alignmen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0" fontId="23" fillId="37" borderId="25" xfId="0" applyFont="1" applyFill="1" applyBorder="1" applyNumberFormat="1">
      <alignment horizontal="left" vertical="center" wrapText="1"/>
    </xf>
    <xf numFmtId="49" fontId="23" fillId="39" borderId="25" xfId="0" applyFont="1" applyFill="1" applyBorder="1" applyNumberFormat="1">
      <alignment horizontal="left" vertical="center" wrapText="1" indent="6"/>
      <protection locked="0"/>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5" xfId="0" applyFont="1" applyFill="1" applyBorder="1" applyNumberFormat="1">
      <alignment horizontal="center" vertical="center" wrapText="1"/>
    </xf>
    <xf numFmtId="49" fontId="0" fillId="0" borderId="0" xfId="0" applyFont="1" applyNumberFormat="1">
      <alignment vertical="top"/>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5"/>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5" xfId="0" applyFont="1" applyFill="1" applyBorder="1" applyNumberFormat="1">
      <alignment horizontal="center" vertical="center" wrapText="1"/>
    </xf>
    <xf numFmtId="0" fontId="53" fillId="0" borderId="25" xfId="0" applyFont="1" applyBorder="1" applyNumberFormat="1">
      <alignment horizontal="left" vertical="top" wrapText="1"/>
    </xf>
    <xf numFmtId="0" fontId="68" fillId="0" borderId="0" xfId="0" applyFont="1" applyNumberFormat="1">
      <alignment vertical="center"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0" fontId="68" fillId="0" borderId="0" xfId="0" applyFont="1" applyNumberFormat="1">
      <alignment vertical="center" wrapText="1"/>
    </xf>
    <xf numFmtId="49" fontId="55" fillId="0" borderId="0" xfId="0" applyFont="1" applyNumberFormat="1">
      <alignment vertical="top"/>
    </xf>
    <xf numFmtId="49" fontId="112" fillId="0" borderId="0" xfId="0" applyFont="1" applyNumberFormat="1">
      <alignment vertical="top"/>
    </xf>
    <xf numFmtId="49" fontId="55" fillId="0" borderId="26" xfId="0" applyFont="1" applyBorder="1" applyNumberFormat="1">
      <alignment vertical="top"/>
    </xf>
    <xf numFmtId="0" fontId="68" fillId="0" borderId="0" xfId="0" applyFont="1" applyNumberFormat="1">
      <alignment vertical="center" wrapText="1"/>
    </xf>
    <xf numFmtId="49" fontId="102" fillId="0" borderId="0" xfId="0" applyFont="1" applyNumberFormat="1">
      <alignment horizontal="left" vertical="center"/>
    </xf>
    <xf numFmtId="49" fontId="55" fillId="0" borderId="0" xfId="0" applyFont="1" applyNumberFormat="1">
      <alignment horizontal="left" vertical="center" indent="1"/>
    </xf>
    <xf numFmtId="49" fontId="55" fillId="0" borderId="0" xfId="0" applyFont="1" applyNumberFormat="1">
      <alignment horizontal="center" vertical="center" wrapText="1"/>
    </xf>
    <xf numFmtId="49" fontId="0" fillId="0" borderId="0" xfId="0" applyFont="1" applyNumberFormat="1">
      <alignment vertical="top"/>
    </xf>
    <xf numFmtId="0" fontId="68" fillId="0" borderId="0" xfId="0" applyFont="1" applyNumberFormat="1">
      <alignment vertical="center" wrapText="1"/>
    </xf>
    <xf numFmtId="0" fontId="68" fillId="0" borderId="0" xfId="0" applyFont="1" applyNumberFormat="1">
      <alignment vertical="center" wrapText="1"/>
    </xf>
    <xf numFmtId="0" fontId="68"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indent="1"/>
    </xf>
    <xf numFmtId="49" fontId="48" fillId="40" borderId="17" xfId="0" applyFont="1" applyFill="1" applyBorder="1" applyNumberFormat="1">
      <alignment horizontal="left" vertical="center" indent="1"/>
    </xf>
    <xf numFmtId="49" fontId="48" fillId="40" borderId="17" xfId="0" applyFont="1" applyFill="1" applyBorder="1" applyNumberFormat="1">
      <alignmen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5" xfId="0" applyFont="1" applyFill="1" applyBorder="1" applyNumberFormat="1">
      <alignment horizontal="center" vertical="center" wrapText="1"/>
    </xf>
    <xf numFmtId="49" fontId="0" fillId="0" borderId="0" xfId="0" applyFont="1" applyNumberFormat="1">
      <alignment vertical="top"/>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5"/>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5" xfId="0" applyFont="1" applyFill="1" applyBorder="1" applyNumberFormat="1">
      <alignment horizontal="center" vertical="center" wrapText="1"/>
    </xf>
    <xf numFmtId="0" fontId="68" fillId="0" borderId="0" xfId="0" applyFont="1" applyNumberFormat="1">
      <alignment vertical="center" wrapText="1"/>
    </xf>
    <xf numFmtId="0" fontId="68" fillId="0" borderId="0" xfId="0" applyFont="1" applyNumberFormat="1">
      <alignment vertical="center" wrapText="1"/>
    </xf>
    <xf numFmtId="0" fontId="68" fillId="0" borderId="0" xfId="0" applyFont="1" applyNumberFormat="1">
      <alignment vertical="center" wrapText="1"/>
    </xf>
    <xf numFmtId="49" fontId="0" fillId="0" borderId="0" xfId="0" applyFont="1" applyNumberFormat="1">
      <alignment vertical="top"/>
    </xf>
    <xf numFmtId="0" fontId="68" fillId="0" borderId="0" xfId="0" applyFont="1" applyNumberFormat="1">
      <alignment vertical="center" wrapText="1"/>
    </xf>
    <xf numFmtId="0" fontId="68" fillId="0" borderId="0" xfId="0" applyFont="1" applyNumberFormat="1">
      <alignment vertical="center" wrapText="1"/>
    </xf>
    <xf numFmtId="0" fontId="68"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indent="1"/>
    </xf>
    <xf numFmtId="49" fontId="48" fillId="40" borderId="17" xfId="0" applyFont="1" applyFill="1" applyBorder="1" applyNumberFormat="1">
      <alignment horizontal="left" vertical="center" indent="1"/>
    </xf>
    <xf numFmtId="49" fontId="48" fillId="40" borderId="17" xfId="0" applyFont="1" applyFill="1" applyBorder="1" applyNumberFormat="1">
      <alignmen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5" xfId="0" applyFont="1" applyFill="1" applyBorder="1" applyNumberFormat="1">
      <alignment horizontal="center" vertical="center" wrapText="1"/>
    </xf>
    <xf numFmtId="49" fontId="0" fillId="0" borderId="0" xfId="0" applyFont="1" applyNumberFormat="1">
      <alignment vertical="top"/>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5"/>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5" xfId="0" applyFont="1" applyFill="1" applyBorder="1" applyNumberFormat="1">
      <alignment horizontal="center" vertical="center" wrapText="1"/>
    </xf>
    <xf numFmtId="0" fontId="68" fillId="0" borderId="0" xfId="0" applyFont="1" applyNumberFormat="1">
      <alignment vertical="center" wrapText="1"/>
    </xf>
    <xf numFmtId="0" fontId="68" fillId="0" borderId="0" xfId="0" applyFont="1" applyNumberFormat="1">
      <alignment vertical="center" wrapText="1"/>
    </xf>
    <xf numFmtId="0" fontId="68" fillId="0" borderId="0" xfId="0" applyFont="1" applyNumberFormat="1">
      <alignment vertical="center" wrapText="1"/>
    </xf>
    <xf numFmtId="49" fontId="0" fillId="0" borderId="0" xfId="0" applyFont="1" applyNumberFormat="1">
      <alignment vertical="top"/>
    </xf>
    <xf numFmtId="0" fontId="68" fillId="0" borderId="0" xfId="0" applyFont="1" applyNumberFormat="1">
      <alignment vertical="center" wrapText="1"/>
    </xf>
    <xf numFmtId="0" fontId="68" fillId="0" borderId="0" xfId="0" applyFont="1" applyNumberFormat="1">
      <alignment vertical="center" wrapText="1"/>
    </xf>
    <xf numFmtId="0" fontId="68"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indent="1"/>
    </xf>
    <xf numFmtId="49" fontId="48" fillId="40" borderId="17" xfId="0" applyFont="1" applyFill="1" applyBorder="1" applyNumberFormat="1">
      <alignment horizontal="left" vertical="center" indent="1"/>
    </xf>
    <xf numFmtId="49" fontId="48" fillId="40" borderId="17" xfId="0" applyFont="1" applyFill="1" applyBorder="1" applyNumberFormat="1">
      <alignmen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5" xfId="0" applyFont="1" applyFill="1" applyBorder="1" applyNumberFormat="1">
      <alignment horizontal="center" vertical="center" wrapText="1"/>
    </xf>
    <xf numFmtId="49" fontId="0" fillId="0" borderId="0" xfId="0" applyFont="1" applyNumberFormat="1">
      <alignment vertical="top"/>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5"/>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5" xfId="0" applyFont="1" applyFill="1" applyBorder="1" applyNumberFormat="1">
      <alignment horizontal="center" vertical="center" wrapText="1"/>
    </xf>
    <xf numFmtId="0" fontId="68" fillId="0" borderId="0" xfId="0" applyFont="1" applyNumberFormat="1">
      <alignment vertical="center" wrapText="1"/>
    </xf>
    <xf numFmtId="0" fontId="68" fillId="0" borderId="0" xfId="0" applyFont="1" applyNumberFormat="1">
      <alignment vertical="center" wrapText="1"/>
    </xf>
    <xf numFmtId="0" fontId="68" fillId="0" borderId="0" xfId="0" applyFont="1" applyNumberFormat="1">
      <alignment vertical="center" wrapText="1"/>
    </xf>
    <xf numFmtId="0" fontId="68" fillId="0" borderId="0" xfId="0" applyFont="1" applyNumberFormat="1">
      <alignment vertical="center" wrapText="1"/>
    </xf>
    <xf numFmtId="49" fontId="55" fillId="0" borderId="0" xfId="0" applyFont="1" applyNumberFormat="1">
      <alignment horizontal="left" vertical="center"/>
    </xf>
    <xf numFmtId="0" fontId="68" fillId="0" borderId="0" xfId="0" applyFont="1" applyNumberFormat="1">
      <alignment vertical="center" wrapText="1"/>
    </xf>
    <xf numFmtId="49" fontId="55"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0" fontId="23" fillId="0" borderId="14" xfId="0" applyFont="1" applyBorder="1" applyNumberFormat="1">
      <alignment horizontal="center" vertical="center" wrapText="1"/>
    </xf>
    <xf numFmtId="0" fontId="23" fillId="0" borderId="14" xfId="0" applyFont="1" applyBorder="1" applyNumberFormat="1">
      <alignment vertical="center" wrapText="1"/>
    </xf>
    <xf numFmtId="0" fontId="89" fillId="0" borderId="0" xfId="0" applyFont="1" applyNumberFormat="1">
      <alignment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4" fontId="23" fillId="39" borderId="14" xfId="0" applyFont="1" applyFill="1" applyBorder="1" applyNumberFormat="1">
      <alignment horizontal="right" vertical="center" wrapText="1"/>
      <protection locked="0"/>
    </xf>
    <xf numFmtId="0" fontId="23" fillId="39" borderId="14" xfId="0" applyFont="1" applyFill="1" applyBorder="1" applyNumberFormat="1">
      <alignment horizontal="left" vertical="center" wrapText="1"/>
      <protection locked="0"/>
    </xf>
    <xf numFmtId="49" fontId="96" fillId="0" borderId="0" xfId="0" applyFont="1" applyNumberFormat="1">
      <alignment horizontal="center" vertical="center" wrapText="1"/>
    </xf>
    <xf numFmtId="49" fontId="23" fillId="0" borderId="0" xfId="0" applyFont="1" applyNumberFormat="1">
      <alignment horizontal="center" vertical="top" wrapText="1"/>
    </xf>
    <xf numFmtId="0" fontId="23" fillId="0" borderId="14" xfId="0" applyFont="1" applyBorder="1" applyNumberFormat="1">
      <alignment horizontal="center" vertical="center" wrapText="1"/>
    </xf>
    <xf numFmtId="0" fontId="23" fillId="0" borderId="15" xfId="0" applyFont="1" applyBorder="1" applyNumberFormat="1">
      <alignment vertical="top" wrapText="1"/>
    </xf>
    <xf numFmtId="0" fontId="59" fillId="0" borderId="0" xfId="0" applyFont="1" applyNumberFormat="1">
      <alignment vertical="center" wrapText="1"/>
    </xf>
    <xf numFmtId="0" fontId="23" fillId="0" borderId="15" xfId="0" applyFont="1" applyBorder="1" applyNumberFormat="1">
      <alignment horizontal="center" vertical="center" wrapText="1"/>
    </xf>
    <xf numFmtId="166" fontId="23" fillId="39" borderId="14" xfId="0" applyFont="1" applyFill="1" applyBorder="1" applyNumberFormat="1">
      <alignment horizontal="right" vertical="center" wrapText="1"/>
      <protection locked="0"/>
    </xf>
    <xf numFmtId="0" fontId="23" fillId="0" borderId="22" xfId="0" applyFont="1" applyBorder="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2" fillId="0" borderId="0" xfId="0" applyFont="1" applyNumberFormat="1">
      <alignment vertical="center" wrapText="1"/>
    </xf>
    <xf numFmtId="0" fontId="23" fillId="0" borderId="0" xfId="0" applyFont="1" applyNumberFormat="1">
      <alignment horizontal="left" vertical="center" wrapText="1" indent="3"/>
    </xf>
    <xf numFmtId="0" fontId="102" fillId="37" borderId="0" xfId="0" applyFont="1" applyFill="1" applyNumberFormat="1">
      <alignment horizontal="right" vertical="center"/>
    </xf>
    <xf numFmtId="0" fontId="23" fillId="0" borderId="16" xfId="0" applyFont="1" applyBorder="1" applyNumberFormat="1">
      <alignment vertical="center"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38" borderId="16" xfId="0" applyFont="1" applyFill="1" applyBorder="1" applyNumberFormat="1">
      <alignment horizontal="left" vertical="top" wrapTex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0" fontId="23" fillId="0" borderId="14" xfId="0" applyFont="1" applyBorder="1" applyNumberFormat="1">
      <alignment horizontal="center" vertical="center" wrapText="1"/>
    </xf>
    <xf numFmtId="4" fontId="23" fillId="42" borderId="14" xfId="0" applyFont="1" applyFill="1" applyBorder="1" applyNumberFormat="1">
      <alignment horizontal="right" vertical="center" wrapText="1"/>
      <protection locked="0"/>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center" wrapText="1" inden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77" fillId="0" borderId="0" xfId="0" applyFont="1" applyNumberFormat="1">
      <alignment horizontal="center" vertical="center" wrapText="1"/>
    </xf>
    <xf numFmtId="49" fontId="77" fillId="0" borderId="30" xfId="0" applyFont="1" applyBorder="1" applyNumberFormat="1">
      <alignment horizontal="center" vertical="center" wrapText="1"/>
    </xf>
    <xf numFmtId="0" fontId="77" fillId="0" borderId="14" xfId="0" applyFont="1" applyBorder="1" applyNumberFormat="1">
      <alignment horizontal="left" vertical="center" wrapText="1" indent="2"/>
    </xf>
    <xf numFmtId="0" fontId="77" fillId="0" borderId="14" xfId="0" applyFont="1" applyBorder="1" applyNumberFormat="1">
      <alignment horizontal="center" vertical="center" wrapText="1"/>
    </xf>
    <xf numFmtId="0" fontId="77" fillId="0" borderId="14" xfId="0" applyFont="1" applyBorder="1" applyNumberFormat="1">
      <alignment vertical="center" wrapText="1"/>
    </xf>
    <xf numFmtId="0" fontId="90" fillId="0" borderId="0" xfId="0" applyFont="1" applyNumberFormat="1">
      <alignment vertical="center" wrapText="1"/>
    </xf>
    <xf numFmtId="0" fontId="68" fillId="0" borderId="0" xfId="0" applyFont="1" applyNumberFormat="1">
      <alignment vertical="center" wrapText="1"/>
    </xf>
    <xf numFmtId="0" fontId="77" fillId="0" borderId="30" xfId="0" applyFont="1" applyBorder="1" applyNumberFormat="1">
      <alignment horizontal="center" vertical="center" wrapText="1"/>
    </xf>
    <xf numFmtId="0" fontId="77" fillId="0" borderId="14" xfId="0" applyFont="1" applyBorder="1" applyNumberFormat="1">
      <alignment horizontal="left" vertical="center" wrapText="1" indent="3"/>
    </xf>
    <xf numFmtId="4" fontId="77" fillId="0" borderId="14" xfId="0" applyFont="1" applyBorder="1" applyNumberFormat="1">
      <alignment horizontal="right" vertical="center" wrapText="1"/>
    </xf>
    <xf numFmtId="0" fontId="45" fillId="0" borderId="0" xfId="0" applyFont="1" applyNumberFormat="1">
      <alignment horizontal="center" vertical="center" wrapText="1"/>
    </xf>
    <xf numFmtId="49"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23" fillId="0" borderId="14" xfId="0" applyFont="1" applyBorder="1" applyNumberFormat="1">
      <alignment horizontal="left" vertical="center" wrapText="1" indent="2"/>
    </xf>
    <xf numFmtId="14" fontId="23" fillId="0" borderId="0" xfId="0" applyFont="1" applyNumberFormat="1">
      <alignment horizontal="center" vertical="center" wrapText="1"/>
    </xf>
    <xf numFmtId="49" fontId="96" fillId="48" borderId="0" xfId="0" applyFont="1" applyFill="1" applyNumberFormat="1">
      <alignment horizontal="center" vertical="center" wrapText="1"/>
    </xf>
    <xf numFmtId="49" fontId="36" fillId="0" borderId="0" xfId="0" applyFont="1" applyNumberFormat="1">
      <alignment horizontal="center" vertical="center"/>
    </xf>
    <xf numFmtId="166" fontId="23" fillId="42" borderId="14" xfId="0" applyFont="1" applyFill="1" applyBorder="1" applyNumberFormat="1">
      <alignment horizontal="right" vertical="center" wrapText="1"/>
      <protection locked="0"/>
    </xf>
    <xf numFmtId="0" fontId="54" fillId="0" borderId="0" xfId="0" applyFont="1" applyNumberFormat="1">
      <alignment horizontal="left" vertical="center" wrapText="1"/>
    </xf>
    <xf numFmtId="49" fontId="96" fillId="0" borderId="0" xfId="0" applyFont="1" applyNumberFormat="1">
      <alignment horizontal="left" vertical="center" wrapText="1"/>
    </xf>
    <xf numFmtId="0" fontId="55" fillId="0" borderId="0" xfId="0" applyFont="1" applyNumberFormat="1">
      <alignment horizontal="left" vertical="center" wrapText="1"/>
    </xf>
    <xf numFmtId="49" fontId="23" fillId="0" borderId="0" xfId="0" applyFont="1" applyNumberFormat="1">
      <alignment horizontal="left" vertical="center" wrapText="1"/>
    </xf>
    <xf numFmtId="0" fontId="59" fillId="0" borderId="0" xfId="0" applyFont="1" applyNumberFormat="1">
      <alignment horizontal="left" vertical="center" wrapText="1"/>
    </xf>
    <xf numFmtId="0" fontId="40" fillId="0" borderId="0" xfId="0" applyFont="1" applyNumberFormat="1">
      <alignment horizontal="left" vertical="center" wrapText="1"/>
    </xf>
    <xf numFmtId="49" fontId="23" fillId="43" borderId="14" xfId="0" applyFont="1" applyFill="1" applyBorder="1" applyNumberFormat="1">
      <alignment horizontal="left" vertical="center" wrapText="1"/>
    </xf>
    <xf numFmtId="0" fontId="23" fillId="0" borderId="19" xfId="0" applyFont="1" applyBorder="1" applyNumberFormat="1">
      <alignment horizontal="center" vertical="center" wrapText="1"/>
    </xf>
    <xf numFmtId="4" fontId="23" fillId="38" borderId="19" xfId="0" applyFont="1" applyFill="1" applyBorder="1" applyNumberFormat="1">
      <alignment horizontal="right" vertical="center"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0" fontId="55" fillId="0" borderId="19" xfId="0" applyFont="1" applyBorder="1" applyNumberFormat="1">
      <alignment vertical="top" wrapText="1"/>
    </xf>
    <xf numFmtId="4" fontId="23" fillId="42" borderId="15" xfId="0" applyFont="1" applyFill="1" applyBorder="1" applyNumberFormat="1">
      <alignment horizontal="right" vertical="center" wrapText="1"/>
      <protection locked="0"/>
    </xf>
    <xf numFmtId="49" fontId="34" fillId="39" borderId="15"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0" fontId="54" fillId="0" borderId="0" xfId="0" applyFont="1" applyNumberFormat="1">
      <alignment vertical="center" wrapText="1"/>
    </xf>
    <xf numFmtId="0" fontId="55" fillId="0" borderId="0" xfId="0" applyFont="1" applyNumberFormat="1">
      <alignment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center" wrapText="1"/>
    </xf>
    <xf numFmtId="166" fontId="23" fillId="42" borderId="15" xfId="0" applyFont="1" applyFill="1" applyBorder="1" applyNumberFormat="1">
      <alignment horizontal="right" vertical="center" wrapText="1"/>
      <protection locked="0"/>
    </xf>
    <xf numFmtId="0" fontId="89"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23" fillId="0" borderId="0" xfId="0" applyFont="1" applyNumberFormat="1">
      <alignment vertical="center" wrapText="1"/>
    </xf>
    <xf numFmtId="0" fontId="54" fillId="0" borderId="0" xfId="0" applyFont="1" applyNumberFormat="1">
      <alignment vertical="center" wrapText="1"/>
    </xf>
    <xf numFmtId="166" fontId="23" fillId="38" borderId="15" xfId="0" applyFont="1" applyFill="1" applyBorder="1" applyNumberFormat="1">
      <alignment horizontal="right" vertical="center" wrapText="1"/>
    </xf>
    <xf numFmtId="166" fontId="23" fillId="38" borderId="14" xfId="0" applyFont="1" applyFill="1" applyBorder="1" applyNumberFormat="1">
      <alignment horizontal="right" vertical="center" wrapText="1"/>
    </xf>
    <xf numFmtId="49" fontId="96" fillId="48" borderId="0" xfId="0" applyFont="1" applyFill="1" applyNumberFormat="1">
      <alignment horizontal="center" vertical="center" textRotation="90" wrapText="1"/>
    </xf>
    <xf numFmtId="0" fontId="23" fillId="42" borderId="14" xfId="0" applyFont="1" applyFill="1" applyBorder="1" applyNumberFormat="1">
      <alignment horizontal="center" vertical="center" wrapText="1"/>
      <protection locked="0"/>
    </xf>
    <xf numFmtId="4" fontId="23" fillId="42" borderId="31"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0" fontId="55" fillId="0" borderId="38" xfId="0" applyFont="1" applyBorder="1" applyNumberFormat="1">
      <alignment horizontal="left" vertical="center" wrapText="1" indent="1"/>
    </xf>
    <xf numFmtId="0" fontId="55" fillId="0" borderId="38" xfId="0" applyFont="1" applyBorder="1" applyNumberFormat="1">
      <alignment horizontal="center" vertical="center" wrapText="1"/>
    </xf>
    <xf numFmtId="0" fontId="55" fillId="0" borderId="19" xfId="0" applyFont="1" applyBorder="1" applyNumberFormat="1">
      <alignment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0" borderId="25" xfId="0" applyFont="1" applyBorder="1" applyNumberFormat="1">
      <alignment vertical="top" wrapText="1"/>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22" xfId="0" applyFont="1" applyBorder="1" applyNumberFormat="1">
      <alignment horizontal="center" vertical="center" wrapText="1"/>
    </xf>
    <xf numFmtId="166" fontId="23" fillId="42" borderId="19" xfId="0" applyFont="1" applyFill="1" applyBorder="1" applyNumberFormat="1">
      <alignment horizontal="right" vertical="center" wrapText="1"/>
      <protection locked="0"/>
    </xf>
    <xf numFmtId="0" fontId="55" fillId="0" borderId="25" xfId="0" applyFont="1" applyBorder="1" applyNumberFormat="1">
      <alignment horizontal="left" vertical="center" wrapText="1" indent="1"/>
    </xf>
    <xf numFmtId="0" fontId="55" fillId="0" borderId="19" xfId="0" applyFont="1" applyBorder="1" applyNumberFormat="1">
      <alignment horizontal="center" vertical="center" wrapText="1"/>
    </xf>
    <xf numFmtId="0" fontId="45" fillId="0" borderId="0" xfId="0" applyFont="1" applyNumberForma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55" fillId="0" borderId="19" xfId="0" applyFont="1" applyBorder="1" applyNumberFormat="1">
      <alignment horizontal="left" vertical="center" wrapText="1" indent="1"/>
    </xf>
    <xf numFmtId="49" fontId="34" fillId="39" borderId="14" xfId="0" applyFont="1" applyFill="1" applyBorder="1" applyNumberFormat="1">
      <alignment horizontal="left" vertical="center" wrapText="1"/>
      <protection locked="0"/>
    </xf>
    <xf numFmtId="0" fontId="23" fillId="0" borderId="0" xfId="0" applyFont="1" applyNumberFormat="1">
      <alignment vertical="top" wrapText="1"/>
    </xf>
    <xf numFmtId="0" fontId="23" fillId="0" borderId="0" xfId="0" applyFont="1" applyNumberFormat="1">
      <alignment horizontal="left" vertical="top" wrapText="1"/>
    </xf>
    <xf numFmtId="0" fontId="23" fillId="0" borderId="0" xfId="0" applyFont="1" applyNumberFormat="1">
      <alignment horizontal="left" vertical="center" wrapText="1"/>
    </xf>
    <xf numFmtId="0" fontId="59" fillId="0" borderId="0" xfId="0" applyFont="1" applyNumberFormat="1">
      <alignment vertical="center"/>
    </xf>
    <xf numFmtId="0" fontId="96" fillId="0" borderId="0" xfId="0" applyFont="1" applyNumberFormat="1">
      <alignment vertical="center" wrapText="1"/>
    </xf>
    <xf numFmtId="49" fontId="96" fillId="0" borderId="0" xfId="0" applyFont="1" applyNumberFormat="1">
      <alignment horizontal="center" vertical="center" wrapText="1"/>
    </xf>
    <xf numFmtId="0" fontId="23" fillId="0" borderId="0" xfId="0" applyFont="1" applyNumberFormat="1">
      <alignment vertical="center" wrapText="1"/>
    </xf>
    <xf numFmtId="0" fontId="59" fillId="0" borderId="0" xfId="0" applyFont="1" applyNumberFormat="1">
      <alignment vertical="center" wrapText="1"/>
    </xf>
    <xf numFmtId="0" fontId="23" fillId="0" borderId="21" xfId="0" applyFont="1" applyBorder="1" applyNumberFormat="1">
      <alignment vertical="center" wrapText="1"/>
    </xf>
    <xf numFmtId="0" fontId="23" fillId="0" borderId="0" xfId="0" applyFont="1" applyNumberFormat="1">
      <alignment horizontal="center" vertical="center" wrapText="1"/>
    </xf>
    <xf numFmtId="49" fontId="40" fillId="0" borderId="0" xfId="0" applyFont="1" applyNumberFormat="1">
      <alignment horizontal="center" vertical="center" wrapText="1"/>
    </xf>
    <xf numFmtId="0" fontId="23" fillId="0" borderId="29" xfId="0" applyFont="1" applyBorder="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36" fillId="0" borderId="0" xfId="0" applyFont="1" applyNumberFormat="1">
      <alignment horizontal="center" vertical="center" wrapText="1"/>
    </xf>
    <xf numFmtId="49" fontId="68" fillId="0" borderId="0" xfId="0" applyFont="1" applyNumberFormat="1">
      <alignment horizontal="center" vertical="center" wrapText="1"/>
    </xf>
    <xf numFmtId="0" fontId="77" fillId="0" borderId="0" xfId="0" applyFont="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68" fillId="0" borderId="0" xfId="0" applyFont="1" applyNumberFormat="1">
      <alignment vertical="center" wrapText="1"/>
    </xf>
    <xf numFmtId="0" fontId="76" fillId="0" borderId="0" xfId="0" applyFont="1" applyNumberFormat="1">
      <alignment vertical="center" wrapText="1"/>
    </xf>
    <xf numFmtId="0" fontId="23" fillId="0" borderId="14" xfId="0" applyFont="1" applyBorder="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center" vertical="center" wrapText="1"/>
    </xf>
    <xf numFmtId="0" fontId="23" fillId="0" borderId="0" xfId="0" applyFont="1" applyNumberFormat="1">
      <alignment vertical="center" wrapText="1"/>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19" xfId="0" applyFont="1" applyBorder="1" applyNumberFormat="1">
      <alignment horizontal="center" vertical="center" wrapText="1"/>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38" borderId="14" xfId="0" applyFont="1" applyFill="1" applyBorder="1" applyNumberFormat="1">
      <alignment horizontal="left" vertical="center" wrapText="1" indent="1"/>
    </xf>
    <xf numFmtId="0" fontId="23" fillId="0" borderId="15" xfId="0" applyFont="1" applyBorder="1" applyNumberFormat="1">
      <alignment horizontal="left" vertical="center" wrapText="1" indent="1"/>
    </xf>
    <xf numFmtId="49" fontId="55" fillId="0" borderId="24" xfId="0" applyFont="1" applyBorder="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0" fontId="54" fillId="0" borderId="0" xfId="0" applyFont="1" applyNumberFormat="1">
      <alignment horizontal="center"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49" fontId="55"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25" xfId="0" applyFont="1" applyBorder="1" applyNumberFormat="1">
      <alignment horizontal="left" vertical="center" wrapText="1"/>
    </xf>
    <xf numFmtId="2" fontId="23" fillId="0" borderId="25" xfId="0" applyFont="1" applyBorder="1" applyNumberFormat="1">
      <alignment horizontal="center" vertical="center" wrapText="1"/>
    </xf>
    <xf numFmtId="0" fontId="23" fillId="0" borderId="14" xfId="0" applyFont="1" applyBorder="1" applyNumberFormat="1">
      <alignment horizontal="left" vertical="center" wrapText="1"/>
    </xf>
    <xf numFmtId="49" fontId="55" fillId="0" borderId="24" xfId="0" applyFont="1" applyBorder="1" applyNumberFormat="1">
      <alignment vertical="top"/>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24" xfId="0" applyFont="1" applyBorder="1" applyNumberFormat="1">
      <alignmen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23" fillId="0" borderId="25" xfId="0" applyFont="1" applyBorder="1" applyNumberFormat="1">
      <alignment horizontal="left" vertical="center" wrapText="1"/>
    </xf>
    <xf numFmtId="0" fontId="23" fillId="0" borderId="14" xfId="0" applyFont="1" applyBorder="1" applyNumberFormat="1">
      <alignment horizontal="left" vertical="center" wrapText="1"/>
    </xf>
    <xf numFmtId="0" fontId="54" fillId="0" borderId="0" xfId="0" applyFont="1" applyNumberFormat="1">
      <alignment horizontal="center" vertical="top"/>
    </xf>
    <xf numFmtId="0" fontId="55" fillId="0" borderId="0" xfId="0" applyFont="1" applyNumberFormat="1">
      <alignment horizontal="center" vertical="center" wrapText="1"/>
    </xf>
    <xf numFmtId="49" fontId="55" fillId="0" borderId="25" xfId="0" applyFont="1" applyBorder="1" applyNumberFormat="1">
      <alignment horizontal="center" vertical="center" wrapText="1"/>
    </xf>
    <xf numFmtId="49" fontId="48" fillId="0" borderId="21" xfId="0" applyFont="1" applyBorder="1" applyNumberFormat="1">
      <alignment horizontal="right" vertical="center"/>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53" fillId="0" borderId="0" xfId="0" applyFont="1" applyNumberFormat="1">
      <alignment horizontal="left" vertical="top" wrapText="1"/>
    </xf>
    <xf numFmtId="49" fontId="40" fillId="0" borderId="0" xfId="0" applyFont="1" applyNumberFormat="1">
      <alignment horizontal="center" vertical="center" wrapText="1"/>
    </xf>
    <xf numFmtId="0" fontId="55" fillId="0" borderId="0" xfId="0" applyFont="1" applyNumberFormat="1">
      <alignment vertical="center" wrapText="1"/>
    </xf>
    <xf numFmtId="0" fontId="40"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55" fillId="0" borderId="16" xfId="0" applyFont="1" applyBorder="1" applyNumberFormat="1">
      <alignment vertical="center" wrapTex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0" fontId="55" fillId="0" borderId="16" xfId="0" applyFont="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14" xfId="0" applyFont="1" applyBorder="1" applyNumberFormat="1">
      <alignment horizontal="left" vertical="center" wrapText="1"/>
    </xf>
    <xf numFmtId="49" fontId="23" fillId="0" borderId="61" xfId="0" applyFont="1" applyBorder="1" applyNumberFormat="1">
      <alignment horizontal="center" vertical="center" wrapText="1"/>
    </xf>
    <xf numFmtId="0" fontId="23"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49" fontId="23" fillId="0" borderId="62" xfId="0" applyFont="1" applyBorder="1" applyNumberFormat="1">
      <alignment horizontal="center" vertical="center" wrapText="1"/>
    </xf>
    <xf numFmtId="0" fontId="23" fillId="0" borderId="15"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9" fontId="48" fillId="40" borderId="21" xfId="0" applyFont="1" applyFill="1" applyBorder="1" applyNumberFormat="1">
      <alignment horizontal="left" vertical="center" indent="2"/>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9" xfId="0" applyFont="1" applyBorder="1" applyNumberFormat="1">
      <alignment horizontal="left" vertical="center" wrapText="1"/>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60" xfId="0" applyFont="1" applyBorder="1" applyNumberFormat="1">
      <alignment horizontal="center" vertical="center" wrapText="1"/>
    </xf>
    <xf numFmtId="0" fontId="23" fillId="0" borderId="19" xfId="0" applyFont="1" applyBorder="1" applyNumberFormat="1">
      <alignment horizontal="left" vertical="center" wrapText="1" indent="1"/>
    </xf>
    <xf numFmtId="0" fontId="23" fillId="0" borderId="19"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left" vertical="center" wrapText="1" inden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55" fillId="0" borderId="29" xfId="0" applyFont="1" applyBorder="1" applyNumberFormat="1">
      <alignment vertical="center" wrapTex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0" xfId="0" applyFont="1" applyNumberFormat="1">
      <alignment horizontal="left" vertical="top"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49" fontId="23" fillId="58" borderId="0" xfId="0" applyFont="1" applyFill="1" applyNumberFormat="1">
      <alignment horizontal="center" vertical="center" textRotation="90"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76" fillId="0" borderId="24" xfId="0" applyFont="1" applyBorder="1" applyNumberFormat="1">
      <alignment vertical="center" wrapText="1"/>
    </xf>
    <xf numFmtId="49"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23" fillId="0" borderId="14" xfId="0" applyFont="1" applyBorder="1" applyNumberFormat="1">
      <alignment horizontal="center" vertical="center" wrapText="1"/>
    </xf>
    <xf numFmtId="49" fontId="23" fillId="39" borderId="14" xfId="0" applyFont="1" applyFill="1" applyBorder="1" applyNumberFormat="1">
      <alignment horizontal="left" vertical="center" wrapText="1"/>
      <protection locked="0"/>
    </xf>
    <xf numFmtId="3"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88" fillId="0" borderId="0" xfId="0" applyFont="1" applyNumberFormat="1">
      <alignment vertical="center" wrapText="1"/>
    </xf>
    <xf numFmtId="0" fontId="23" fillId="0" borderId="14" xfId="0" applyFont="1" applyBorder="1" applyNumberFormat="1">
      <alignment horizontal="left" vertical="center" wrapText="1" indent="2"/>
    </xf>
    <xf numFmtId="3" fontId="53" fillId="39" borderId="14" xfId="0" applyFont="1" applyFill="1" applyBorder="1" applyNumberFormat="1">
      <alignment horizontal="right" vertical="center"/>
      <protection locked="0"/>
    </xf>
    <xf numFmtId="49" fontId="23" fillId="39" borderId="16" xfId="0" applyFont="1" applyFill="1" applyBorder="1" applyNumberFormat="1">
      <alignment horizontal="left" vertical="center" wrapText="1"/>
      <protection locked="0"/>
    </xf>
    <xf numFmtId="0" fontId="53" fillId="0" borderId="0" xfId="0" applyFont="1" applyNumberFormat="1">
      <alignment vertical="center" wrapText="1"/>
    </xf>
    <xf numFmtId="0" fontId="23" fillId="0" borderId="0" xfId="0" applyFont="1" applyNumberFormat="1">
      <alignment vertical="top" wrapText="1"/>
    </xf>
    <xf numFmtId="0" fontId="23" fillId="0" borderId="0" xfId="0" applyFont="1" applyNumberFormat="1">
      <alignment vertical="top"/>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9" fontId="34" fillId="0" borderId="14" xfId="0" applyFont="1" applyBorder="1" applyNumberFormat="1">
      <alignment horizontal="left" vertical="center" wrapText="1"/>
    </xf>
    <xf numFmtId="49" fontId="23" fillId="0" borderId="34" xfId="0" applyFont="1" applyBorder="1" applyNumberFormat="1">
      <alignment horizontal="center" vertical="center" wrapText="1"/>
    </xf>
    <xf numFmtId="0" fontId="23" fillId="0" borderId="34"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9" fontId="23" fillId="0" borderId="33" xfId="0" applyFont="1" applyBorder="1" applyNumberFormat="1">
      <alignment horizontal="center" vertical="center" wrapText="1"/>
    </xf>
    <xf numFmtId="0" fontId="23" fillId="0" borderId="35"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0" borderId="19"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0" fontId="23" fillId="0" borderId="35" xfId="0" applyFont="1" applyBorder="1" applyNumberFormat="1">
      <alignment horizontal="left" vertical="center" wrapText="1"/>
    </xf>
    <xf numFmtId="49" fontId="34" fillId="0" borderId="17"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0" borderId="34" xfId="0" applyFont="1" applyBorder="1" applyNumberFormat="1">
      <alignment horizontal="center" vertical="center" wrapText="1"/>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2"/>
    </xf>
    <xf numFmtId="4" fontId="23" fillId="0" borderId="33" xfId="0" applyFont="1" applyBorder="1" applyNumberFormat="1">
      <alignment horizontal="center" vertical="center" wrapText="1"/>
    </xf>
    <xf numFmtId="49" fontId="23" fillId="0" borderId="36" xfId="0" applyFont="1" applyBorder="1" applyNumberFormat="1">
      <alignment horizontal="center" vertical="center" wrapText="1"/>
    </xf>
    <xf numFmtId="49" fontId="34" fillId="42" borderId="14" xfId="0" applyFont="1" applyFill="1" applyBorder="1" applyNumberFormat="1">
      <alignment horizontal="left" vertical="center" wrapText="1"/>
      <protection locked="0"/>
    </xf>
    <xf numFmtId="0" fontId="23" fillId="0" borderId="37" xfId="0" applyFont="1" applyBorder="1" applyNumberFormat="1">
      <alignment horizontal="left" vertical="center" wrapText="1"/>
    </xf>
    <xf numFmtId="4" fontId="23" fillId="0" borderId="37" xfId="0" applyFont="1" applyBorder="1" applyNumberFormat="1">
      <alignment horizontal="center" vertical="center" wrapText="1"/>
    </xf>
    <xf numFmtId="49" fontId="34" fillId="0" borderId="39" xfId="0" applyFont="1" applyBorder="1" applyNumberFormat="1">
      <alignment horizontal="left" vertical="center" wrapText="1"/>
    </xf>
    <xf numFmtId="49" fontId="23" fillId="0" borderId="35"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 fontId="23" fillId="42" borderId="36" xfId="0" applyFont="1" applyFill="1" applyBorder="1" applyNumberFormat="1">
      <alignment horizontal="right" vertical="center" wrapText="1"/>
      <protection locked="0"/>
    </xf>
    <xf numFmtId="49" fontId="34" fillId="42" borderId="16" xfId="0" applyFont="1" applyFill="1" applyBorder="1" applyNumberFormat="1">
      <alignment horizontal="left" vertical="center" wrapText="1"/>
      <protection locked="0"/>
    </xf>
    <xf numFmtId="49" fontId="54" fillId="0" borderId="0" xfId="0" applyFont="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44" fillId="0" borderId="26" xfId="0" applyFont="1" applyBorder="1" applyNumberFormat="1">
      <alignment horizontal="center" vertical="center" wrapText="1"/>
    </xf>
    <xf numFmtId="0" fontId="0" fillId="0" borderId="16" xfId="0" applyFont="1" applyBorder="1" applyNumberFormat="1">
      <alignment horizontal="center" vertical="center"/>
    </xf>
    <xf numFmtId="0" fontId="23" fillId="0" borderId="15" xfId="0" applyFont="1" applyBorder="1" applyNumberFormat="1">
      <alignment horizontal="center" vertical="center" wrapText="1"/>
    </xf>
    <xf numFmtId="167" fontId="0" fillId="39"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44" fillId="0" borderId="0" xfId="0" applyFont="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0" borderId="15" xfId="0" applyFont="1" applyBorder="1" applyNumberFormat="1">
      <alignment horizontal="center" vertical="center" wrapText="1"/>
    </xf>
    <xf numFmtId="0" fontId="23" fillId="40" borderId="16" xfId="0" applyFont="1" applyFill="1" applyBorder="1" applyNumberFormat="1">
      <alignment vertical="center" wrapText="1"/>
    </xf>
    <xf numFmtId="0" fontId="23" fillId="0" borderId="15" xfId="0" applyFont="1" applyBorder="1" applyNumberFormat="1">
      <alignment horizontal="center" vertical="center" wrapText="1"/>
    </xf>
    <xf numFmtId="0" fontId="23" fillId="40" borderId="21" xfId="0" applyFont="1" applyFill="1" applyBorder="1" applyNumberFormat="1">
      <alignment vertical="center" wrapText="1"/>
    </xf>
    <xf numFmtId="0" fontId="23" fillId="0" borderId="17"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0" borderId="15" xfId="0" applyFont="1" applyBorder="1" applyNumberFormat="1">
      <alignment vertical="center" wrapText="1"/>
    </xf>
    <xf numFmtId="0" fontId="23" fillId="40" borderId="29" xfId="0" applyFont="1" applyFill="1" applyBorder="1" applyNumberFormat="1">
      <alignment vertical="center" wrapText="1"/>
    </xf>
    <xf numFmtId="0" fontId="44" fillId="0" borderId="0" xfId="0" applyFont="1" applyNumberFormat="1">
      <alignment horizontal="center" vertical="center" wrapText="1"/>
    </xf>
    <xf numFmtId="0" fontId="88" fillId="0" borderId="0" xfId="0" applyFont="1" applyNumberFormat="1">
      <alignment vertical="center" wrapText="1"/>
    </xf>
    <xf numFmtId="49" fontId="54" fillId="0" borderId="0" xfId="0" applyFont="1" applyNumberFormat="1">
      <alignment horizontal="center" vertical="center" wrapText="1"/>
    </xf>
    <xf numFmtId="0" fontId="40"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wrapText="1"/>
    </xf>
    <xf numFmtId="49" fontId="54" fillId="0" borderId="0" xfId="0" applyFont="1" applyNumberFormat="1">
      <alignment horizontal="center" vertical="center" wrapText="1"/>
    </xf>
    <xf numFmtId="0" fontId="23" fillId="0" borderId="0" xfId="0" applyFont="1" applyNumberFormat="1">
      <alignment vertical="center" wrapText="1"/>
    </xf>
    <xf numFmtId="49" fontId="54" fillId="0" borderId="0" xfId="0" applyFont="1" applyNumberFormat="1">
      <alignment horizontal="center" vertical="center" wrapText="1"/>
    </xf>
    <xf numFmtId="49" fontId="103" fillId="0" borderId="0" xfId="0" applyFont="1" applyNumberFormat="1">
      <alignment horizontal="center"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0" fontId="0" fillId="0" borderId="14" xfId="0" applyFont="1" applyBorder="1" applyNumberFormat="1">
      <alignment horizontal="left" vertical="center" wrapText="1" indent="1"/>
    </xf>
    <xf numFmtId="49"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55" fillId="0" borderId="0" xfId="0" applyFont="1" applyNumberFormat="1">
      <alignment horizontal="center" vertical="center" wrapText="1"/>
    </xf>
    <xf numFmtId="49" fontId="23" fillId="0" borderId="16" xfId="0" applyFont="1" applyBorder="1" applyNumberFormat="1">
      <alignment horizontal="center" vertical="center" wrapText="1"/>
    </xf>
    <xf numFmtId="49" fontId="48" fillId="40" borderId="16" xfId="0" applyFont="1" applyFill="1" applyBorder="1" applyNumberFormat="1">
      <alignment horizontal="left" vertical="center" indent="1"/>
    </xf>
    <xf numFmtId="0" fontId="23" fillId="40" borderId="31" xfId="0" applyFont="1" applyFill="1" applyBorder="1" applyNumberFormat="1">
      <alignment vertical="center" wrapText="1"/>
    </xf>
    <xf numFmtId="49" fontId="54" fillId="0" borderId="0" xfId="0" applyFont="1" applyNumberFormat="1">
      <alignment horizontal="center" vertical="center" wrapText="1"/>
    </xf>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left" vertical="center" wrapText="1" indent="3"/>
    </xf>
    <xf numFmtId="0" fontId="23" fillId="37" borderId="0" xfId="0" applyFont="1" applyFill="1" applyNumberFormat="1">
      <alignment vertic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78" fillId="0" borderId="41" xfId="0" applyFont="1" applyBorder="1" applyNumberFormat="1">
      <alignment vertical="top"/>
    </xf>
    <xf numFmtId="49" fontId="78" fillId="0" borderId="41" xfId="0" applyFont="1" applyBorder="1" applyNumberFormat="1">
      <alignment vertical="top"/>
    </xf>
    <xf numFmtId="0" fontId="36" fillId="37" borderId="41" xfId="0" applyFont="1" applyFill="1" applyBorder="1" applyNumberFormat="1">
      <alignment horizontal="center" wrapText="1"/>
    </xf>
    <xf numFmtId="0" fontId="36" fillId="37" borderId="41" xfId="0" applyFont="1" applyFill="1" applyBorder="1" applyNumberFormat="1">
      <alignment horizont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23" fillId="0" borderId="0" xfId="0" applyFont="1" applyNumberFormat="1">
      <alignment vertical="top"/>
    </xf>
    <xf numFmtId="0" fontId="23" fillId="0" borderId="63" xfId="0" applyFont="1" applyBorder="1" applyNumberFormat="1">
      <alignment horizontal="center" vertical="center"/>
    </xf>
    <xf numFmtId="0" fontId="23" fillId="0" borderId="64" xfId="0" applyFont="1" applyBorder="1" applyNumberFormat="1">
      <alignment horizontal="center" vertical="center"/>
    </xf>
    <xf numFmtId="0" fontId="23" fillId="0" borderId="66" xfId="0" applyFont="1" applyBorder="1" applyNumberFormat="1">
      <alignment horizontal="center" vertical="center"/>
    </xf>
    <xf numFmtId="0" fontId="23" fillId="0" borderId="40" xfId="0" applyFont="1" applyBorder="1" applyNumberFormat="1">
      <alignmen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49" fontId="23" fillId="0" borderId="0" xfId="0" applyFont="1" applyNumberFormat="1">
      <alignment vertical="top"/>
    </xf>
    <xf numFmtId="0" fontId="23" fillId="0" borderId="0" xfId="0" applyFont="1" applyNumberFormat="1">
      <alignment vertical="center" wrapText="1"/>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0" fillId="0" borderId="14" xfId="0" applyFont="1" applyBorder="1" applyNumberFormat="1">
      <alignment horizontal="center" vertical="center" wrapText="1"/>
    </xf>
    <xf numFmtId="49" fontId="23" fillId="0" borderId="0" xfId="0" applyFont="1" applyNumberFormat="1">
      <alignment vertical="top"/>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xf>
    <xf numFmtId="49" fontId="23"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0" fontId="23" fillId="0" borderId="0" xfId="0" applyFont="1" applyNumberFormat="1">
      <alignment horizontal="left" vertical="center" wrapText="1"/>
    </xf>
    <xf numFmtId="0" fontId="23" fillId="0" borderId="0" xfId="0" applyFont="1" applyNumberFormat="1">
      <alignment vertical="center" wrapText="1"/>
    </xf>
    <xf numFmtId="0" fontId="23" fillId="0" borderId="0" xfId="0" applyFont="1" applyNumberFormat="1">
      <alignment vertical="center" wrapText="1"/>
    </xf>
    <xf numFmtId="0" fontId="40" fillId="0" borderId="0" xfId="0" applyFont="1" applyNumberFormat="1">
      <alignment vertical="center" wrapText="1"/>
    </xf>
    <xf numFmtId="0" fontId="23" fillId="37" borderId="0" xfId="0" applyFont="1" applyFill="1" applyNumberFormat="1">
      <alignment vertical="center" wrapText="1"/>
    </xf>
    <xf numFmtId="0" fontId="23" fillId="37" borderId="21" xfId="0" applyFont="1" applyFill="1" applyBorder="1" applyNumberFormat="1">
      <alignment vertical="center" wrapText="1"/>
    </xf>
    <xf numFmtId="49" fontId="23" fillId="0" borderId="0" xfId="0" applyFont="1" applyNumberFormat="1">
      <alignment vertical="top"/>
    </xf>
    <xf numFmtId="49" fontId="55" fillId="0" borderId="0" xfId="0" applyFont="1" applyNumberFormat="1">
      <alignment vertical="top"/>
    </xf>
    <xf numFmtId="0" fontId="55" fillId="0" borderId="41" xfId="0" applyFont="1" applyBorder="1" applyNumberFormat="1">
      <alignment vertical="center" wrapText="1"/>
    </xf>
    <xf numFmtId="0" fontId="23" fillId="0" borderId="76" xfId="0" applyFont="1" applyBorder="1" applyNumberFormat="1">
      <alignment horizontal="center" vertical="center"/>
    </xf>
    <xf numFmtId="0" fontId="23" fillId="0" borderId="45" xfId="0" applyFont="1" applyBorder="1" applyNumberFormat="1">
      <alignment horizontal="center" vertical="center"/>
    </xf>
    <xf numFmtId="0" fontId="23" fillId="0" borderId="40" xfId="0" applyFont="1" applyBorder="1" applyNumberFormat="1">
      <alignment vertical="center"/>
    </xf>
    <xf numFmtId="49" fontId="0" fillId="0" borderId="19"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23" fillId="0" borderId="24" xfId="0" applyFont="1" applyBorder="1" applyNumberFormat="1">
      <alignment vertical="top"/>
    </xf>
    <xf numFmtId="49" fontId="0" fillId="0" borderId="38"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xf>
    <xf numFmtId="49" fontId="0" fillId="38" borderId="14" xfId="0" applyFont="1" applyFill="1" applyBorder="1" applyNumberFormat="1">
      <alignment horizontal="center" vertical="center"/>
    </xf>
    <xf numFmtId="0" fontId="23" fillId="0" borderId="24" xfId="0" applyFont="1" applyBorder="1" applyNumberFormat="1">
      <alignment vertical="center" wrapText="1"/>
    </xf>
    <xf numFmtId="49" fontId="0" fillId="0" borderId="14"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 fontId="0" fillId="39"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horizontal="left" vertical="center" wrapText="1"/>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49" fontId="54" fillId="0" borderId="0" xfId="0" applyFont="1" applyNumberFormat="1">
      <alignment horizontal="center" vertical="center" wrapText="1"/>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23" fillId="0" borderId="0" xfId="0" applyFont="1" applyNumberFormat="1">
      <alignment horizontal="center" vertical="top" wrapText="1"/>
    </xf>
    <xf numFmtId="49" fontId="40" fillId="0" borderId="0" xfId="0" applyFont="1" applyNumberFormat="1">
      <alignment horizontal="center" vertical="top" wrapText="1"/>
    </xf>
    <xf numFmtId="49" fontId="23" fillId="37" borderId="0" xfId="0" applyFont="1" applyFill="1" applyNumberFormat="1">
      <alignment horizontal="center" vertical="top" wrapText="1"/>
    </xf>
    <xf numFmtId="0" fontId="23" fillId="0" borderId="22" xfId="0" applyFont="1" applyBorder="1" applyNumberFormat="1">
      <alignment horizontal="left" vertical="top" wrapText="1"/>
    </xf>
    <xf numFmtId="49" fontId="23" fillId="0" borderId="0" xfId="0" applyFont="1" applyNumberFormat="1">
      <alignment horizontal="center" vertical="center" wrapText="1"/>
    </xf>
    <xf numFmtId="49" fontId="40" fillId="0" borderId="0" xfId="0" applyFont="1" applyNumberFormat="1">
      <alignment horizontal="center" vertical="center" wrapText="1"/>
    </xf>
    <xf numFmtId="49" fontId="23" fillId="37" borderId="0" xfId="0" applyFont="1" applyFill="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0" fontId="53" fillId="0" borderId="0" xfId="0" applyFont="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0" xfId="0" applyFont="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49" fontId="53" fillId="37" borderId="0" xfId="0" applyFont="1" applyFill="1" applyNumberFormat="1">
      <alignment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37"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49" fontId="23" fillId="0" borderId="0" xfId="0" applyFont="1" applyNumberFormat="1">
      <alignment vertical="center" wrapText="1"/>
    </xf>
    <xf numFmtId="49" fontId="53" fillId="0" borderId="0" xfId="0" applyFont="1" applyNumberFormat="1">
      <alignment vertical="top"/>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49" fontId="23" fillId="34" borderId="29" xfId="0" applyFont="1" applyFill="1" applyBorder="1" applyNumberFormat="1">
      <alignment horizontal="center" vertical="center" wrapText="1"/>
    </xf>
    <xf numFmtId="49" fontId="53" fillId="0" borderId="0" xfId="0" applyFont="1" applyNumberFormat="1">
      <alignment vertical="center"/>
    </xf>
    <xf numFmtId="49" fontId="53" fillId="37" borderId="0" xfId="0" applyFont="1" applyFill="1" applyNumberFormat="1">
      <alignment vertical="center"/>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104"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49" fontId="53" fillId="0" borderId="0" xfId="0" applyFont="1" applyNumberFormat="1">
      <alignment vertical="center" wrapText="1"/>
    </xf>
    <xf numFmtId="49" fontId="53" fillId="0" borderId="0" xfId="0" applyFont="1" applyNumberFormat="1">
      <alignment vertical="top"/>
    </xf>
    <xf numFmtId="0" fontId="53" fillId="0" borderId="0" xfId="0" applyFont="1" applyNumberFormat="1">
      <alignment vertical="center" wrapText="1"/>
    </xf>
    <xf numFmtId="49" fontId="99" fillId="0" borderId="0" xfId="0" applyFont="1" applyNumberFormat="1">
      <alignment vertical="center" wrapText="1"/>
    </xf>
    <xf numFmtId="49" fontId="53" fillId="0" borderId="0" xfId="0" applyFont="1" applyNumberFormat="1">
      <alignment vertical="center" wrapText="1"/>
    </xf>
    <xf numFmtId="49" fontId="104" fillId="0" borderId="0" xfId="0" applyFont="1" applyNumberFormat="1">
      <alignment vertical="center"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indent="1"/>
    </xf>
    <xf numFmtId="0" fontId="23" fillId="0" borderId="16" xfId="0" applyFont="1" applyBorder="1" applyNumberFormat="1">
      <alignment horizontal="center" vertical="center" wrapText="1"/>
    </xf>
    <xf numFmtId="0" fontId="23" fillId="0" borderId="14" xfId="0" applyFont="1" applyBorder="1" applyNumberFormat="1">
      <alignment horizontal="left" vertical="top" wrapText="1"/>
    </xf>
    <xf numFmtId="3" fontId="23" fillId="42" borderId="16" xfId="0" applyFont="1" applyFill="1" applyBorder="1" applyNumberFormat="1">
      <alignment vertical="center" wrapText="1"/>
      <protection locked="0"/>
    </xf>
    <xf numFmtId="0" fontId="23" fillId="0" borderId="14" xfId="0" applyFont="1" applyBorder="1" applyNumberFormat="1">
      <alignment vertical="top" wrapText="1"/>
    </xf>
    <xf numFmtId="0" fontId="23" fillId="0" borderId="14" xfId="0" applyFont="1" applyBorder="1" applyNumberFormat="1">
      <alignment horizontal="left" vertical="top" wrapText="1"/>
    </xf>
    <xf numFmtId="4" fontId="23" fillId="38" borderId="16" xfId="0" applyFont="1" applyFill="1" applyBorder="1" applyNumberFormat="1">
      <alignment horizontal="right" vertical="center" wrapText="1"/>
    </xf>
    <xf numFmtId="0" fontId="54" fillId="0" borderId="14" xfId="0" applyFont="1" applyBorder="1" applyNumberFormat="1">
      <alignment vertical="top" wrapText="1"/>
    </xf>
    <xf numFmtId="0" fontId="45" fillId="0" borderId="0" xfId="0" applyFont="1" applyNumberFormat="1">
      <alignment horizontal="center" vertical="center" wrapText="1"/>
    </xf>
    <xf numFmtId="49" fontId="23" fillId="42" borderId="14" xfId="0" applyFont="1" applyFill="1" applyBorder="1" applyNumberFormat="1">
      <alignment horizontal="left" vertical="center" wrapText="1" indent="1"/>
      <protection locked="0"/>
    </xf>
    <xf numFmtId="0" fontId="23" fillId="0" borderId="0" xfId="0" applyFont="1" applyNumberFormat="1">
      <alignment horizontal="left" vertical="center" wrapText="1" indent="2"/>
    </xf>
    <xf numFmtId="0" fontId="47" fillId="37" borderId="0" xfId="0" applyFont="1" applyFill="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49" fontId="23" fillId="0" borderId="0" xfId="0" applyFont="1" applyNumberFormat="1">
      <alignment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0" xfId="0" applyFont="1" applyFill="1" applyNumberFormat="1">
      <alignment horizontal="center" vertical="center" wrapText="1"/>
    </xf>
    <xf numFmtId="0" fontId="23" fillId="37" borderId="0" xfId="0" applyFont="1" applyFill="1" applyNumberFormat="1">
      <alignment horizontal="right" vertical="center"/>
    </xf>
    <xf numFmtId="49" fontId="23" fillId="0" borderId="0" xfId="0" applyFont="1" applyNumberFormat="1">
      <alignment vertical="center" wrapText="1"/>
    </xf>
    <xf numFmtId="0" fontId="23"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0"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4" fillId="37" borderId="0" xfId="0" applyFont="1" applyFill="1" applyNumberFormat="1">
      <alignment horizontal="center" vertical="center" wrapText="1"/>
    </xf>
    <xf numFmtId="49" fontId="23" fillId="0" borderId="0" xfId="0" applyFont="1" applyNumberFormat="1">
      <alignment vertical="top"/>
    </xf>
    <xf numFmtId="49" fontId="0" fillId="37" borderId="14" xfId="0" applyFont="1" applyFill="1" applyBorder="1" applyNumberFormat="1">
      <alignment horizontal="center" vertical="center" wrapText="1"/>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34" fillId="42" borderId="14" xfId="0" applyFont="1" applyFill="1" applyBorder="1" applyNumberFormat="1">
      <alignment horizontal="left" vertical="center" wrapText="1"/>
      <protection locked="0"/>
    </xf>
    <xf numFmtId="0"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49" fontId="52" fillId="40" borderId="15" xfId="0" applyFont="1" applyFill="1" applyBorder="1" applyNumberFormat="1">
      <alignment horizontal="center" vertical="top"/>
    </xf>
    <xf numFmtId="0" fontId="23"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0" fontId="47" fillId="37" borderId="0" xfId="0" applyFont="1" applyFill="1" applyNumberFormat="1">
      <alignment vertical="center" wrapText="1"/>
    </xf>
    <xf numFmtId="49" fontId="52" fillId="40" borderId="17" xfId="0" applyFont="1" applyFill="1" applyBorder="1" applyNumberFormat="1">
      <alignment horizontal="center" vertical="top"/>
    </xf>
    <xf numFmtId="0" fontId="55" fillId="0" borderId="0" xfId="0" applyFont="1" applyNumberFormat="1">
      <alignment vertical="center"/>
    </xf>
    <xf numFmtId="49"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49" fontId="72" fillId="0" borderId="14" xfId="0" applyFont="1" applyBorder="1" applyNumberFormat="1">
      <alignment horizontal="center" vertical="center" wrapText="1"/>
    </xf>
    <xf numFmtId="0" fontId="72" fillId="0" borderId="14" xfId="0" applyFont="1" applyBorder="1" applyNumberFormat="1">
      <alignment horizontal="left" vertical="center" wrapText="1" indent="2"/>
    </xf>
    <xf numFmtId="49" fontId="75" fillId="0" borderId="16" xfId="0" applyFont="1" applyBorder="1" applyNumberFormat="1">
      <alignment horizontal="left" vertical="center" wrapText="1"/>
    </xf>
    <xf numFmtId="0" fontId="23" fillId="0" borderId="19" xfId="0" applyFont="1" applyBorder="1" applyNumberFormat="1">
      <alignment vertical="top" wrapText="1"/>
    </xf>
    <xf numFmtId="49" fontId="48" fillId="40" borderId="17" xfId="0" applyFont="1" applyFill="1" applyBorder="1" applyNumberFormat="1">
      <alignment horizontal="left" vertical="center" indent="1"/>
    </xf>
    <xf numFmtId="0" fontId="23" fillId="0" borderId="25" xfId="0" applyFont="1" applyBorder="1" applyNumberFormat="1">
      <alignment vertical="top" wrapText="1"/>
    </xf>
    <xf numFmtId="49" fontId="0"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23" fillId="0" borderId="0" xfId="0" applyFont="1" applyNumberFormat="1">
      <alignment vertical="top" wrapText="1"/>
    </xf>
    <xf numFmtId="49" fontId="23" fillId="0" borderId="0" xfId="0" applyFont="1" applyNumberFormat="1">
      <alignment vertical="center" wrapText="1"/>
    </xf>
    <xf numFmtId="0" fontId="54" fillId="0" borderId="0" xfId="0" applyFont="1" applyNumberFormat="1">
      <alignment vertical="center" wrapText="1"/>
    </xf>
    <xf numFmtId="0" fontId="47" fillId="0" borderId="0" xfId="0" applyFont="1" applyNumberFormat="1">
      <alignment vertical="center" wrapText="1"/>
    </xf>
    <xf numFmtId="49" fontId="54" fillId="0" borderId="0" xfId="0" applyFont="1" applyNumberFormat="1">
      <alignment vertical="top"/>
    </xf>
    <xf numFmtId="49" fontId="126" fillId="0" borderId="0" xfId="0" applyFont="1" applyNumberFormat="1">
      <alignment horizontal="center" vertical="center" wrapText="1"/>
    </xf>
    <xf numFmtId="0" fontId="0" fillId="42" borderId="14" xfId="0" applyFont="1" applyFill="1" applyBorder="1" applyNumberFormat="1">
      <alignment horizontal="left" vertical="center" wrapText="1" indent="1"/>
      <protection locked="0"/>
    </xf>
    <xf numFmtId="49" fontId="34" fillId="42" borderId="14" xfId="0" applyFont="1" applyFill="1" applyBorder="1" applyNumberFormat="1">
      <alignment horizontal="left" vertical="center" wrapText="1"/>
      <protection locked="0"/>
    </xf>
    <xf numFmtId="0" fontId="47" fillId="0" borderId="0" xfId="0" applyFont="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0" fillId="0" borderId="14" xfId="0" applyFont="1" applyBorder="1" applyNumberFormat="1">
      <alignment horizontal="left" vertical="center" wrapText="1"/>
    </xf>
    <xf numFmtId="167" fontId="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0" fillId="0" borderId="14" xfId="0" applyFont="1" applyBorder="1" applyNumberFormat="1">
      <alignment horizontal="left" vertical="center" wrapText="1"/>
    </xf>
    <xf numFmtId="49" fontId="130" fillId="42" borderId="14" xfId="0" applyFont="1" applyFill="1" applyBorder="1" applyNumberFormat="1">
      <alignment horizontal="left" vertical="center" wrapText="1"/>
      <protection locked="0"/>
    </xf>
    <xf numFmtId="0" fontId="23"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23" fillId="0" borderId="14" xfId="0" applyFont="1" applyBorder="1" applyNumberFormat="1">
      <alignment vertical="top" wrapText="1"/>
    </xf>
    <xf numFmtId="49" fontId="48" fillId="40" borderId="17" xfId="0" applyFont="1" applyFill="1" applyBorder="1" applyNumberFormat="1">
      <alignment horizontal="left" vertical="center" indent="2"/>
    </xf>
    <xf numFmtId="0" fontId="23" fillId="0" borderId="0" xfId="0" applyFont="1" applyNumberFormat="1">
      <alignment vertical="center" wrapText="1"/>
    </xf>
    <xf numFmtId="49" fontId="54" fillId="0" borderId="0" xfId="0" applyFont="1" applyNumberFormat="1">
      <alignment vertical="top"/>
    </xf>
    <xf numFmtId="0" fontId="54" fillId="0" borderId="0" xfId="0" applyFont="1" applyNumberFormat="1">
      <alignment vertical="center" wrapText="1"/>
    </xf>
    <xf numFmtId="49" fontId="126" fillId="0" borderId="0" xfId="0" applyFont="1" applyNumberFormat="1">
      <alignment horizontal="center" vertical="center" wrapText="1"/>
    </xf>
    <xf numFmtId="49"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0" borderId="14" xfId="0" applyFont="1" applyBorder="1" applyNumberFormat="1">
      <alignment horizontal="center" vertical="center" wrapText="1"/>
    </xf>
    <xf numFmtId="0" fontId="0" fillId="42" borderId="14" xfId="0" applyFont="1" applyFill="1" applyBorder="1" applyNumberFormat="1">
      <alignment horizontal="left" vertical="center" wrapText="1"/>
      <protection locked="0"/>
    </xf>
    <xf numFmtId="0" fontId="23" fillId="0" borderId="0" xfId="0" applyFont="1" applyNumberFormat="1">
      <alignment vertical="center" wrapText="1"/>
    </xf>
    <xf numFmtId="49" fontId="48" fillId="40" borderId="17" xfId="0" applyFont="1" applyFill="1" applyBorder="1" applyNumberFormat="1">
      <alignment horizontal="left" vertical="center" indent="3"/>
    </xf>
    <xf numFmtId="49" fontId="23" fillId="43" borderId="14" xfId="0" applyFont="1" applyFill="1" applyBorder="1" applyNumberFormat="1">
      <alignment horizontal="left" vertical="center" wrapText="1"/>
    </xf>
    <xf numFmtId="49" fontId="23" fillId="0" borderId="0" xfId="0" applyFont="1" applyNumberFormat="1">
      <alignment vertical="top"/>
    </xf>
    <xf numFmtId="49" fontId="55" fillId="0" borderId="0" xfId="0" applyFont="1" applyNumberFormat="1">
      <alignment vertical="top"/>
    </xf>
    <xf numFmtId="0" fontId="23" fillId="0" borderId="0" xfId="0" applyFont="1" applyNumberFormat="1">
      <alignment horizontal="right" vertical="top" wrapText="1"/>
    </xf>
    <xf numFmtId="49" fontId="23" fillId="0" borderId="0" xfId="0" applyFont="1" applyNumberFormat="1">
      <alignment vertical="top" wrapText="1"/>
    </xf>
    <xf numFmtId="49" fontId="23" fillId="0" borderId="0" xfId="0" applyFont="1" applyNumberFormat="1">
      <alignment vertical="top"/>
    </xf>
    <xf numFmtId="0" fontId="0" fillId="0" borderId="15" xfId="0" applyFont="1" applyBorder="1" applyNumberFormat="1">
      <alignment horizontal="center" vertical="center" wrapText="1"/>
    </xf>
    <xf numFmtId="167" fontId="0" fillId="42" borderId="15" xfId="0" applyFont="1" applyFill="1" applyBorder="1" applyNumberFormat="1">
      <alignment horizontal="left" vertical="center" wrapText="1"/>
      <protection locked="0"/>
    </xf>
    <xf numFmtId="167"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49" fontId="52" fillId="40" borderId="15" xfId="0" applyFont="1" applyFill="1" applyBorder="1" applyNumberFormat="1">
      <alignment horizontal="center" vertical="top"/>
    </xf>
    <xf numFmtId="0" fontId="0" fillId="0" borderId="15" xfId="0" applyFont="1" applyBorder="1" applyNumberFormat="1">
      <alignment horizontal="center" vertical="center" wrapText="1"/>
    </xf>
    <xf numFmtId="0" fontId="23" fillId="0" borderId="0" xfId="0" applyFont="1" applyNumberFormat="1">
      <alignment horizontal="left" vertical="center" wrapText="1" indent="1"/>
    </xf>
    <xf numFmtId="0" fontId="0" fillId="0" borderId="14" xfId="0" applyFont="1" applyBorder="1" applyNumberFormat="1">
      <alignment horizontal="center" vertical="center" wrapText="1"/>
    </xf>
    <xf numFmtId="0" fontId="23" fillId="0" borderId="17" xfId="0" applyFont="1" applyBorder="1" applyNumberFormat="1">
      <alignment horizontal="left" vertical="top" wrapText="1" indent="1"/>
    </xf>
    <xf numFmtId="0" fontId="22" fillId="0" borderId="0" xfId="0" applyFont="1" applyNumberFormat="1">
      <alignment vertical="center" wrapText="1"/>
    </xf>
    <xf numFmtId="0" fontId="0" fillId="37" borderId="16" xfId="0" applyFont="1" applyFill="1" applyBorder="1" applyNumberFormat="1">
      <alignment horizontal="right" vertical="center" wrapText="1" indent="1"/>
    </xf>
    <xf numFmtId="0" fontId="76" fillId="0" borderId="0" xfId="0" applyFont="1" applyNumberFormat="1">
      <alignment vertical="center" wrapText="1"/>
    </xf>
    <xf numFmtId="49" fontId="44" fillId="37" borderId="0" xfId="0" applyFont="1" applyFill="1" applyNumberFormat="1">
      <alignment horizontal="center" vertical="center" wrapText="1"/>
    </xf>
    <xf numFmtId="49" fontId="44" fillId="37" borderId="21" xfId="0" applyFont="1" applyFill="1" applyBorder="1" applyNumberFormat="1">
      <alignment horizontal="center" vertical="center" wrapText="1"/>
    </xf>
    <xf numFmtId="49" fontId="0" fillId="37" borderId="19"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23" fillId="0" borderId="14" xfId="0" applyFont="1" applyBorder="1" applyNumberFormat="1">
      <alignment horizontal="left" vertical="center" wrapText="1"/>
    </xf>
    <xf numFmtId="0" fontId="47" fillId="37" borderId="0" xfId="0" applyFont="1" applyFill="1" applyNumberFormat="1">
      <alignment horizontal="center" vertical="top" wrapText="1"/>
    </xf>
    <xf numFmtId="0" fontId="0" fillId="38" borderId="16" xfId="0" applyFont="1" applyFill="1" applyBorder="1" applyNumberFormat="1">
      <alignment horizontal="left" vertical="center" wrapText="1" indent="1"/>
    </xf>
    <xf numFmtId="0" fontId="0" fillId="0" borderId="15" xfId="0" applyFont="1" applyBorder="1" applyNumberFormat="1">
      <alignment horizontal="center" vertical="center" wrapText="1"/>
    </xf>
    <xf numFmtId="0" fontId="0" fillId="0" borderId="15" xfId="0" applyFont="1" applyBorder="1" applyNumberFormat="1">
      <alignment horizontal="center" vertical="center" wrapText="1"/>
    </xf>
    <xf numFmtId="49" fontId="48" fillId="40" borderId="29" xfId="0" applyFont="1" applyFill="1" applyBorder="1" applyNumberFormat="1">
      <alignment horizontal="left" vertical="center" indent="2"/>
    </xf>
    <xf numFmtId="49" fontId="48" fillId="40" borderId="17" xfId="0" applyFont="1" applyFill="1" applyBorder="1" applyNumberFormat="1">
      <alignment horizontal="left" vertical="center"/>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23" fillId="0" borderId="0" xfId="0" applyFont="1" applyNumberFormat="1">
      <alignment vertical="center" wrapText="1"/>
    </xf>
    <xf numFmtId="49" fontId="23" fillId="0" borderId="0" xfId="0" applyFont="1" applyNumberFormat="1">
      <alignment vertical="top"/>
    </xf>
    <xf numFmtId="0" fontId="23" fillId="0" borderId="0" xfId="0" applyFont="1" applyNumberFormat="1">
      <alignment vertical="top" wrapText="1"/>
    </xf>
    <xf numFmtId="0" fontId="47" fillId="0" borderId="0" xfId="0" applyFont="1" applyNumberFormat="1">
      <alignment vertical="center" wrapText="1"/>
    </xf>
    <xf numFmtId="0" fontId="23" fillId="0" borderId="38" xfId="0" applyFont="1" applyBorder="1" applyNumberFormat="1">
      <alignment vertical="center" wrapText="1"/>
    </xf>
    <xf numFmtId="0" fontId="0" fillId="38" borderId="14" xfId="0" applyFont="1" applyFill="1" applyBorder="1" applyNumberFormat="1">
      <alignment horizontal="center" vertical="center" wrapText="1"/>
    </xf>
    <xf numFmtId="0" fontId="0" fillId="0" borderId="15" xfId="0" applyFont="1" applyBorder="1" applyNumberFormat="1">
      <alignment horizontal="center" vertical="center" wrapText="1"/>
    </xf>
    <xf numFmtId="167" fontId="0" fillId="42" borderId="15" xfId="0" applyFont="1" applyFill="1" applyBorder="1" applyNumberFormat="1">
      <alignment horizontal="left" vertical="center" wrapText="1"/>
      <protection locked="0"/>
    </xf>
    <xf numFmtId="167"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0" fontId="76" fillId="0" borderId="0" xfId="0" applyFont="1" applyNumberFormat="1">
      <alignment vertical="center" wrapText="1"/>
    </xf>
    <xf numFmtId="0" fontId="23" fillId="0" borderId="0" xfId="0" applyFont="1" applyNumberFormat="1">
      <alignment vertical="center" wrapText="1"/>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0" fontId="23" fillId="0" borderId="14" xfId="0" applyFont="1" applyBorder="1" applyNumberFormat="1">
      <alignment vertical="top" wrapText="1"/>
    </xf>
    <xf numFmtId="49" fontId="0" fillId="37" borderId="16" xfId="0" applyFont="1" applyFill="1" applyBorder="1" applyNumberFormat="1">
      <alignment horizontal="center" vertical="center" wrapText="1"/>
    </xf>
    <xf numFmtId="0" fontId="23" fillId="0" borderId="38" xfId="0" applyFont="1" applyBorder="1" applyNumberFormat="1">
      <alignment horizontal="left" vertical="top" wrapText="1"/>
    </xf>
    <xf numFmtId="4" fontId="0" fillId="42" borderId="14" xfId="0" applyFont="1" applyFill="1" applyBorder="1" applyNumberFormat="1">
      <alignment horizontal="right" vertical="center" wrapText="1"/>
      <protection locked="0"/>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49" fontId="23" fillId="0" borderId="0" xfId="0" applyFont="1" applyNumberFormat="1">
      <alignment vertical="top"/>
    </xf>
    <xf numFmtId="49" fontId="23" fillId="0" borderId="21" xfId="0" applyFont="1" applyBorder="1" applyNumberFormat="1">
      <alignment vertical="top"/>
    </xf>
    <xf numFmtId="0" fontId="22" fillId="0" borderId="0" xfId="0" applyFont="1" applyNumberFormat="1">
      <alignment horizontal="right" vertical="top" wrapText="1"/>
    </xf>
    <xf numFmtId="49" fontId="23" fillId="0" borderId="0" xfId="0" applyFont="1" applyNumberFormat="1">
      <alignment vertical="top" wrapText="1"/>
    </xf>
    <xf numFmtId="0" fontId="23" fillId="0" borderId="0" xfId="0" applyFont="1" applyNumberFormat="1">
      <alignment vertical="top" wrapText="1"/>
    </xf>
    <xf numFmtId="0" fontId="23" fillId="0" borderId="0" xfId="0" applyFont="1" applyNumberFormat="1">
      <alignment vertical="center" wrapText="1"/>
    </xf>
    <xf numFmtId="0" fontId="55" fillId="0" borderId="0" xfId="0" applyFont="1" applyNumberFormat="1">
      <alignment vertical="center"/>
    </xf>
    <xf numFmtId="49" fontId="23" fillId="0" borderId="0" xfId="0" applyFont="1" applyNumberFormat="1">
      <alignment vertical="top"/>
    </xf>
    <xf numFmtId="49" fontId="0" fillId="42" borderId="14" xfId="0" applyFont="1" applyFill="1" applyBorder="1" applyNumberFormat="1">
      <alignment horizontal="left" vertical="center" wrapText="1" indent="1"/>
      <protection locked="0"/>
    </xf>
    <xf numFmtId="0" fontId="23" fillId="0" borderId="0" xfId="0" applyFont="1" applyNumberFormat="1">
      <alignment vertical="center" wrapText="1"/>
    </xf>
    <xf numFmtId="0" fontId="69" fillId="0" borderId="0" xfId="0" applyFont="1" applyNumberFormat="1">
      <alignment vertical="center" wrapText="1"/>
    </xf>
    <xf numFmtId="0" fontId="23" fillId="37" borderId="14" xfId="0" applyFont="1" applyFill="1" applyBorder="1" applyNumberFormat="1">
      <alignment horizontal="center" vertical="center" wrapText="1"/>
    </xf>
    <xf numFmtId="0" fontId="0" fillId="0" borderId="14" xfId="0" applyFont="1" applyBorder="1" applyNumberFormat="1">
      <alignment horizontal="left" vertical="top"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0" borderId="21" xfId="0" applyFont="1" applyBorder="1" applyNumberFormat="1">
      <alignment vertical="center" wrapText="1"/>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49" fontId="23" fillId="0" borderId="0" xfId="0" applyFont="1" applyNumberFormat="1">
      <alignment vertical="center" wrapText="1"/>
    </xf>
    <xf numFmtId="0" fontId="88"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0" borderId="14" xfId="0" applyFont="1" applyBorder="1" applyNumberFormat="1">
      <alignment horizontal="center"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34" fillId="0" borderId="0" xfId="0" applyFont="1" applyNumberFormat="1">
      <alignment vertical="center" wrapText="1"/>
    </xf>
    <xf numFmtId="49" fontId="23" fillId="0" borderId="0" xfId="0" applyFont="1" applyNumberFormat="1">
      <alignment horizontal="center" vertical="top"/>
    </xf>
    <xf numFmtId="49" fontId="40" fillId="49" borderId="0" xfId="0" applyFont="1" applyFill="1" applyNumberFormat="1">
      <alignment horizontal="center" vertical="center"/>
    </xf>
    <xf numFmtId="49" fontId="23" fillId="0" borderId="14" xfId="0" applyFont="1" applyBorder="1" applyNumberFormat="1">
      <alignment horizontal="center" vertical="top"/>
    </xf>
    <xf numFmtId="49" fontId="54" fillId="49" borderId="0" xfId="0" applyFont="1" applyFill="1" applyNumberFormat="1">
      <alignment horizontal="center" vertical="center" wrapText="1"/>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horizontal="center" vertical="top"/>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0" fontId="23" fillId="0" borderId="16" xfId="0" applyFont="1" applyBorder="1" applyNumberFormat="1">
      <alignment horizontal="left" vertical="center"/>
    </xf>
    <xf numFmtId="49" fontId="23" fillId="0" borderId="46" xfId="0" applyFont="1" applyBorder="1" applyNumberFormat="1">
      <alignment vertical="center"/>
    </xf>
    <xf numFmtId="49" fontId="23" fillId="0" borderId="47" xfId="0" applyFont="1" applyBorder="1" applyNumberFormat="1">
      <alignment vertical="top"/>
    </xf>
    <xf numFmtId="49" fontId="23" fillId="0" borderId="18"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0" fontId="0" fillId="50" borderId="0" xfId="0" applyFont="1" applyFill="1" applyNumberFormat="1">
      <alignment horizontal="right" vertical="center"/>
    </xf>
    <xf numFmtId="49" fontId="40" fillId="0" borderId="0" xfId="0" applyFont="1" applyNumberFormat="1">
      <alignment horizontal="center" vertical="center"/>
    </xf>
    <xf numFmtId="49" fontId="0" fillId="0" borderId="0" xfId="0" applyFont="1" applyNumberFormat="1">
      <alignment vertical="top"/>
    </xf>
    <xf numFmtId="49" fontId="40" fillId="49" borderId="0" xfId="0" applyFont="1" applyFill="1" applyNumberFormat="1">
      <alignment horizontal="center" vertical="center"/>
    </xf>
    <xf numFmtId="0" fontId="23" fillId="0" borderId="0" xfId="0" applyFont="1" applyNumberFormat="1">
      <alignment vertical="center"/>
    </xf>
    <xf numFmtId="0" fontId="0" fillId="50"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3" fillId="0" borderId="16" xfId="0" applyFont="1" applyBorder="1" applyNumberFormat="1">
      <alignment vertical="top"/>
    </xf>
    <xf numFmtId="0" fontId="0" fillId="50" borderId="0" xfId="0" applyFont="1" applyFill="1" applyNumberFormat="1">
      <alignment horizontal="right" vertical="center"/>
    </xf>
    <xf numFmtId="0" fontId="0" fillId="0" borderId="0" xfId="0" applyFont="1" applyNumberFormat="1">
      <alignment horizontal="left" vertical="center"/>
    </xf>
    <xf numFmtId="0" fontId="0" fillId="50" borderId="0" xfId="0" applyFont="1" applyFill="1" applyNumberFormat="1">
      <alignment horizontal="right" vertical="center"/>
    </xf>
    <xf numFmtId="0" fontId="0" fillId="50" borderId="0" xfId="0" applyFont="1" applyFill="1" applyNumberFormat="1">
      <alignment horizontal="left" vertical="center"/>
    </xf>
    <xf numFmtId="0" fontId="59" fillId="50" borderId="0" xfId="0" applyFont="1" applyFill="1" applyNumberFormat="1">
      <alignment horizontal="left" vertical="center"/>
    </xf>
    <xf numFmtId="0" fontId="0" fillId="0" borderId="0" xfId="0" applyFont="1" applyNumberFormat="1">
      <alignment vertical="center"/>
    </xf>
    <xf numFmtId="0" fontId="23" fillId="0" borderId="0" xfId="0" applyFont="1" applyNumberFormat="1">
      <alignment vertical="top"/>
    </xf>
    <xf numFmtId="0" fontId="59" fillId="0" borderId="0" xfId="0" applyFont="1" applyNumberFormat="1">
      <alignment horizontal="left" vertical="center"/>
    </xf>
    <xf numFmtId="49" fontId="0" fillId="0" borderId="16" xfId="0" applyFont="1" applyBorder="1" applyNumberFormat="1">
      <alignment vertical="top"/>
    </xf>
    <xf numFmtId="49" fontId="23" fillId="0" borderId="14" xfId="0" applyFont="1" applyBorder="1" applyNumberFormat="1">
      <alignment horizontal="right" vertical="top"/>
    </xf>
    <xf numFmtId="0" fontId="0" fillId="0" borderId="16" xfId="0" applyFont="1" applyBorder="1" applyNumberFormat="1">
      <alignment horizontal="left" vertical="center"/>
    </xf>
    <xf numFmtId="0" fontId="59" fillId="50" borderId="0" xfId="0" applyFont="1" applyFill="1" applyNumberFormat="1">
      <alignment horizontal="left" vertical="center"/>
    </xf>
    <xf numFmtId="49" fontId="23" fillId="0" borderId="19" xfId="0" applyFont="1" applyBorder="1" applyNumberFormat="1">
      <alignment horizontal="righ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14" xfId="0" applyFont="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0" fontId="23" fillId="50" borderId="0" xfId="0" applyFont="1" applyFill="1" applyNumberFormat="1">
      <alignment horizontal="left" vertical="center"/>
    </xf>
    <xf numFmtId="0" fontId="0" fillId="50" borderId="12" xfId="0" applyFont="1" applyFill="1" applyBorder="1" applyNumberFormat="1">
      <alignment horizontal="center"/>
    </xf>
    <xf numFmtId="49" fontId="109" fillId="0" borderId="18" xfId="0" applyFont="1" applyBorder="1" applyNumberFormat="1">
      <alignment vertical="top"/>
    </xf>
    <xf numFmtId="49" fontId="0" fillId="0" borderId="0" xfId="0" applyFont="1" applyNumberFormat="1">
      <alignment vertical="center"/>
    </xf>
    <xf numFmtId="49" fontId="53" fillId="56" borderId="0" xfId="0" applyFont="1" applyFill="1" applyNumberFormat="1">
      <alignment vertical="center" wrapText="1"/>
    </xf>
    <xf numFmtId="0" fontId="0" fillId="0" borderId="12" xfId="0" applyFont="1" applyBorder="1" applyNumberFormat="1">
      <alignment horizontal="center"/>
    </xf>
    <xf numFmtId="49" fontId="23" fillId="50" borderId="0" xfId="0" applyFont="1" applyFill="1" applyNumberFormat="1">
      <alignment horizontal="center" vertical="center"/>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0" fontId="0" fillId="34" borderId="14" xfId="0" applyFont="1" applyFill="1" applyBorder="1" applyNumberFormat="1">
      <alignment horizontal="right" vertical="center"/>
    </xf>
    <xf numFmtId="49" fontId="23" fillId="34" borderId="25" xfId="0" applyFont="1" applyFill="1" applyBorder="1" applyNumberFormat="1">
      <alignment vertical="top"/>
    </xf>
    <xf numFmtId="49" fontId="23" fillId="34" borderId="14" xfId="0" applyFont="1" applyFill="1" applyBorder="1" applyNumberFormat="1">
      <alignment vertical="top"/>
    </xf>
    <xf numFmtId="49" fontId="23" fillId="0" borderId="16" xfId="0" applyFont="1" applyBorder="1" applyNumberFormat="1">
      <alignment horizontal="center" vertical="top"/>
    </xf>
    <xf numFmtId="49" fontId="23" fillId="0" borderId="15" xfId="0" applyFont="1" applyBorder="1" applyNumberFormat="1">
      <alignment horizontal="center" vertical="top"/>
    </xf>
    <xf numFmtId="0" fontId="23" fillId="38" borderId="32" xfId="0" applyFont="1" applyFill="1" applyBorder="1" applyNumberFormat="1">
      <alignment horizontal="center" vertical="top"/>
    </xf>
    <xf numFmtId="0" fontId="23" fillId="38" borderId="32" xfId="0" applyFont="1" applyFill="1" applyBorder="1" applyNumberFormat="1">
      <alignment horizontal="left" vertical="top"/>
    </xf>
    <xf numFmtId="0" fontId="0" fillId="0" borderId="34" xfId="0" applyFont="1" applyBorder="1" applyNumberFormat="1">
      <alignment horizontal="center" vertical="center"/>
    </xf>
    <xf numFmtId="0" fontId="0" fillId="0" borderId="36" xfId="0" applyFont="1" applyBorder="1" applyNumberFormat="1">
      <alignment horizontal="center" vertical="center"/>
    </xf>
    <xf numFmtId="0" fontId="23" fillId="0" borderId="14" xfId="0" applyFont="1" applyBorder="1" applyNumberFormat="1">
      <alignment horizontal="left" vertical="top"/>
    </xf>
    <xf numFmtId="49" fontId="23" fillId="0" borderId="0" xfId="0" applyFont="1" applyNumberFormat="1">
      <alignment horizontal="left" vertical="top"/>
    </xf>
    <xf numFmtId="0" fontId="0" fillId="0" borderId="33" xfId="0" applyFont="1" applyBorder="1" applyNumberFormat="1">
      <alignment horizontal="center" vertical="center"/>
    </xf>
    <xf numFmtId="0" fontId="0" fillId="0" borderId="35" xfId="0" applyFont="1" applyBorder="1" applyNumberFormat="1">
      <alignment horizontal="center" vertical="center"/>
    </xf>
    <xf numFmtId="49" fontId="40" fillId="49" borderId="16" xfId="0" applyFont="1" applyFill="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50" borderId="0" xfId="0" applyFont="1" applyFill="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xf>
    <xf numFmtId="49" fontId="0"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49" fontId="0" fillId="0" borderId="0" xfId="0" applyFont="1" applyNumberFormat="1">
      <alignment vertical="center" wrapText="1"/>
    </xf>
    <xf numFmtId="49" fontId="0" fillId="0" borderId="0" xfId="0" applyFont="1" applyNumberFormat="1">
      <alignment vertical="center"/>
    </xf>
    <xf numFmtId="49" fontId="23" fillId="0" borderId="0" xfId="0" applyFont="1" applyNumberFormat="1">
      <alignment vertical="top"/>
    </xf>
    <xf numFmtId="49"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0" fontId="23" fillId="42" borderId="14" xfId="0" applyFont="1" applyFill="1" applyBorder="1" applyNumberFormat="1">
      <alignment horizontal="center" vertical="center" wrapText="1"/>
      <protection locked="0"/>
    </xf>
    <xf numFmtId="0" fontId="54" fillId="37" borderId="0" xfId="0" applyFont="1" applyFill="1" applyNumberFormat="1"/>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8" borderId="14" xfId="0" applyFont="1" applyFill="1" applyBorder="1" applyNumberFormat="1">
      <alignment horizontal="left" vertical="center" wrapText="1"/>
    </xf>
    <xf numFmtId="0" fontId="73" fillId="37" borderId="0" xfId="0" applyFont="1" applyFill="1" applyNumberFormat="1"/>
    <xf numFmtId="0" fontId="23" fillId="37" borderId="14" xfId="0" applyFont="1" applyFill="1" applyBorder="1" applyNumberFormat="1">
      <alignment horizontal="left"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0" fontId="55"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0" fillId="37" borderId="19" xfId="0" applyFont="1" applyFill="1" applyBorder="1" applyNumberFormat="1">
      <alignment horizontal="left" vertical="top" wrapText="1"/>
    </xf>
    <xf numFmtId="0" fontId="72" fillId="37" borderId="0" xfId="0" applyFont="1" applyFill="1" applyNumberFormat="1"/>
    <xf numFmtId="0" fontId="77" fillId="37" borderId="0" xfId="0" applyFont="1" applyFill="1" applyNumberFormat="1">
      <alignment vertical="center" wrapText="1"/>
    </xf>
    <xf numFmtId="0" fontId="55" fillId="37" borderId="14" xfId="0" applyFont="1" applyFill="1" applyBorder="1" applyNumberFormat="1">
      <alignment horizontal="center" vertical="center"/>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0" fontId="89" fillId="37" borderId="0" xfId="0" applyFont="1" applyFill="1" applyNumberFormat="1"/>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0" fontId="23" fillId="37" borderId="14" xfId="0" applyFont="1" applyFill="1" applyBorder="1" applyNumberFormat="1">
      <alignment vertical="top"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14" fontId="23" fillId="42" borderId="14" xfId="0" applyFont="1" applyFill="1" applyBorder="1" applyNumberFormat="1">
      <alignment horizontal="left" vertical="center" wrapText="1" indent="1"/>
      <protection locked="0"/>
    </xf>
    <xf numFmtId="0" fontId="117" fillId="0" borderId="0" xfId="0" applyFont="1" applyNumberFormat="1">
      <alignment vertical="center"/>
    </xf>
    <xf numFmtId="0" fontId="45" fillId="0" borderId="0" xfId="0" applyFont="1" applyNumberFormat="1">
      <alignment horizontal="center" vertical="center" wrapText="1"/>
    </xf>
    <xf numFmtId="4" fontId="23" fillId="0" borderId="19" xfId="0" applyFont="1" applyBorder="1" applyNumberFormat="1">
      <alignment horizontal="center" vertical="center" wrapText="1"/>
    </xf>
    <xf numFmtId="165" fontId="23" fillId="0" borderId="39" xfId="0" applyFont="1" applyBorder="1" applyNumberFormat="1">
      <alignment horizontal="center" vertical="center" wrapText="1"/>
    </xf>
    <xf numFmtId="165"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14" fontId="23" fillId="43" borderId="14" xfId="0" applyFont="1" applyFill="1" applyBorder="1" applyNumberFormat="1">
      <alignment horizontal="left" vertical="center" wrapText="1"/>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0" fillId="40" borderId="31" xfId="0" applyFont="1" applyFill="1" applyBorder="1" applyNumberFormat="1">
      <alignment horizontal="right" vertical="center" wrapText="1"/>
    </xf>
    <xf numFmtId="0" fontId="117" fillId="0" borderId="0" xfId="0" applyFont="1" applyNumberFormat="1">
      <alignment vertical="center" wrapText="1"/>
    </xf>
    <xf numFmtId="49" fontId="0" fillId="0" borderId="0" xfId="0" applyFont="1" applyNumberFormat="1">
      <alignment vertical="top"/>
    </xf>
    <xf numFmtId="0" fontId="55" fillId="0" borderId="0" xfId="0" applyFont="1" applyNumberFormat="1">
      <alignment vertical="center"/>
    </xf>
    <xf numFmtId="0" fontId="44"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38" borderId="14" xfId="0" applyFont="1" applyFill="1" applyBorder="1" applyNumberFormat="1">
      <alignment horizontal="left" vertical="center" wrapText="1" indent="1"/>
    </xf>
    <xf numFmtId="167" fontId="0" fillId="42" borderId="17" xfId="0" applyFont="1" applyFill="1" applyBorder="1" applyNumberFormat="1">
      <alignment horizontal="left" vertical="center" wrapText="1" indent="1"/>
      <protection locked="0"/>
    </xf>
    <xf numFmtId="168" fontId="23" fillId="42" borderId="14" xfId="0" applyFont="1" applyFill="1" applyBorder="1" applyNumberFormat="1">
      <alignment horizontal="left" vertical="center" wrapText="1" indent="1"/>
      <protection locked="0"/>
    </xf>
    <xf numFmtId="167" fontId="55" fillId="0" borderId="0" xfId="0" applyFont="1" applyNumberFormat="1">
      <alignment horizontal="center" vertical="center" wrapText="1"/>
    </xf>
    <xf numFmtId="165" fontId="23" fillId="0" borderId="19"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7" xfId="0" applyFont="1" applyBorder="1" applyNumberFormat="1">
      <alignment horizontal="center" vertical="center" wrapText="1"/>
    </xf>
    <xf numFmtId="165" fontId="23" fillId="0" borderId="15" xfId="0" applyFont="1" applyBorder="1" applyNumberFormat="1">
      <alignment horizontal="center" vertical="center" wrapText="1"/>
    </xf>
    <xf numFmtId="4" fontId="23" fillId="0" borderId="38" xfId="0" applyFont="1" applyBorder="1" applyNumberFormat="1">
      <alignment horizontal="center" vertical="center" wrapText="1"/>
    </xf>
    <xf numFmtId="165" fontId="23" fillId="0" borderId="25" xfId="0" applyFont="1" applyBorder="1" applyNumberFormat="1">
      <alignment horizontal="center" vertical="center" wrapText="1"/>
    </xf>
    <xf numFmtId="165" fontId="23" fillId="0" borderId="25"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25" xfId="0" applyFont="1" applyFill="1" applyBorder="1" applyNumberFormat="1">
      <alignment horizontal="left" vertical="center" wrapText="1" indent="1"/>
    </xf>
    <xf numFmtId="14" fontId="23" fillId="42" borderId="25" xfId="0" applyFont="1" applyFill="1" applyBorder="1" applyNumberFormat="1">
      <alignment horizontal="left" vertical="center" wrapText="1" indent="1"/>
      <protection locked="0"/>
    </xf>
    <xf numFmtId="0" fontId="23" fillId="0" borderId="31" xfId="0" applyFont="1" applyBorder="1" applyNumberFormat="1">
      <alignment horizontal="left" vertical="top" wrapText="1"/>
    </xf>
    <xf numFmtId="49" fontId="0" fillId="0" borderId="0" xfId="0" applyFont="1" applyNumberFormat="1">
      <alignment vertical="top"/>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left" vertical="center" wrapText="1" indent="1"/>
    </xf>
    <xf numFmtId="165" fontId="23" fillId="0" borderId="25" xfId="0" applyFont="1" applyBorder="1" applyNumberFormat="1">
      <alignment horizontal="center" vertical="center" wrapText="1"/>
    </xf>
    <xf numFmtId="0" fontId="23" fillId="0" borderId="25" xfId="0" applyFont="1" applyBorder="1" applyNumberFormat="1">
      <alignment horizontal="left" vertical="center" wrapText="1" indent="1"/>
    </xf>
    <xf numFmtId="14" fontId="23" fillId="0" borderId="25" xfId="0" applyFont="1" applyBorder="1" applyNumberFormat="1">
      <alignment horizontal="left" vertical="center" wrapText="1" indent="1"/>
    </xf>
    <xf numFmtId="0" fontId="45" fillId="0" borderId="0" xfId="0" applyFont="1" applyNumberFormat="1">
      <alignment horizontal="center" vertical="center" wrapText="1"/>
    </xf>
    <xf numFmtId="0" fontId="55" fillId="0" borderId="0" xfId="0" applyFont="1" applyNumberFormat="1">
      <alignment vertical="center"/>
    </xf>
    <xf numFmtId="0" fontId="23" fillId="38" borderId="14" xfId="0" applyFont="1" applyFill="1" applyBorder="1" applyNumberFormat="1">
      <alignment horizontal="left" vertical="center" wrapTex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0" borderId="16"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34" fillId="40" borderId="29" xfId="0" applyFont="1" applyFill="1" applyBorder="1" applyNumberFormat="1">
      <alignment horizontal="left" vertical="center" wrapText="1"/>
    </xf>
    <xf numFmtId="49" fontId="34" fillId="40" borderId="31" xfId="0" applyFont="1" applyFill="1" applyBorder="1" applyNumberFormat="1">
      <alignment horizontal="left" vertical="center" wrapText="1"/>
    </xf>
    <xf numFmtId="0" fontId="23" fillId="37" borderId="38" xfId="0" applyFont="1" applyFill="1" applyBorder="1" applyNumberFormat="1">
      <alignment vertical="center" wrapText="1"/>
    </xf>
    <xf numFmtId="0" fontId="55" fillId="0" borderId="0" xfId="0" applyFont="1" applyNumberFormat="1">
      <alignment horizontal="center"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14"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7" xfId="0" applyFont="1" applyBorder="1" applyNumberFormat="1">
      <alignment horizontal="left" vertical="center" wrapText="1"/>
    </xf>
    <xf numFmtId="0" fontId="50" fillId="0" borderId="0" xfId="0" applyFont="1" applyNumberFormat="1">
      <alignment horizontal="center" vertical="center" wrapText="1"/>
    </xf>
    <xf numFmtId="0" fontId="23" fillId="0" borderId="0" xfId="0" applyFont="1" applyNumberFormat="1">
      <alignment horizontal="center" vertical="center" wrapText="1"/>
    </xf>
    <xf numFmtId="165" fontId="53" fillId="0" borderId="21" xfId="0" applyFont="1" applyBorder="1" applyNumberFormat="1">
      <alignment horizontal="center" vertical="center" wrapText="1"/>
    </xf>
    <xf numFmtId="165" fontId="53" fillId="0" borderId="21" xfId="0" applyFont="1" applyBorder="1" applyNumberFormat="1">
      <alignment horizontal="center" vertical="center" wrapText="1"/>
    </xf>
    <xf numFmtId="165" fontId="53" fillId="0" borderId="22" xfId="0" applyFont="1" applyBorder="1" applyNumberFormat="1">
      <alignment horizontal="center" vertical="center" wrapText="1"/>
    </xf>
    <xf numFmtId="0" fontId="55" fillId="0" borderId="0" xfId="0" applyFont="1" applyNumberFormat="1">
      <alignment horizontal="center" vertical="center"/>
    </xf>
    <xf numFmtId="165" fontId="23" fillId="0" borderId="14" xfId="0" applyFont="1" applyBorder="1" applyNumberFormat="1">
      <alignment horizontal="center" vertical="center" wrapText="1"/>
    </xf>
    <xf numFmtId="165" fontId="23" fillId="0" borderId="38" xfId="0" applyFont="1" applyBorder="1" applyNumberFormat="1">
      <alignment horizontal="center" vertical="center" wrapText="1"/>
    </xf>
    <xf numFmtId="165" fontId="23" fillId="0" borderId="14" xfId="0" applyFont="1" applyBorder="1" applyNumberFormat="1">
      <alignment horizontal="center"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43" borderId="32" xfId="0" applyFont="1" applyFill="1" applyBorder="1" applyNumberFormat="1">
      <alignment horizontal="left" vertical="center" wrapText="1"/>
    </xf>
    <xf numFmtId="0" fontId="23" fillId="0" borderId="25" xfId="0" applyFont="1" applyBorder="1" applyNumberFormat="1">
      <alignment horizontal="center" vertical="center" wrapText="1"/>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23" fillId="0" borderId="14" xfId="0" applyFont="1" applyBorder="1" applyNumberFormat="1">
      <alignment horizontal="left" vertical="top" wrapText="1"/>
    </xf>
    <xf numFmtId="49" fontId="23" fillId="43" borderId="25" xfId="0" applyFont="1" applyFill="1" applyBorder="1" applyNumberFormat="1">
      <alignment horizontal="left" vertical="center" wrapText="1"/>
    </xf>
    <xf numFmtId="49" fontId="129" fillId="0" borderId="14" xfId="0" applyFont="1" applyBorder="1" applyNumberFormat="1">
      <alignment horizontal="left" vertical="top"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37" borderId="0" xfId="0" applyFont="1" applyFill="1" applyNumberFormat="1"/>
    <xf numFmtId="49" fontId="40"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xf>
    <xf numFmtId="0" fontId="51" fillId="37" borderId="0" xfId="0" applyFont="1" applyFill="1" applyNumberFormat="1">
      <alignment horizontal="center" vertical="center" wrapText="1"/>
    </xf>
    <xf numFmtId="0" fontId="40" fillId="37" borderId="0" xfId="0" applyFont="1" applyFill="1" applyNumberFormat="1"/>
    <xf numFmtId="0" fontId="23" fillId="37" borderId="14" xfId="0" applyFont="1" applyFill="1" applyBorder="1" applyNumberFormat="1">
      <alignment horizontal="center" vertical="center" wrapTex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top"/>
    </xf>
    <xf numFmtId="49" fontId="55" fillId="0" borderId="0" xfId="0" applyFont="1" applyNumberFormat="1">
      <alignment vertical="top"/>
    </xf>
    <xf numFmtId="49" fontId="23" fillId="0" borderId="0" xfId="0" applyFont="1" applyNumberFormat="1">
      <alignment vertical="top"/>
    </xf>
    <xf numFmtId="49" fontId="48" fillId="40" borderId="17" xfId="0" applyFont="1" applyFill="1" applyBorder="1" applyNumberFormat="1">
      <alignment horizontal="left" vertical="center"/>
    </xf>
    <xf numFmtId="49" fontId="52" fillId="40" borderId="17" xfId="0" applyFont="1" applyFill="1" applyBorder="1" applyNumberFormat="1">
      <alignment horizontal="center" vertical="top"/>
    </xf>
    <xf numFmtId="49" fontId="23" fillId="0" borderId="0" xfId="0" applyFont="1" applyNumberFormat="1">
      <alignment horizontal="left" vertical="top" wrapText="1"/>
    </xf>
    <xf numFmtId="49" fontId="23" fillId="0" borderId="0" xfId="0" applyFont="1" applyNumberFormat="1">
      <alignment vertical="top"/>
    </xf>
    <xf numFmtId="49" fontId="45" fillId="0" borderId="0" xfId="0" applyFont="1" applyNumberFormat="1">
      <alignment horizontal="center" vertical="center"/>
    </xf>
    <xf numFmtId="49" fontId="23" fillId="0" borderId="0" xfId="0" applyFont="1" applyNumberFormat="1">
      <alignment vertical="top"/>
    </xf>
    <xf numFmtId="0" fontId="45" fillId="37" borderId="0" xfId="0" applyFont="1" applyFill="1" applyNumberFormat="1">
      <alignment horizontal="center" vertical="center"/>
    </xf>
    <xf numFmtId="0" fontId="23" fillId="37" borderId="0" xfId="0" applyFont="1" applyFill="1" applyNumberFormat="1"/>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0" fontId="69" fillId="0" borderId="0" xfId="0" applyFont="1" applyNumberFormat="1"/>
    <xf numFmtId="0" fontId="23" fillId="0" borderId="14" xfId="0" applyFont="1" applyBorder="1" applyNumberFormat="1">
      <alignment horizontal="center" vertical="center" wrapText="1"/>
    </xf>
    <xf numFmtId="0" fontId="23" fillId="37" borderId="19" xfId="0" applyFont="1" applyFill="1" applyBorder="1" applyNumberFormat="1">
      <alignment horizontal="center" vertical="center"/>
    </xf>
    <xf numFmtId="49" fontId="23" fillId="0" borderId="19" xfId="0" applyFont="1" applyBorder="1" applyNumberFormat="1">
      <alignment horizontal="left"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49" fontId="53" fillId="0" borderId="0" xfId="0" applyFont="1" applyNumberFormat="1">
      <alignment horizontal="right" vertical="top"/>
    </xf>
    <xf numFmtId="49" fontId="23" fillId="0" borderId="0" xfId="0" applyFont="1" applyNumberFormat="1">
      <alignment horizontal="left" vertical="top" wrapText="1"/>
    </xf>
    <xf numFmtId="49" fontId="53" fillId="0" borderId="0" xfId="0" applyFont="1" applyNumberFormat="1">
      <alignment vertical="top"/>
    </xf>
    <xf numFmtId="0" fontId="23" fillId="0" borderId="0" xfId="0" applyFont="1" applyNumberFormat="1"/>
    <xf numFmtId="0" fontId="45" fillId="0" borderId="0" xfId="0" applyFont="1" applyNumberFormat="1">
      <alignment horizontal="center" vertical="center"/>
    </xf>
    <xf numFmtId="0" fontId="23" fillId="0" borderId="0" xfId="0" applyFont="1" applyNumberFormat="1"/>
    <xf numFmtId="49" fontId="23" fillId="0" borderId="14" xfId="0" applyFont="1" applyBorder="1" applyNumberFormat="1">
      <alignment horizontal="left" vertical="center" wrapText="1"/>
    </xf>
    <xf numFmtId="49" fontId="48" fillId="40" borderId="15" xfId="0" applyFont="1" applyFill="1" applyBorder="1" applyNumberFormat="1">
      <alignment horizontal="left" vertical="center"/>
    </xf>
    <xf numFmtId="49" fontId="0" fillId="0" borderId="17" xfId="0" applyFont="1" applyBorder="1" applyNumberFormat="1">
      <alignment horizontal="left" vertical="center" indent="1"/>
    </xf>
    <xf numFmtId="49" fontId="70" fillId="0" borderId="0" xfId="0" applyFont="1" applyNumberFormat="1">
      <alignment vertical="top"/>
    </xf>
    <xf numFmtId="49" fontId="0" fillId="0" borderId="27" xfId="0" applyFont="1" applyBorder="1" applyNumberFormat="1">
      <alignment horizontal="center" vertical="center"/>
    </xf>
    <xf numFmtId="49" fontId="0" fillId="0" borderId="0" xfId="0" applyFont="1" applyNumberFormat="1">
      <alignment vertical="top"/>
    </xf>
    <xf numFmtId="49" fontId="0" fillId="41" borderId="0" xfId="0" applyFont="1" applyFill="1" applyNumberFormat="1">
      <alignment vertical="top"/>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49" fontId="23" fillId="39" borderId="14" xfId="0" applyFont="1" applyFill="1" applyBorder="1" applyNumberFormat="1">
      <alignment horizontal="left" vertical="center" wrapText="1"/>
      <protection locked="0"/>
    </xf>
    <xf numFmtId="0" fontId="50" fillId="0" borderId="0" xfId="0" applyFont="1" applyNumberFormat="1">
      <alignment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54" fillId="0" borderId="0" xfId="0" applyFont="1" applyNumberFormat="1">
      <alignment horizontal="center" vertical="center" wrapText="1"/>
    </xf>
    <xf numFmtId="0" fontId="54" fillId="0" borderId="14" xfId="0" applyFont="1" applyBorder="1" applyNumberFormat="1">
      <alignment horizontal="center" vertical="center" wrapText="1"/>
    </xf>
    <xf numFmtId="14" fontId="23" fillId="43" borderId="14" xfId="0" applyFont="1" applyFill="1" applyBorder="1" applyNumberFormat="1">
      <alignment horizontal="left" vertical="center" wrapText="1" indent="1"/>
    </xf>
    <xf numFmtId="49" fontId="23" fillId="38" borderId="14" xfId="0" applyFont="1" applyFill="1" applyBorder="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0" fillId="0" borderId="0" xfId="0" applyFont="1" applyNumberFormat="1">
      <alignment vertical="center"/>
    </xf>
    <xf numFmtId="0" fontId="44" fillId="0" borderId="26" xfId="0" applyFont="1" applyBorder="1" applyNumberFormat="1">
      <alignment horizontal="center" vertical="center" wrapText="1"/>
    </xf>
    <xf numFmtId="14" fontId="86" fillId="0" borderId="19" xfId="0" applyFont="1" applyBorder="1" applyNumberFormat="1">
      <alignment horizontal="center" vertical="center" wrapText="1"/>
    </xf>
    <xf numFmtId="0" fontId="80" fillId="0" borderId="14" xfId="0" applyFont="1" applyBorder="1" applyNumberFormat="1">
      <alignment horizontal="left" vertical="center" wrapText="1" indent="1"/>
    </xf>
    <xf numFmtId="0" fontId="86"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0" fontId="79" fillId="0" borderId="0" xfId="0" applyFont="1" applyNumberFormat="1">
      <alignment vertical="center"/>
    </xf>
    <xf numFmtId="14" fontId="86" fillId="0" borderId="38" xfId="0" applyFont="1" applyBorder="1" applyNumberFormat="1">
      <alignment horizontal="center" vertical="center" wrapText="1"/>
    </xf>
    <xf numFmtId="0" fontId="80" fillId="0" borderId="14" xfId="0" applyFont="1" applyBorder="1" applyNumberFormat="1">
      <alignment horizontal="left" vertical="top" indent="1"/>
    </xf>
    <xf numFmtId="49" fontId="0" fillId="0" borderId="14" xfId="0" applyFont="1" applyBorder="1" applyNumberFormat="1">
      <alignment vertical="top"/>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0" fontId="44" fillId="0" borderId="14" xfId="0" applyFont="1" applyBorder="1" applyNumberFormat="1">
      <alignment horizontal="center" vertical="center" wrapText="1"/>
    </xf>
    <xf numFmtId="49" fontId="23" fillId="0" borderId="15"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23" fillId="43" borderId="16" xfId="0" applyFont="1" applyFill="1" applyBorder="1" applyNumberFormat="1">
      <alignment horizontal="left" vertical="center" wrapText="1"/>
    </xf>
    <xf numFmtId="49" fontId="0" fillId="0" borderId="14" xfId="0" applyFont="1" applyBorder="1" applyNumberFormat="1">
      <alignment vertical="top"/>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0" fillId="0" borderId="0" xfId="0" applyFont="1" applyNumberFormat="1">
      <alignment vertical="top"/>
    </xf>
    <xf numFmtId="49" fontId="23" fillId="0" borderId="0" xfId="0" applyFont="1" applyNumberFormat="1">
      <alignment vertical="top"/>
    </xf>
    <xf numFmtId="0" fontId="45" fillId="37" borderId="0" xfId="0" applyFont="1" applyFill="1" applyNumberFormat="1">
      <alignment vertical="top" wrapText="1"/>
    </xf>
    <xf numFmtId="0" fontId="23" fillId="37" borderId="16" xfId="0" applyFont="1" applyFill="1" applyBorder="1" applyNumberFormat="1">
      <alignment horizontal="center" vertical="center" wrapText="1"/>
    </xf>
    <xf numFmtId="0" fontId="55" fillId="37" borderId="14" xfId="0" applyFont="1" applyFill="1" applyBorder="1" applyNumberFormat="1">
      <alignment horizontal="center" vertical="center" wrapText="1"/>
    </xf>
    <xf numFmtId="14" fontId="23" fillId="43" borderId="31" xfId="0" applyFont="1" applyFill="1" applyBorder="1" applyNumberFormat="1">
      <alignment horizontal="left" vertical="center" wrapText="1"/>
    </xf>
    <xf numFmtId="49" fontId="127" fillId="42" borderId="14" xfId="0" applyFont="1" applyFill="1" applyBorder="1" applyNumberFormat="1">
      <alignment horizontal="left" vertical="center" wrapText="1"/>
      <protection locked="0"/>
    </xf>
    <xf numFmtId="49" fontId="0" fillId="0" borderId="14" xfId="0" applyFont="1" applyBorder="1" applyNumberFormat="1">
      <alignment horizontal="center" vertical="center" wrapText="1"/>
    </xf>
    <xf numFmtId="0" fontId="23" fillId="43" borderId="16" xfId="0" applyFont="1" applyFill="1" applyBorder="1" applyNumberFormat="1">
      <alignment horizontal="left" vertical="center" wrapText="1"/>
    </xf>
    <xf numFmtId="0" fontId="0" fillId="0" borderId="25" xfId="0" applyFont="1" applyBorder="1" applyNumberFormat="1">
      <alignment horizontal="center" vertical="center" wrapText="1"/>
    </xf>
    <xf numFmtId="49" fontId="23" fillId="0" borderId="0" xfId="0" applyFont="1" applyNumberFormat="1">
      <alignment vertical="top"/>
    </xf>
    <xf numFmtId="49" fontId="45" fillId="0" borderId="0" xfId="0" applyFont="1" applyNumberFormat="1">
      <alignment horizontal="center" vertical="center" wrapText="1"/>
    </xf>
    <xf numFmtId="167"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49"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45" fillId="0" borderId="26" xfId="0" applyFont="1" applyBorder="1" applyNumberFormat="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167" fontId="0" fillId="42" borderId="14" xfId="0" applyFont="1" applyFill="1" applyBorder="1" applyNumberFormat="1">
      <alignment horizontal="center" vertical="top" wrapText="1"/>
      <protection locked="0"/>
    </xf>
    <xf numFmtId="167"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0" fontId="23" fillId="39" borderId="14" xfId="0" applyFont="1" applyFill="1" applyBorder="1" applyNumberFormat="1">
      <alignment horizontal="left" vertical="top" wrapText="1"/>
      <protection locked="0"/>
    </xf>
    <xf numFmtId="49" fontId="23" fillId="43" borderId="14" xfId="0" applyFont="1" applyFill="1" applyBorder="1" applyNumberFormat="1">
      <alignment horizontal="center" vertical="top" wrapText="1"/>
    </xf>
    <xf numFmtId="0" fontId="23" fillId="0" borderId="38" xfId="0" applyFont="1" applyBorder="1" applyNumberFormat="1">
      <alignment horizontal="center" vertical="center" wrapText="1"/>
    </xf>
    <xf numFmtId="0" fontId="23" fillId="0" borderId="14" xfId="0" applyFont="1" applyBorder="1" applyNumberFormat="1">
      <alignment horizontal="center" vertical="center" wrapText="1"/>
    </xf>
    <xf numFmtId="49" fontId="23" fillId="42" borderId="19" xfId="0" applyFont="1" applyFill="1" applyBorder="1" applyNumberFormat="1">
      <alignment horizontal="left" vertical="center" wrapText="1" indent="1"/>
      <protection locked="0"/>
    </xf>
    <xf numFmtId="0" fontId="23" fillId="0" borderId="26" xfId="0" applyFont="1" applyBorder="1" applyNumberFormat="1">
      <alignment vertical="top" wrapText="1"/>
    </xf>
    <xf numFmtId="49" fontId="23" fillId="43" borderId="25" xfId="0" applyFont="1" applyFill="1" applyBorder="1" applyNumberFormat="1">
      <alignment horizontal="center" vertical="top" wrapText="1"/>
    </xf>
    <xf numFmtId="49" fontId="0" fillId="42"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6" xfId="0" applyFont="1" applyFill="1" applyBorder="1" applyNumberFormat="1">
      <alignment horizontal="center" vertical="top" wrapText="1"/>
    </xf>
    <xf numFmtId="49" fontId="23" fillId="0" borderId="38" xfId="0" applyFont="1" applyBorder="1" applyNumberFormat="1">
      <alignment horizontal="center" vertical="top" wrapText="1"/>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6" xfId="0" applyFont="1" applyBorder="1" applyNumberFormat="1">
      <alignment vertical="center" wrapText="1"/>
    </xf>
    <xf numFmtId="0" fontId="23" fillId="0" borderId="57" xfId="0" applyFont="1" applyBorder="1" applyNumberFormat="1">
      <alignment vertical="center" wrapText="1"/>
    </xf>
    <xf numFmtId="0" fontId="23" fillId="0" borderId="40" xfId="0" applyFont="1" applyBorder="1" applyNumberFormat="1">
      <alignment vertical="center" wrapText="1"/>
    </xf>
    <xf numFmtId="49" fontId="23" fillId="38" borderId="14" xfId="0" applyFont="1" applyFill="1" applyBorder="1" applyNumberFormat="1">
      <alignment horizontal="center"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23" fillId="43" borderId="16" xfId="0" applyFont="1" applyFill="1" applyBorder="1" applyNumberFormat="1">
      <alignment horizontal="center" vertical="center" wrapText="1"/>
    </xf>
    <xf numFmtId="49" fontId="110" fillId="40" borderId="45" xfId="0" applyFont="1" applyFill="1" applyBorder="1" applyNumberFormat="1">
      <alignment horizontal="left" vertical="center" indent="1"/>
    </xf>
    <xf numFmtId="49" fontId="99" fillId="40" borderId="45" xfId="0" applyFont="1" applyFill="1" applyBorder="1" applyNumberFormat="1">
      <alignment horizontal="center" vertical="center"/>
    </xf>
    <xf numFmtId="3" fontId="23" fillId="42" borderId="14" xfId="0" applyFont="1" applyFill="1" applyBorder="1" applyNumberFormat="1">
      <alignment horizontal="center" vertical="center" wrapText="1"/>
      <protection locked="0"/>
    </xf>
    <xf numFmtId="49" fontId="128" fillId="0" borderId="15" xfId="0" applyFont="1" applyBorder="1" applyNumberFormat="1">
      <alignment horizontal="center" vertical="center" wrapText="1"/>
    </xf>
    <xf numFmtId="0" fontId="53" fillId="0" borderId="14" xfId="0" applyFont="1" applyBorder="1" applyNumberFormat="1">
      <alignment horizontal="center" vertical="center"/>
    </xf>
    <xf numFmtId="49" fontId="23" fillId="43" borderId="19"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23" fillId="43" borderId="38" xfId="0" applyFont="1" applyFill="1" applyBorder="1" applyNumberFormat="1">
      <alignment horizontal="left" vertical="center" wrapText="1" indent="1"/>
    </xf>
    <xf numFmtId="49" fontId="23" fillId="38" borderId="14" xfId="0" applyFont="1" applyFill="1" applyBorder="1" applyNumberFormat="1">
      <alignment horizontal="left" vertical="center" wrapText="1"/>
    </xf>
    <xf numFmtId="49" fontId="128" fillId="0" borderId="0" xfId="0" applyFont="1" applyNumberFormat="1">
      <alignment horizontal="center" vertical="top" wrapText="1"/>
    </xf>
    <xf numFmtId="0" fontId="53" fillId="0" borderId="14" xfId="0" applyFont="1" applyBorder="1" applyNumberFormat="1">
      <alignment horizontal="center" vertical="center"/>
    </xf>
    <xf numFmtId="0" fontId="53" fillId="43" borderId="14" xfId="0" applyFont="1" applyFill="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43" borderId="25" xfId="0" applyFont="1" applyFill="1" applyBorder="1" applyNumberFormat="1">
      <alignment horizontal="left" vertical="center" wrapText="1" indent="1"/>
    </xf>
    <xf numFmtId="49" fontId="48" fillId="40" borderId="17" xfId="0" applyFont="1" applyFill="1" applyBorder="1" applyNumberFormat="1">
      <alignment horizontal="left" vertical="center" inden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49" fontId="23" fillId="38" borderId="77" xfId="0" applyFont="1" applyFill="1" applyBorder="1" applyNumberFormat="1">
      <alignment horizontal="center" vertical="center" wrapText="1"/>
    </xf>
    <xf numFmtId="0" fontId="0" fillId="40" borderId="52" xfId="0" applyFont="1" applyFill="1" applyBorder="1" applyNumberFormat="1">
      <alignment horizontal="left" vertical="center"/>
    </xf>
    <xf numFmtId="49" fontId="48" fillId="40" borderId="53" xfId="0" applyFont="1" applyFill="1" applyBorder="1" applyNumberFormat="1">
      <alignment horizontal="left" vertical="center" inden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0" fontId="23" fillId="40" borderId="55" xfId="0" applyFont="1" applyFill="1" applyBorder="1" applyNumberFormat="1">
      <alignment vertical="center" wrapText="1"/>
    </xf>
    <xf numFmtId="49" fontId="0" fillId="38" borderId="38" xfId="0" applyFont="1" applyFill="1" applyBorder="1" applyNumberFormat="1">
      <alignment vertical="top"/>
    </xf>
    <xf numFmtId="49" fontId="23" fillId="43" borderId="19" xfId="0" applyFont="1" applyFill="1" applyBorder="1" applyNumberFormat="1">
      <alignment vertical="center" wrapText="1"/>
    </xf>
    <xf numFmtId="49" fontId="0" fillId="42" borderId="38" xfId="0" applyFont="1" applyFill="1" applyBorder="1" applyNumberFormat="1">
      <alignment vertical="top"/>
      <protection locked="0"/>
    </xf>
    <xf numFmtId="49" fontId="128" fillId="0" borderId="14" xfId="0" applyFont="1" applyBorder="1" applyNumberFormat="1">
      <alignment horizontal="center" vertical="center" wrapText="1"/>
    </xf>
    <xf numFmtId="49" fontId="0" fillId="42" borderId="19" xfId="0" applyFont="1" applyFill="1" applyBorder="1" applyNumberFormat="1">
      <alignment vertical="top"/>
      <protection locked="0"/>
    </xf>
    <xf numFmtId="14" fontId="23" fillId="43" borderId="38" xfId="0" applyFont="1" applyFill="1" applyBorder="1" applyNumberFormat="1">
      <alignment horizontal="left" vertical="center" wrapText="1" inden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0" fontId="53" fillId="0" borderId="15" xfId="0" applyFont="1" applyBorder="1" applyNumberFormat="1">
      <alignment horizontal="center" vertical="center"/>
    </xf>
    <xf numFmtId="0" fontId="108" fillId="0" borderId="49" xfId="0" applyFont="1" applyBorder="1" applyNumberFormat="1">
      <alignment horizontal="left" vertical="center" indent="1"/>
    </xf>
    <xf numFmtId="49" fontId="23" fillId="0" borderId="58" xfId="0" applyFont="1" applyBorder="1" applyNumberFormat="1">
      <alignment horizontal="center" vertical="center"/>
    </xf>
    <xf numFmtId="0" fontId="23" fillId="0" borderId="58" xfId="0" applyFont="1" applyBorder="1" applyNumberFormat="1">
      <alignment horizontal="right" vertical="center"/>
    </xf>
    <xf numFmtId="0" fontId="23" fillId="0" borderId="58"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49" fontId="0" fillId="0" borderId="0" xfId="0" applyFont="1" applyNumberFormat="1">
      <alignment vertical="top"/>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39" borderId="14" xfId="0" applyFont="1" applyFill="1" applyBorder="1" applyNumberFormat="1">
      <alignment horizontal="left" vertical="center"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9"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48" fillId="0" borderId="14" xfId="0" applyFont="1" applyBorder="1" applyNumberFormat="1">
      <alignment horizontal="left" vertical="center" indent="1"/>
    </xf>
    <xf numFmtId="0" fontId="54" fillId="0" borderId="0" xfId="0" applyFont="1" applyNumberFormat="1">
      <alignment horizontal="center" vertical="top"/>
    </xf>
    <xf numFmtId="49" fontId="23" fillId="0" borderId="25" xfId="0" applyFont="1" applyBorder="1" applyNumberFormat="1">
      <alignment horizontal="center" vertical="center" wrapText="1"/>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49" fontId="55" fillId="0" borderId="15" xfId="0" applyFont="1" applyBorder="1" applyNumberFormat="1">
      <alignment horizontal="left" vertical="center" indent="1"/>
    </xf>
    <xf numFmtId="0" fontId="55" fillId="0" borderId="14" xfId="0" applyFont="1" applyBorder="1" applyNumberFormat="1">
      <alignment horizontal="left" vertical="center" indent="1"/>
    </xf>
    <xf numFmtId="49" fontId="0" fillId="0" borderId="21" xfId="0" applyFont="1" applyBorder="1" applyNumberFormat="1">
      <alignment vertical="top"/>
    </xf>
    <xf numFmtId="49" fontId="45" fillId="0" borderId="19"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0" fillId="0" borderId="15" xfId="0" applyFont="1" applyBorder="1" applyNumberFormat="1">
      <alignment horizontal="center" vertical="center" wrapText="1"/>
    </xf>
    <xf numFmtId="0" fontId="0" fillId="0" borderId="14" xfId="0" applyFont="1" applyBorder="1" applyNumberFormat="1">
      <alignment horizontal="left" vertical="center" wrapText="1"/>
    </xf>
    <xf numFmtId="49" fontId="0" fillId="0" borderId="14" xfId="0" applyFont="1" applyBorder="1" applyNumberFormat="1">
      <alignment horizontal="center" vertical="center"/>
    </xf>
    <xf numFmtId="0" fontId="0" fillId="0" borderId="14" xfId="0" applyFont="1" applyBorder="1" applyNumberFormat="1">
      <alignment horizontal="center" vertical="center" wrapText="1"/>
    </xf>
    <xf numFmtId="4" fontId="0" fillId="38" borderId="14" xfId="0" applyFont="1" applyFill="1" applyBorder="1" applyNumberFormat="1">
      <alignment horizontal="right" vertical="center" wrapText="1"/>
    </xf>
    <xf numFmtId="49" fontId="23" fillId="0" borderId="38" xfId="0" applyFont="1" applyBorder="1" applyNumberFormat="1">
      <alignment horizontal="center" vertical="top" wrapText="1"/>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2" borderId="14" xfId="0" applyFont="1" applyFill="1" applyBorder="1" applyNumberFormat="1">
      <alignment horizontal="left" vertical="center" wrapText="1"/>
      <protection locked="0"/>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23" fillId="0" borderId="25" xfId="0" applyFont="1" applyBorder="1" applyNumberFormat="1">
      <alignment horizontal="center" vertical="top" wrapText="1"/>
    </xf>
    <xf numFmtId="49" fontId="23" fillId="42" borderId="14" xfId="0" applyFont="1" applyFill="1" applyBorder="1" applyNumberFormat="1">
      <alignment horizontal="left" vertical="center" wrapText="1" indent="1"/>
      <protection locked="0"/>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0" fontId="23" fillId="43" borderId="14" xfId="0" applyFont="1" applyFill="1" applyBorder="1" applyNumberFormat="1">
      <alignment horizontal="left" vertical="top" wrapText="1"/>
    </xf>
    <xf numFmtId="0" fontId="0" fillId="43" borderId="14" xfId="0" applyFont="1" applyFill="1" applyBorder="1" applyNumberFormat="1">
      <alignment horizontal="left" vertical="center" wrapText="1"/>
      <protection locked="0"/>
    </xf>
    <xf numFmtId="49" fontId="23"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49" fontId="0" fillId="0" borderId="14" xfId="0" applyFont="1" applyBorder="1" applyNumberFormat="1">
      <alignment horizontal="left" vertical="top"/>
    </xf>
    <xf numFmtId="49" fontId="0" fillId="43" borderId="14" xfId="0" applyFont="1" applyFill="1" applyBorder="1" applyNumberFormat="1">
      <alignment horizontal="left" vertical="top"/>
    </xf>
    <xf numFmtId="49" fontId="0" fillId="43" borderId="14" xfId="0" applyFont="1" applyFill="1" applyBorder="1" applyNumberFormat="1">
      <alignment horizontal="left" vertical="center" wrapText="1"/>
      <protection locked="0"/>
    </xf>
    <xf numFmtId="49" fontId="0" fillId="39" borderId="38" xfId="0" applyFont="1" applyFill="1" applyBorder="1" applyNumberFormat="1">
      <alignment horizontal="left" vertical="top"/>
      <protection locked="0"/>
    </xf>
    <xf numFmtId="49" fontId="23" fillId="43" borderId="0" xfId="0" applyFont="1" applyFill="1" applyNumberFormat="1">
      <alignment horizontal="center" vertical="center" wrapText="1"/>
    </xf>
    <xf numFmtId="0" fontId="48" fillId="0" borderId="38" xfId="0" applyFont="1" applyBorder="1" applyNumberFormat="1">
      <alignment horizontal="left" vertical="center"/>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49" fontId="0" fillId="0" borderId="0" xfId="0" applyFont="1" applyNumberFormat="1">
      <alignment vertical="top"/>
    </xf>
    <xf numFmtId="0" fontId="0" fillId="0" borderId="0" xfId="0" applyFont="1" applyNumberFormat="1">
      <alignment vertical="center"/>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0" fillId="0" borderId="24"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0" fontId="0" fillId="0" borderId="29" xfId="0" applyFont="1" applyBorder="1" applyNumberFormat="1">
      <alignment vertical="center"/>
    </xf>
    <xf numFmtId="49" fontId="23" fillId="0" borderId="38" xfId="0" applyFont="1" applyBorder="1" applyNumberFormat="1">
      <alignment horizontal="center" vertical="center"/>
    </xf>
    <xf numFmtId="49" fontId="23" fillId="0" borderId="38" xfId="0" applyFont="1" applyBorder="1" applyNumberFormat="1">
      <alignment vertical="center" wrapText="1"/>
    </xf>
    <xf numFmtId="0" fontId="23" fillId="0" borderId="26" xfId="0" applyFont="1" applyBorder="1" applyNumberFormat="1">
      <alignment horizontal="center" vertical="center"/>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45" fillId="0" borderId="38" xfId="0" applyFont="1" applyBorder="1" applyNumberFormat="1">
      <alignment vertical="center" wrapText="1"/>
    </xf>
    <xf numFmtId="0" fontId="23" fillId="43" borderId="19" xfId="0" applyFont="1" applyFill="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horizontal="left" vertical="center" wrapText="1"/>
    </xf>
    <xf numFmtId="0"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vertical="center" wrapText="1"/>
    </xf>
    <xf numFmtId="0" fontId="23" fillId="0" borderId="38" xfId="0" applyFont="1" applyBorder="1" applyNumberFormat="1">
      <alignment horizontal="left" vertical="center" wrapText="1"/>
    </xf>
    <xf numFmtId="49" fontId="23" fillId="0" borderId="38" xfId="0" applyFont="1" applyBorder="1" applyNumberFormat="1">
      <alignment horizontal="left" vertical="center" wrapText="1"/>
    </xf>
    <xf numFmtId="0" fontId="23" fillId="43" borderId="38" xfId="0" applyFont="1" applyFill="1" applyBorder="1" applyNumberFormat="1">
      <alignment horizontal="left" vertical="center" wrapText="1"/>
    </xf>
    <xf numFmtId="49" fontId="23" fillId="0" borderId="38" xfId="0" applyFont="1" applyBorder="1" applyNumberFormat="1">
      <alignment horizontal="center"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23" fillId="0" borderId="38" xfId="0" applyFont="1" applyBorder="1" applyNumberFormat="1">
      <alignment horizontal="center" vertical="center" wrapText="1"/>
    </xf>
    <xf numFmtId="0" fontId="48" fillId="40" borderId="39"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45" fillId="0" borderId="38" xfId="0" applyFont="1" applyBorder="1" applyNumberFormat="1">
      <alignment horizontal="center" vertical="center" wrapText="1"/>
    </xf>
    <xf numFmtId="0" fontId="48" fillId="40" borderId="39" xfId="0" applyFont="1" applyFill="1" applyBorder="1" applyNumberFormat="1">
      <alignment vertical="center"/>
    </xf>
    <xf numFmtId="0" fontId="48" fillId="0" borderId="38" xfId="0" applyFont="1" applyBorder="1" applyNumberFormat="1">
      <alignment horizontal="left" vertical="center"/>
    </xf>
    <xf numFmtId="49" fontId="23" fillId="39" borderId="19" xfId="0" applyFont="1" applyFill="1" applyBorder="1" applyNumberFormat="1">
      <alignment horizontal="left" vertical="center" wrapText="1"/>
      <protection locked="0"/>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0" borderId="21" xfId="0" applyFont="1" applyBorder="1" applyNumberFormat="1">
      <alignment horizontal="lef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49" fontId="100" fillId="0" borderId="14" xfId="0" applyFont="1" applyBorder="1" applyNumberFormat="1">
      <alignment vertical="top" wrapText="1"/>
    </xf>
    <xf numFmtId="49" fontId="96" fillId="0" borderId="14" xfId="0" applyFont="1" applyBorder="1" applyNumberFormat="1">
      <alignment horizontal="center" vertical="top" wrapText="1"/>
    </xf>
    <xf numFmtId="49" fontId="96" fillId="34" borderId="14" xfId="0" applyFont="1" applyFill="1" applyBorder="1" applyNumberFormat="1">
      <alignment horizontal="center" vertical="top"/>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0" fontId="100" fillId="0" borderId="14" xfId="0" applyFont="1" applyBorder="1" applyNumberFormat="1">
      <alignment vertical="top" wrapText="1"/>
    </xf>
    <xf numFmtId="49" fontId="100" fillId="0" borderId="0" xfId="0" applyFont="1" applyNumberFormat="1">
      <alignment vertical="top" wrapText="1"/>
    </xf>
    <xf numFmtId="49" fontId="100" fillId="0" borderId="0" xfId="0" applyFont="1" applyNumberFormat="1">
      <alignment vertical="top"/>
    </xf>
    <xf numFmtId="49" fontId="100" fillId="0" borderId="0" xfId="0" applyFont="1" applyNumberFormat="1">
      <alignment horizontal="center" vertical="top" wrapText="1"/>
    </xf>
    <xf numFmtId="49" fontId="100" fillId="0" borderId="14" xfId="0" applyFont="1" applyBorder="1" applyNumberFormat="1">
      <alignment horizontal="center" vertical="top" wrapText="1"/>
    </xf>
    <xf numFmtId="49" fontId="100" fillId="0" borderId="14" xfId="0" applyFont="1" applyBorder="1" applyNumberFormat="1">
      <alignment horizontal="center" vertical="top" wrapText="1"/>
    </xf>
    <xf numFmtId="49" fontId="100" fillId="34" borderId="14" xfId="0" applyFont="1" applyFill="1" applyBorder="1" applyNumberFormat="1">
      <alignment horizontal="center" vertical="top" wrapText="1"/>
    </xf>
    <xf numFmtId="49" fontId="96" fillId="34" borderId="14" xfId="0" applyFont="1" applyFill="1" applyBorder="1" applyNumberFormat="1">
      <alignment horizontal="center" vertical="top" wrapText="1"/>
    </xf>
    <xf numFmtId="49" fontId="100" fillId="0" borderId="14" xfId="0" applyFont="1" applyBorder="1" applyNumberFormat="1">
      <alignment horizontal="left" vertical="top" wrapText="1"/>
    </xf>
    <xf numFmtId="0" fontId="96" fillId="34" borderId="14" xfId="0" applyFont="1" applyFill="1" applyBorder="1" applyNumberFormat="1">
      <alignment horizontal="center" vertical="top" wrapText="1"/>
    </xf>
    <xf numFmtId="0" fontId="100" fillId="34" borderId="14" xfId="0" applyFont="1" applyFill="1" applyBorder="1" applyNumberFormat="1">
      <alignment horizontal="right" vertical="center"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0" fontId="100" fillId="0" borderId="14" xfId="0" applyFont="1" applyBorder="1" applyNumberFormat="1">
      <alignment horizontal="left" vertical="top" wrapText="1"/>
    </xf>
    <xf numFmtId="49" fontId="100" fillId="34" borderId="14" xfId="0" applyFont="1" applyFill="1" applyBorder="1" applyNumberFormat="1">
      <alignment horizontal="left" vertical="top" wrapText="1"/>
    </xf>
    <xf numFmtId="0" fontId="100" fillId="34" borderId="14" xfId="0" applyFont="1" applyFill="1" applyBorder="1" applyNumberFormat="1">
      <alignment horizontal="center" vertical="center" wrapText="1"/>
    </xf>
    <xf numFmtId="0" fontId="100" fillId="34" borderId="14" xfId="0" applyFont="1" applyFill="1" applyBorder="1" applyNumberFormat="1">
      <alignment horizontal="center" vertical="center"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19" xfId="0" applyFont="1" applyBorder="1" applyNumberFormat="1">
      <alignment horizontal="center" vertical="top" wrapText="1"/>
    </xf>
    <xf numFmtId="0" fontId="100" fillId="0" borderId="19" xfId="0" applyFont="1" applyBorder="1" applyNumberFormat="1">
      <alignment horizontal="left" vertical="top" wrapText="1"/>
    </xf>
    <xf numFmtId="49" fontId="100" fillId="0" borderId="39" xfId="0" applyFont="1" applyBorder="1" applyNumberFormat="1">
      <alignment horizontal="center" vertical="top" wrapText="1"/>
    </xf>
    <xf numFmtId="49" fontId="100" fillId="0" borderId="39" xfId="0" applyFont="1" applyBorder="1" applyNumberFormat="1">
      <alignment horizontal="center" vertical="top" wrapText="1"/>
    </xf>
    <xf numFmtId="0" fontId="100" fillId="0" borderId="15" xfId="0" applyFont="1" applyBorder="1" applyNumberFormat="1">
      <alignment horizontal="left" vertical="top" wrapText="1"/>
    </xf>
    <xf numFmtId="49" fontId="100" fillId="0" borderId="25"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24" xfId="0" applyFont="1" applyBorder="1" applyNumberFormat="1">
      <alignment horizontal="center" vertical="top" wrapText="1"/>
    </xf>
    <xf numFmtId="0" fontId="100" fillId="0" borderId="19" xfId="0" applyFont="1" applyBorder="1" applyNumberFormat="1">
      <alignment vertical="top" wrapText="1"/>
    </xf>
    <xf numFmtId="49" fontId="96" fillId="0" borderId="14" xfId="0" applyFont="1" applyBorder="1" applyNumberFormat="1">
      <alignment horizontal="left" vertical="top" wrapText="1"/>
    </xf>
    <xf numFmtId="0" fontId="96" fillId="0" borderId="16" xfId="0" applyFont="1" applyBorder="1" applyNumberFormat="1">
      <alignment horizontal="center" vertical="center" wrapText="1"/>
    </xf>
    <xf numFmtId="0" fontId="96" fillId="0" borderId="16" xfId="0" applyFont="1" applyBorder="1" applyNumberFormat="1">
      <alignment horizontal="center" vertical="center"/>
    </xf>
    <xf numFmtId="49" fontId="96" fillId="0" borderId="14" xfId="0" applyFont="1" applyBorder="1" applyNumberFormat="1">
      <alignment horizontal="center" vertical="center" wrapText="1"/>
    </xf>
    <xf numFmtId="0" fontId="96" fillId="0" borderId="14" xfId="0" applyFont="1" applyBorder="1" applyNumberFormat="1">
      <alignment vertical="center" wrapText="1"/>
    </xf>
    <xf numFmtId="49" fontId="100" fillId="0" borderId="16" xfId="0" applyFont="1" applyBorder="1" applyNumberFormat="1">
      <alignment horizontal="left" vertical="top" wrapText="1"/>
    </xf>
    <xf numFmtId="0" fontId="96" fillId="0" borderId="14" xfId="0" applyFont="1" applyBorder="1" applyNumberFormat="1">
      <alignment horizontal="center"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100" fillId="0" borderId="32" xfId="0" applyFont="1" applyBorder="1" applyNumberFormat="1">
      <alignment horizontal="left" vertical="top" wrapText="1"/>
    </xf>
    <xf numFmtId="49" fontId="100" fillId="0" borderId="15" xfId="0" applyFont="1" applyBorder="1" applyNumberFormat="1">
      <alignment horizontal="left" vertical="top"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38" xfId="0" applyFont="1" applyBorder="1" applyNumberFormat="1">
      <alignment horizontal="left" vertical="top" wrapText="1"/>
    </xf>
    <xf numFmtId="0" fontId="100" fillId="0" borderId="38" xfId="0" applyFont="1" applyBorder="1" applyNumberFormat="1">
      <alignment horizontal="left" vertical="top" wrapText="1"/>
    </xf>
    <xf numFmtId="49" fontId="100" fillId="0" borderId="0" xfId="0" applyFont="1" applyNumberFormat="1">
      <alignment horizontal="left" vertical="top" wrapText="1"/>
    </xf>
    <xf numFmtId="49" fontId="100" fillId="34" borderId="0" xfId="0" applyFont="1" applyFill="1" applyNumberFormat="1">
      <alignment horizontal="left" vertical="top" wrapText="1"/>
    </xf>
    <xf numFmtId="0" fontId="100" fillId="0" borderId="0" xfId="0" applyFont="1" applyNumberFormat="1">
      <alignment vertical="top" wrapText="1"/>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0" fontId="0" fillId="0" borderId="0" xfId="0" applyFont="1" applyNumberFormat="1">
      <alignment horizontal="left" vertical="center"/>
    </xf>
    <xf numFmtId="0" fontId="0" fillId="37" borderId="14" xfId="0" applyFont="1" applyFill="1" applyBorder="1" applyNumberFormat="1">
      <alignment horizontal="right" vertical="center" wrapText="1" indent="1"/>
    </xf>
    <xf numFmtId="0" fontId="0" fillId="0" borderId="16" xfId="0" applyFont="1" applyBorder="1" applyNumberFormat="1">
      <alignment vertical="center"/>
    </xf>
    <xf numFmtId="0" fontId="23" fillId="0" borderId="0" xfId="0" applyFont="1" applyNumberFormat="1">
      <alignment horizontal="left" vertical="center" wrapText="1"/>
    </xf>
    <xf numFmtId="0" fontId="23" fillId="0" borderId="0" xfId="0" applyFont="1" applyNumberFormat="1">
      <alignment horizontal="righ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 fontId="23" fillId="38" borderId="14" xfId="0" applyFont="1" applyFill="1" applyBorder="1" applyNumberFormat="1">
      <alignment horizontal="left"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indent="6"/>
      <protection locked="0"/>
    </xf>
    <xf numFmtId="167" fontId="0" fillId="42" borderId="14" xfId="0" applyFont="1" applyFill="1" applyBorder="1" applyNumberFormat="1">
      <alignment horizontal="center" vertical="center" wrapText="1"/>
      <protection locked="0"/>
    </xf>
    <xf numFmtId="49" fontId="23" fillId="0" borderId="14" xfId="0" applyFont="1" applyBorder="1" applyNumberFormat="1">
      <alignment horizontal="left" vertical="center" wrapText="1"/>
    </xf>
    <xf numFmtId="49" fontId="106" fillId="40" borderId="16" xfId="0" applyFont="1" applyFill="1" applyBorder="1" applyNumberFormat="1">
      <alignment horizontal="left" vertical="center"/>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54" fillId="0" borderId="0" xfId="0" applyFont="1" applyNumberFormat="1">
      <alignment horizontal="left" vertical="center"/>
    </xf>
    <xf numFmtId="49" fontId="40" fillId="0" borderId="0" xfId="0" applyFont="1" applyNumberFormat="1">
      <alignment vertical="top"/>
    </xf>
    <xf numFmtId="49" fontId="0" fillId="0" borderId="26" xfId="0" applyFont="1" applyBorder="1" applyNumberFormat="1">
      <alignment vertical="top"/>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0" fillId="0" borderId="0" xfId="0" applyFont="1" applyNumberFormat="1">
      <alignment vertical="top"/>
    </xf>
    <xf numFmtId="49" fontId="54" fillId="0" borderId="0" xfId="0" applyFont="1" applyNumberFormat="1">
      <alignment horizontal="left" vertical="center"/>
    </xf>
    <xf numFmtId="49" fontId="54" fillId="0" borderId="0" xfId="0" applyFont="1" applyNumberFormat="1">
      <alignment horizontal="left" vertical="top"/>
    </xf>
    <xf numFmtId="49" fontId="72" fillId="40" borderId="16" xfId="0" applyFont="1" applyFill="1" applyBorder="1" applyNumberFormat="1">
      <alignment horizontal="left" vertical="top"/>
    </xf>
    <xf numFmtId="49" fontId="114" fillId="40" borderId="17" xfId="0" applyFont="1" applyFill="1" applyBorder="1" applyNumberFormat="1">
      <alignment horizontal="left" vertical="center"/>
    </xf>
    <xf numFmtId="49" fontId="55" fillId="0" borderId="0" xfId="0" applyFont="1" applyNumberFormat="1">
      <alignment vertical="top"/>
    </xf>
    <xf numFmtId="0" fontId="23" fillId="0" borderId="0" xfId="0" applyFont="1" applyNumberFormat="1">
      <alignment horizontal="left" vertical="top" wrapText="1"/>
    </xf>
    <xf numFmtId="49" fontId="23" fillId="0" borderId="0" xfId="0" applyFont="1" applyNumberFormat="1">
      <alignment vertical="center" wrapText="1"/>
    </xf>
    <xf numFmtId="49" fontId="0" fillId="0" borderId="0" xfId="0" applyFont="1" applyNumberFormat="1">
      <alignment vertical="top"/>
    </xf>
    <xf numFmtId="49" fontId="0" fillId="0" borderId="14" xfId="0" applyFont="1" applyBorder="1" applyNumberFormat="1">
      <alignment vertical="top"/>
    </xf>
    <xf numFmtId="49" fontId="0" fillId="0" borderId="16" xfId="0" applyFont="1" applyBorder="1" applyNumberFormat="1">
      <alignment vertical="top"/>
    </xf>
    <xf numFmtId="49" fontId="0" fillId="0" borderId="14" xfId="0" applyFont="1" applyBorder="1" applyNumberFormat="1">
      <alignment horizontal="center"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45" borderId="19" xfId="0" applyFont="1" applyFill="1" applyBorder="1" applyNumberFormat="1">
      <alignment vertical="top"/>
    </xf>
    <xf numFmtId="49" fontId="0" fillId="0" borderId="16" xfId="0" applyFont="1" applyBorder="1" applyNumberFormat="1">
      <alignment horizontal="center" vertical="top"/>
    </xf>
    <xf numFmtId="49" fontId="0" fillId="46" borderId="14" xfId="0" applyFont="1" applyFill="1" applyBorder="1" applyNumberFormat="1">
      <alignment vertical="top"/>
    </xf>
    <xf numFmtId="49" fontId="0" fillId="0" borderId="17" xfId="0" applyFont="1" applyBorder="1" applyNumberFormat="1">
      <alignment horizontal="center" vertical="top"/>
    </xf>
    <xf numFmtId="49" fontId="0" fillId="3" borderId="14" xfId="0" applyFont="1" applyFill="1" applyBorder="1" applyNumberFormat="1">
      <alignment vertical="top"/>
    </xf>
    <xf numFmtId="49" fontId="0" fillId="47" borderId="14" xfId="0" applyFont="1" applyFill="1" applyBorder="1" applyNumberFormat="1">
      <alignment vertical="top"/>
    </xf>
    <xf numFmtId="49" fontId="0" fillId="16" borderId="19" xfId="0" applyFont="1" applyFill="1" applyBorder="1" applyNumberFormat="1">
      <alignment vertical="top"/>
    </xf>
    <xf numFmtId="49" fontId="0" fillId="5" borderId="16" xfId="0" applyFont="1" applyFill="1" applyBorder="1" applyNumberFormat="1">
      <alignment vertical="top"/>
    </xf>
    <xf numFmtId="49" fontId="0" fillId="5" borderId="14" xfId="0" applyFont="1" applyFill="1" applyBorder="1" applyNumberFormat="1">
      <alignment vertical="top"/>
    </xf>
    <xf numFmtId="49" fontId="0" fillId="16" borderId="14"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xf numFmtId="0" fontId="1" fillId="0" borderId="0" xfId="0" applyFont="1" applyNumberFormat="1"/>
    <xf numFmtId="0" fontId="38" fillId="0" borderId="0" xfId="0" applyFont="1" applyNumberFormat="1"/>
    <xf numFmtId="0" fontId="38" fillId="0" borderId="0" xfId="0" applyFont="1" applyNumberFormat="1"/>
    <xf numFmtId="49" fontId="23" fillId="38" borderId="12" xfId="0" applyFont="1" applyFill="1" applyBorder="1" applyNumberFormat="1">
      <alignment horizontal="center" vertical="top"/>
    </xf>
    <xf numFmtId="49" fontId="0" fillId="0" borderId="0" xfId="0" applyFont="1" applyNumberFormat="1">
      <alignment vertical="top"/>
    </xf>
    <xf numFmtId="49" fontId="46" fillId="0" borderId="13" xfId="0" applyFont="1" applyBorder="1" applyNumberFormat="1">
      <alignment vertical="top" wrapText="1"/>
    </xf>
    <xf numFmtId="0" fontId="0" fillId="0" borderId="13" xfId="0" applyFont="1" applyBorder="1" applyNumberFormat="1">
      <alignment vertical="top" wrapText="1"/>
    </xf>
    <xf numFmtId="0" fontId="22" fillId="0" borderId="20" xfId="0" applyFont="1" applyBorder="1" applyNumberFormat="1">
      <alignment vertical="top" wrapText="1"/>
    </xf>
    <xf numFmtId="0" fontId="0" fillId="0" borderId="0" xfId="0" applyFont="1" applyNumberFormat="1">
      <alignment vertical="top"/>
    </xf>
    <xf numFmtId="0" fontId="0" fillId="0" borderId="14" xfId="0" applyFont="1" applyBorder="1" applyNumberFormat="1">
      <alignment vertical="top" wrapText="1"/>
    </xf>
    <xf numFmtId="49" fontId="0" fillId="0" borderId="14" xfId="0" applyFont="1" applyBorder="1" applyNumberFormat="1">
      <alignment vertical="top" wrapText="1"/>
    </xf>
    <xf numFmtId="49" fontId="0" fillId="0" borderId="19" xfId="0" applyFont="1" applyBorder="1" applyNumberFormat="1">
      <alignment vertical="top"/>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xf numFmtId="49" fontId="0" fillId="0" borderId="0" xfId="0" applyFont="1" applyNumberFormat="1">
      <alignment vertical="top"/>
    </xf>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107" fillId="0" borderId="0" xfId="0" applyFont="1" applyNumberFormat="1">
      <alignment vertical="center" wrapText="1"/>
    </xf>
    <xf numFmtId="0" fontId="107" fillId="0" borderId="0" xfId="0" applyFont="1" applyNumberFormat="1">
      <alignment horizontal="left" vertical="center" wrapText="1"/>
    </xf>
    <xf numFmtId="49" fontId="122" fillId="0" borderId="0" xfId="0" applyFont="1" applyNumberFormat="1">
      <alignment wrapText="1"/>
    </xf>
    <xf numFmtId="0" fontId="107" fillId="0" borderId="0" xfId="0" applyFont="1" applyNumberFormat="1">
      <alignment vertical="center"/>
    </xf>
    <xf numFmtId="0" fontId="22" fillId="0" borderId="0" xfId="0" applyFont="1" applyNumberFormat="1">
      <alignment horizontal="left" vertical="top" wrapText="1"/>
    </xf>
    <xf numFmtId="49" fontId="23" fillId="0" borderId="0" xfId="0" applyFont="1" applyNumberFormat="1">
      <alignment vertical="top" wrapText="1"/>
    </xf>
    <xf numFmtId="0" fontId="22" fillId="57" borderId="68" xfId="0" applyFont="1" applyFill="1" applyBorder="1" applyNumberFormat="1">
      <alignment horizontal="center" vertical="center" wrapText="1"/>
    </xf>
    <xf numFmtId="0" fontId="22" fillId="57" borderId="69" xfId="0" applyFont="1" applyFill="1" applyBorder="1" applyNumberFormat="1">
      <alignment horizontal="center" vertical="center" wrapText="1"/>
    </xf>
    <xf numFmtId="0" fontId="22" fillId="57" borderId="70" xfId="0" applyFont="1" applyFill="1" applyBorder="1" applyNumberFormat="1">
      <alignment horizontal="center" vertical="center" wrapText="1"/>
    </xf>
    <xf numFmtId="0" fontId="71" fillId="0" borderId="0" xfId="0" applyFont="1" applyNumberFormat="1">
      <alignment wrapText="1"/>
    </xf>
    <xf numFmtId="0" fontId="22" fillId="48" borderId="40" xfId="0" applyFont="1" applyFill="1" applyBorder="1" applyNumberFormat="1">
      <alignment horizontal="right" vertical="center" wrapText="1" indent="1"/>
    </xf>
    <xf numFmtId="0" fontId="22" fillId="48" borderId="67" xfId="0" applyFont="1" applyFill="1" applyBorder="1" applyNumberFormat="1">
      <alignment horizontal="right" vertical="center" wrapText="1" inden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3" xfId="0" applyFont="1" applyFill="1" applyBorder="1" applyNumberFormat="1">
      <alignment horizontal="center" vertical="center" wrapText="1"/>
    </xf>
    <xf numFmtId="0" fontId="125" fillId="0" borderId="40" xfId="0" applyFont="1" applyBorder="1" applyNumberFormat="1">
      <alignment vertical="center" wrapText="1"/>
    </xf>
    <xf numFmtId="0" fontId="125" fillId="0" borderId="0" xfId="0" applyFont="1" applyNumberFormat="1">
      <alignment vertical="center" wrapText="1"/>
    </xf>
    <xf numFmtId="0" fontId="0" fillId="55" borderId="63" xfId="0" applyFont="1" applyFill="1" applyBorder="1" applyNumberFormat="1">
      <alignment horizontal="center"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0" fillId="38" borderId="63" xfId="0" applyFont="1" applyFill="1" applyBorder="1" applyNumberFormat="1">
      <alignment horizontal="center" vertical="center" wrapText="1"/>
    </xf>
    <xf numFmtId="0" fontId="0" fillId="42" borderId="63" xfId="0" applyFont="1" applyFill="1" applyBorder="1" applyNumberFormat="1">
      <alignment horizontal="center" vertical="center" wrapText="1"/>
    </xf>
    <xf numFmtId="0" fontId="22" fillId="48" borderId="0" xfId="0" applyFont="1" applyFill="1" applyNumberFormat="1">
      <alignment horizontal="right" vertical="center" wrapText="1" indent="1"/>
    </xf>
    <xf numFmtId="0" fontId="123" fillId="0" borderId="40" xfId="0" applyFont="1" applyBorder="1" applyNumberFormat="1">
      <alignment horizontal="left" vertical="center" wrapText="1"/>
    </xf>
    <xf numFmtId="0" fontId="123" fillId="0" borderId="64" xfId="0" applyFont="1" applyBorder="1" applyNumberFormat="1">
      <alignment horizontal="left" vertical="center" wrapText="1"/>
    </xf>
    <xf numFmtId="0" fontId="22" fillId="48" borderId="63" xfId="0" applyFont="1" applyFill="1" applyBorder="1" applyNumberFormat="1">
      <alignment horizontal="right" vertical="center" wrapText="1" indent="1"/>
    </xf>
    <xf numFmtId="0" fontId="22" fillId="48" borderId="66" xfId="0" applyFont="1" applyFill="1" applyBorder="1" applyNumberFormat="1">
      <alignment horizontal="right" vertical="center" wrapText="1" indent="1"/>
    </xf>
    <xf numFmtId="0" fontId="125" fillId="0" borderId="0" xfId="0" applyFont="1" applyNumberFormat="1"/>
    <xf numFmtId="0" fontId="125" fillId="0" borderId="40" xfId="0" applyFont="1" applyBorder="1" applyNumberFormat="1">
      <alignment wrapText="1"/>
    </xf>
    <xf numFmtId="0" fontId="125" fillId="0" borderId="0" xfId="0" applyFont="1" applyNumberFormat="1">
      <alignment vertical="top" wrapText="1"/>
    </xf>
    <xf numFmtId="0" fontId="22" fillId="48" borderId="65"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71" fillId="0" borderId="65"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49" fontId="71" fillId="0" borderId="0" xfId="0" applyFont="1" applyNumberFormat="1">
      <alignment vertical="top" wrapText="1"/>
    </xf>
    <xf numFmtId="0" fontId="38" fillId="0" borderId="0" xfId="0" applyFont="1" applyNumberFormat="1"/>
    <xf numFmtId="0" fontId="68" fillId="0" borderId="0" xfId="0" applyFont="1" applyNumberFormat="1">
      <alignment vertical="center" wrapText="1"/>
    </xf>
    <xf numFmtId="0" fontId="96" fillId="0" borderId="0" xfId="0" applyFont="1" applyNumberFormat="1">
      <alignment horizontal="left" vertical="center" wrapText="1"/>
    </xf>
    <xf numFmtId="0" fontId="68" fillId="0" borderId="0" xfId="0" applyFont="1" applyNumberFormat="1">
      <alignment horizontal="left" vertical="center" wrapText="1"/>
    </xf>
    <xf numFmtId="0" fontId="68" fillId="0" borderId="0" xfId="0" applyFont="1" applyNumberFormat="1">
      <alignment vertical="center" wrapText="1"/>
    </xf>
    <xf numFmtId="0" fontId="40" fillId="0" borderId="0" xfId="0" applyFont="1" applyNumberFormat="1">
      <alignment horizontal="center" vertical="center" wrapText="1"/>
    </xf>
    <xf numFmtId="0" fontId="40"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horizontal="left" vertical="center" wrapText="1"/>
    </xf>
    <xf numFmtId="0" fontId="23" fillId="0" borderId="0" xfId="0" applyFont="1" applyNumberFormat="1">
      <alignment horizontal="left" vertical="top" indent="1"/>
    </xf>
    <xf numFmtId="49" fontId="71" fillId="0" borderId="0" xfId="0" applyFont="1" applyNumberFormat="1">
      <alignment vertical="top"/>
    </xf>
    <xf numFmtId="49" fontId="23" fillId="0" borderId="0" xfId="0" applyFont="1" applyNumberFormat="1">
      <alignment vertical="center" wrapText="1"/>
    </xf>
    <xf numFmtId="49" fontId="54"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54" fillId="0" borderId="0" xfId="0" applyFont="1" applyNumberFormat="1">
      <alignment vertical="top"/>
    </xf>
    <xf numFmtId="49" fontId="0" fillId="0" borderId="0" xfId="0" applyFont="1" applyNumberFormat="1">
      <alignment vertical="top"/>
    </xf>
    <xf numFmtId="0" fontId="65" fillId="0" borderId="0" xfId="0" applyFont="1" applyNumberFormat="1">
      <alignment vertical="center" wrapText="1"/>
    </xf>
    <xf numFmtId="0" fontId="96" fillId="0" borderId="0" xfId="0" applyFont="1" applyNumberFormat="1">
      <alignment horizontal="lef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3" fillId="0" borderId="0" xfId="0" applyFont="1" applyNumberFormat="1">
      <alignment vertical="center" wrapText="1"/>
    </xf>
    <xf numFmtId="0" fontId="42" fillId="37" borderId="0" xfId="0" applyFont="1" applyFill="1" applyNumberFormat="1">
      <alignment vertical="center"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36" fillId="37" borderId="0" xfId="0" applyFont="1" applyFill="1" applyNumberFormat="1">
      <alignment vertical="center" wrapText="1"/>
    </xf>
    <xf numFmtId="0" fontId="101"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23" fillId="37" borderId="28" xfId="0" applyFont="1" applyFill="1" applyBorder="1" applyNumberFormat="1">
      <alignment horizontal="right" vertical="center" wrapText="1" indent="1"/>
    </xf>
    <xf numFmtId="0" fontId="0" fillId="38" borderId="14" xfId="0" applyFont="1" applyFill="1" applyBorder="1" applyNumberFormat="1">
      <alignment horizontal="left" vertical="center" wrapText="1" indent="1"/>
    </xf>
    <xf numFmtId="14" fontId="96" fillId="37" borderId="0" xfId="0" applyFont="1" applyFill="1" applyNumberFormat="1">
      <alignment horizontal="left"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23" fillId="37" borderId="0" xfId="0" applyFont="1" applyFill="1" applyNumberFormat="1">
      <alignment horizontal="center" vertical="center" wrapText="1"/>
    </xf>
    <xf numFmtId="0" fontId="93" fillId="0" borderId="0" xfId="0" applyFont="1" applyNumberFormat="1">
      <alignment horizontal="center" vertical="center" wrapText="1"/>
    </xf>
    <xf numFmtId="0" fontId="23" fillId="0" borderId="0" xfId="0" applyFont="1" applyNumberFormat="1">
      <alignment vertical="center" wrapText="1"/>
    </xf>
    <xf numFmtId="0" fontId="41" fillId="0" borderId="0" xfId="0" applyFont="1" applyNumberFormat="1">
      <alignment vertical="center" wrapText="1"/>
    </xf>
    <xf numFmtId="0" fontId="42" fillId="37" borderId="0" xfId="0" applyFont="1" applyFill="1" applyNumberFormat="1">
      <alignment vertical="center" wrapText="1"/>
    </xf>
    <xf numFmtId="0" fontId="23" fillId="37" borderId="28" xfId="0" applyFont="1" applyFill="1" applyBorder="1" applyNumberFormat="1">
      <alignment horizontal="right" vertical="center" wrapText="1" indent="1"/>
    </xf>
    <xf numFmtId="0" fontId="23" fillId="42" borderId="14" xfId="0" applyFont="1" applyFill="1" applyBorder="1" applyNumberFormat="1">
      <alignment horizontal="left" vertical="top" wrapText="1" indent="1"/>
      <protection locked="0"/>
    </xf>
    <xf numFmtId="0" fontId="23" fillId="0" borderId="0" xfId="0" applyFont="1" applyNumberFormat="1">
      <alignment horizontal="left" vertical="center" wrapText="1"/>
    </xf>
    <xf numFmtId="0" fontId="54" fillId="0" borderId="0" xfId="0" applyFont="1" applyNumberFormat="1">
      <alignment vertical="center" wrapText="1"/>
    </xf>
    <xf numFmtId="0" fontId="65"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14" fontId="98" fillId="0" borderId="14" xfId="0" applyFont="1" applyBorder="1" applyNumberFormat="1">
      <alignment horizontal="center" vertical="center" wrapText="1"/>
    </xf>
    <xf numFmtId="167" fontId="0" fillId="42" borderId="14" xfId="0" applyFont="1" applyFill="1" applyBorder="1" applyNumberFormat="1">
      <alignment horizontal="left" vertical="center" wrapText="1" indent="1"/>
      <protection locked="0"/>
    </xf>
    <xf numFmtId="0" fontId="34" fillId="0" borderId="0" xfId="0" applyFont="1" applyNumberFormat="1">
      <alignment horizontal="left" vertical="center" indent="1"/>
    </xf>
    <xf numFmtId="0" fontId="23" fillId="37" borderId="0" xfId="0" applyFont="1" applyFill="1" applyNumberFormat="1">
      <alignment vertical="center" wrapText="1"/>
    </xf>
    <xf numFmtId="14" fontId="98" fillId="0" borderId="14" xfId="0" applyFont="1" applyBorder="1" applyNumberFormat="1">
      <alignment horizontal="left" vertical="center" wrapText="1"/>
    </xf>
    <xf numFmtId="49" fontId="23" fillId="37" borderId="28" xfId="0" applyFont="1" applyFill="1" applyBorder="1" applyNumberFormat="1">
      <alignment horizontal="right" vertical="center" wrapText="1" indent="1"/>
    </xf>
    <xf numFmtId="167" fontId="0" fillId="42" borderId="14" xfId="0" applyFont="1" applyFill="1" applyBorder="1" applyNumberFormat="1">
      <alignment horizontal="left" vertical="center" wrapText="1" indent="1"/>
      <protection locked="0"/>
    </xf>
    <xf numFmtId="49" fontId="54" fillId="0" borderId="0" xfId="0" applyFont="1" applyNumberFormat="1">
      <alignment vertical="center" wrapText="1"/>
    </xf>
    <xf numFmtId="0" fontId="0" fillId="42" borderId="14"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167" fontId="0" fillId="0" borderId="14" xfId="0" applyFont="1" applyBorder="1" applyNumberFormat="1">
      <alignment horizontal="left" vertical="center" wrapText="1" indent="1"/>
    </xf>
    <xf numFmtId="0" fontId="0" fillId="37" borderId="0" xfId="0" applyFont="1" applyFill="1" applyNumberFormat="1">
      <alignment horizontal="right" vertical="center" wrapText="1" indent="1"/>
    </xf>
    <xf numFmtId="0" fontId="101" fillId="0" borderId="0" xfId="0" applyFont="1" applyNumberFormat="1">
      <alignment horizontal="left" vertical="center" wrapText="1"/>
    </xf>
    <xf numFmtId="0" fontId="23" fillId="37" borderId="0" xfId="0" applyFont="1" applyFill="1" applyNumberFormat="1">
      <alignment horizontal="right" vertical="center" wrapText="1" indent="1"/>
    </xf>
    <xf numFmtId="0" fontId="23" fillId="0" borderId="0" xfId="0" applyFont="1" applyNumberFormat="1">
      <alignment horizontal="center" vertical="center" wrapText="1"/>
    </xf>
    <xf numFmtId="0" fontId="23" fillId="37" borderId="0" xfId="0" applyFont="1" applyFill="1" applyNumberFormat="1">
      <alignment horizontal="center" vertical="center" wrapText="1"/>
    </xf>
    <xf numFmtId="0" fontId="0" fillId="37" borderId="0" xfId="0" applyFont="1" applyFill="1" applyNumberFormat="1">
      <alignment horizontal="left" vertical="center" wrapText="1" indent="1"/>
    </xf>
    <xf numFmtId="49" fontId="23" fillId="0" borderId="14" xfId="0" applyFont="1" applyBorder="1" applyNumberFormat="1">
      <alignment horizontal="left" vertical="center" wrapText="1" indent="1"/>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49" fontId="23" fillId="38" borderId="14" xfId="0" applyFont="1" applyFill="1" applyBorder="1" applyNumberFormat="1">
      <alignment horizontal="left" vertical="center" wrapText="1" indent="1"/>
    </xf>
    <xf numFmtId="14" fontId="23" fillId="37" borderId="0" xfId="0" applyFont="1" applyFill="1" applyNumberFormat="1">
      <alignment horizontal="center" vertical="center" wrapText="1"/>
    </xf>
    <xf numFmtId="0" fontId="0" fillId="37" borderId="28" xfId="0" applyFont="1" applyFill="1" applyBorder="1" applyNumberFormat="1">
      <alignment horizontal="right" vertical="center" wrapText="1" indent="1"/>
    </xf>
    <xf numFmtId="0" fontId="23" fillId="0" borderId="0" xfId="0" applyFont="1" applyNumberFormat="1">
      <alignment vertical="center"/>
    </xf>
    <xf numFmtId="14" fontId="23" fillId="37" borderId="0" xfId="0" applyFont="1" applyFill="1" applyNumberFormat="1">
      <alignment horizontal="left" vertical="center" wrapText="1"/>
    </xf>
    <xf numFmtId="0" fontId="23" fillId="42" borderId="14" xfId="0" applyFont="1" applyFill="1" applyBorder="1" applyNumberFormat="1">
      <alignment horizontal="left" vertical="center" wrapText="1" indent="1"/>
      <protection locked="0"/>
    </xf>
    <xf numFmtId="0" fontId="23" fillId="42" borderId="14" xfId="0" applyFont="1" applyFill="1" applyBorder="1" applyNumberFormat="1">
      <alignment horizontal="left" vertical="center" wrapText="1" indent="1"/>
      <protection locked="0"/>
    </xf>
    <xf numFmtId="0" fontId="66" fillId="37" borderId="0" xfId="0" applyFont="1" applyFill="1" applyNumberFormat="1">
      <alignment horizontal="right" vertical="center" wrapText="1" indent="1"/>
    </xf>
    <xf numFmtId="0" fontId="66" fillId="37" borderId="0" xfId="0" applyFont="1" applyFill="1" applyNumberFormat="1">
      <alignment horizontal="left" vertical="center" wrapText="1" indent="1"/>
    </xf>
    <xf numFmtId="49" fontId="23" fillId="43" borderId="14" xfId="0" applyFont="1" applyFill="1" applyBorder="1" applyNumberFormat="1">
      <alignment horizontal="left" vertical="center" wrapText="1" inden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40" fillId="0" borderId="0" xfId="0" applyFont="1" applyNumberFormat="1">
      <alignment horizontal="left" vertical="center" wrapText="1"/>
    </xf>
    <xf numFmtId="49" fontId="32" fillId="0" borderId="14" xfId="0" applyFont="1" applyBorder="1" applyNumberFormat="1">
      <alignment horizontal="left" vertical="center" wrapText="1" indent="1"/>
    </xf>
    <xf numFmtId="0" fontId="40" fillId="0" borderId="0" xfId="0" applyFont="1" applyNumberFormat="1">
      <alignment horizontal="left" vertical="center" wrapText="1"/>
    </xf>
    <xf numFmtId="0" fontId="23" fillId="0" borderId="0" xfId="0" applyFont="1" applyNumberFormat="1">
      <alignment vertical="center" wrapText="1"/>
    </xf>
    <xf numFmtId="14" fontId="97" fillId="0" borderId="0" xfId="0" applyFont="1" applyNumberFormat="1">
      <alignment horizontal="center" vertical="center" wrapText="1"/>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4" fillId="0" borderId="0" xfId="0" applyFont="1" applyNumberFormat="1">
      <alignment vertical="center" wrapText="1"/>
    </xf>
    <xf numFmtId="0" fontId="88" fillId="0" borderId="0" xfId="0" applyFont="1" applyNumberFormat="1">
      <alignment vertical="center" wrapText="1"/>
    </xf>
    <xf numFmtId="0" fontId="23" fillId="43" borderId="14" xfId="0" applyFont="1" applyFill="1" applyBorder="1" applyNumberFormat="1">
      <alignment horizontal="left" vertical="center" wrapText="1" indent="1"/>
    </xf>
    <xf numFmtId="167" fontId="0" fillId="0" borderId="13" xfId="0" applyFont="1" applyBorder="1" applyNumberFormat="1">
      <alignment horizontal="left" vertical="center" wrapText="1" indent="1"/>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xf>
    <xf numFmtId="0" fontId="96" fillId="0" borderId="0" xfId="0" applyFont="1" applyNumberFormat="1">
      <alignment horizontal="left" vertical="center" wrapText="1"/>
    </xf>
    <xf numFmtId="49" fontId="40" fillId="0" borderId="0" xfId="0" applyFont="1" applyNumberFormat="1">
      <alignment horizontal="left" vertical="center" wrapText="1"/>
    </xf>
    <xf numFmtId="49" fontId="42" fillId="37" borderId="0" xfId="0" applyFont="1" applyFill="1" applyNumberFormat="1">
      <alignment horizontal="center" vertical="center" wrapText="1"/>
    </xf>
    <xf numFmtId="0" fontId="23" fillId="0" borderId="0" xfId="0" applyFont="1" applyNumberFormat="1">
      <alignment horizontal="left" vertical="center" wrapText="1" indent="4"/>
    </xf>
    <xf numFmtId="0" fontId="23" fillId="0" borderId="0" xfId="0" applyFont="1" applyNumberFormat="1">
      <alignment horizontal="left" vertical="center" wrapText="1" indent="1"/>
    </xf>
    <xf numFmtId="49" fontId="23" fillId="42" borderId="14"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3" fillId="37" borderId="0" xfId="0" applyFont="1" applyFill="1" applyNumberFormat="1">
      <alignment horizontal="right" vertical="center" wrapText="1" indent="1"/>
    </xf>
    <xf numFmtId="49" fontId="23" fillId="0" borderId="0" xfId="0" applyFont="1" applyNumberFormat="1">
      <alignment horizontal="center" vertical="center" wrapText="1"/>
    </xf>
    <xf numFmtId="49" fontId="0" fillId="37" borderId="0" xfId="0" applyFont="1" applyFill="1" applyNumberFormat="1">
      <alignment horizontal="right" vertical="center" wrapText="1" indent="1"/>
    </xf>
    <xf numFmtId="0" fontId="36" fillId="0" borderId="0" xfId="0" applyFont="1" applyNumberFormat="1">
      <alignment vertical="top" wrapText="1"/>
    </xf>
    <xf numFmtId="0" fontId="96" fillId="0" borderId="0" xfId="0" applyFont="1" applyNumberFormat="1">
      <alignment horizontal="left" vertical="center" wrapText="1"/>
    </xf>
    <xf numFmtId="0" fontId="40" fillId="0" borderId="0" xfId="0" applyFont="1" applyNumberFormat="1">
      <alignment horizontal="left" vertical="center" wrapText="1"/>
    </xf>
    <xf numFmtId="0" fontId="41"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center" vertical="center" wrapText="1"/>
    </xf>
    <xf numFmtId="0" fontId="40" fillId="0" borderId="0" xfId="0" applyFont="1" applyNumberFormat="1">
      <alignment horizontal="center" vertical="center" wrapText="1"/>
    </xf>
    <xf numFmtId="0" fontId="54" fillId="0" borderId="0" xfId="0" applyFont="1" applyNumberFormat="1">
      <alignment vertical="center" wrapText="1"/>
    </xf>
    <xf numFmtId="0" fontId="55" fillId="0" borderId="0" xfId="0" applyFont="1" applyNumberFormat="1">
      <alignment vertical="center" wrapText="1"/>
    </xf>
    <xf numFmtId="0" fontId="77" fillId="0" borderId="0" xfId="0" applyFont="1" applyNumberFormat="1">
      <alignment vertical="center" wrapText="1"/>
    </xf>
    <xf numFmtId="0" fontId="55"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center" vertical="center" wrapText="1"/>
    </xf>
    <xf numFmtId="0" fontId="55" fillId="0" borderId="0" xfId="0" applyFont="1" applyNumberFormat="1">
      <alignment horizontal="left" vertical="center" wrapText="1" indent="1"/>
    </xf>
    <xf numFmtId="0" fontId="55" fillId="0" borderId="0" xfId="0" applyFont="1" applyNumberFormat="1">
      <alignment horizontal="left" vertical="center" indent="1"/>
    </xf>
    <xf numFmtId="0" fontId="61" fillId="0" borderId="0" xfId="0" applyFont="1" applyNumberFormat="1">
      <alignment vertical="center" wrapText="1"/>
    </xf>
    <xf numFmtId="0" fontId="23"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50" fillId="0" borderId="0" xfId="0" applyFont="1" applyNumberFormat="1">
      <alignment vertical="center" wrapText="1"/>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17" xfId="0" applyFont="1" applyBorder="1" applyNumberFormat="1">
      <alignment horizontal="left" vertical="center" wrapText="1" inden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23" fillId="0" borderId="0" xfId="0" applyFont="1" applyNumberFormat="1">
      <alignment horizontal="center" vertical="center" wrapText="1"/>
    </xf>
    <xf numFmtId="4" fontId="23"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4" xfId="0" applyFont="1" applyBorder="1" applyNumberFormat="1">
      <alignment horizontal="center" vertical="center" wrapText="1"/>
    </xf>
    <xf numFmtId="0" fontId="44" fillId="0" borderId="0" xfId="0" applyFont="1" applyNumberFormat="1">
      <alignment horizontal="center" vertical="center" wrapText="1"/>
    </xf>
    <xf numFmtId="49" fontId="44" fillId="0" borderId="17" xfId="0" applyFont="1" applyBorder="1" applyNumberFormat="1">
      <alignment horizontal="center" vertical="center" wrapText="1"/>
    </xf>
    <xf numFmtId="49" fontId="44" fillId="0" borderId="17" xfId="0" applyFont="1" applyBorder="1" applyNumberFormat="1">
      <alignment horizontal="center" vertical="center" wrapText="1"/>
    </xf>
    <xf numFmtId="0" fontId="54" fillId="0" borderId="0" xfId="0" applyFont="1" applyNumberFormat="1">
      <alignment vertical="center"/>
    </xf>
    <xf numFmtId="0" fontId="54" fillId="0" borderId="0" xfId="0" applyFont="1" applyNumberFormat="1">
      <alignment vertical="center"/>
    </xf>
    <xf numFmtId="0" fontId="59" fillId="0" borderId="0" xfId="0" applyFont="1" applyNumberFormat="1">
      <alignment vertical="center"/>
    </xf>
    <xf numFmtId="49" fontId="23" fillId="40" borderId="21" xfId="0" applyFont="1" applyFill="1" applyBorder="1" applyNumberFormat="1">
      <alignment horizontal="center" vertical="center" wrapText="1"/>
    </xf>
    <xf numFmtId="49" fontId="54" fillId="40" borderId="21" xfId="0" applyFont="1" applyFill="1" applyBorder="1" applyNumberFormat="1">
      <alignment horizontal="left" vertical="center" wrapText="1"/>
    </xf>
    <xf numFmtId="49" fontId="54" fillId="40" borderId="22" xfId="0" applyFont="1" applyFill="1" applyBorder="1" applyNumberFormat="1">
      <alignment horizontal="left" vertical="center" wrapText="1"/>
    </xf>
    <xf numFmtId="0" fontId="55" fillId="0" borderId="24" xfId="0" applyFont="1" applyBorder="1" applyNumberFormat="1">
      <alignment vertical="center"/>
    </xf>
    <xf numFmtId="0" fontId="50" fillId="0" borderId="0" xfId="0" applyFont="1" applyNumberFormat="1">
      <alignment vertical="center" wrapText="1"/>
    </xf>
    <xf numFmtId="0" fontId="23" fillId="0" borderId="0" xfId="0" applyFont="1" applyNumberFormat="1">
      <alignment horizontal="center"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9" fontId="54" fillId="0" borderId="14" xfId="0" applyFont="1" applyBorder="1" applyNumberFormat="1">
      <alignment horizontal="left" vertical="center" wrapText="1"/>
    </xf>
    <xf numFmtId="0" fontId="55" fillId="0" borderId="0" xfId="0" applyFont="1" applyNumberFormat="1">
      <alignment vertical="center"/>
    </xf>
    <xf numFmtId="0" fontId="55" fillId="0" borderId="0" xfId="0" applyFont="1" applyNumberFormat="1">
      <alignment vertical="center"/>
    </xf>
    <xf numFmtId="49" fontId="0" fillId="0" borderId="0" xfId="0" applyFont="1" applyNumberFormat="1">
      <alignment vertical="top"/>
    </xf>
    <xf numFmtId="0" fontId="44" fillId="0" borderId="26" xfId="0" applyFont="1" applyBorder="1" applyNumberFormat="1">
      <alignment vertical="top" wrapText="1"/>
    </xf>
    <xf numFmtId="0" fontId="23" fillId="0" borderId="25" xfId="0" applyFont="1" applyBorder="1" applyNumberFormat="1">
      <alignment horizontal="center" vertical="center" wrapText="1"/>
    </xf>
    <xf numFmtId="0" fontId="55" fillId="0" borderId="25" xfId="0" applyFont="1" applyBorder="1" applyNumberFormat="1">
      <alignment horizontal="center" vertical="center" wrapText="1"/>
    </xf>
    <xf numFmtId="14" fontId="23" fillId="43" borderId="25" xfId="0" applyFont="1" applyFill="1" applyBorder="1" applyNumberFormat="1">
      <alignment horizontal="left" vertical="center" wrapText="1" indent="1"/>
    </xf>
    <xf numFmtId="49" fontId="23" fillId="38" borderId="25" xfId="0" applyFont="1" applyFill="1" applyBorder="1" applyNumberFormat="1">
      <alignment horizontal="center" vertical="center" wrapText="1"/>
    </xf>
    <xf numFmtId="0" fontId="79" fillId="0" borderId="0" xfId="0" applyFont="1" applyNumberFormat="1">
      <alignment vertical="center" wrapText="1"/>
    </xf>
    <xf numFmtId="49" fontId="54" fillId="0" borderId="0" xfId="0" applyFont="1" applyNumberFormat="1">
      <alignment vertical="top"/>
    </xf>
    <xf numFmtId="49" fontId="55" fillId="0" borderId="0" xfId="0" applyFont="1" applyNumberFormat="1">
      <alignment vertical="top"/>
    </xf>
    <xf numFmtId="0" fontId="0" fillId="0" borderId="0" xfId="0" applyFont="1" applyNumberFormat="1">
      <alignment vertical="center" wrapText="1"/>
    </xf>
    <xf numFmtId="0" fontId="44" fillId="0" borderId="0" xfId="0" applyFont="1" applyNumberFormat="1">
      <alignment vertical="top" wrapText="1"/>
    </xf>
    <xf numFmtId="49" fontId="36" fillId="40" borderId="16" xfId="0" applyFont="1" applyFill="1" applyBorder="1" applyNumberFormat="1">
      <alignment horizontal="right" vertical="center" wrapText="1"/>
    </xf>
    <xf numFmtId="49" fontId="36" fillId="40" borderId="17"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0" fillId="40" borderId="17" xfId="0" applyFont="1" applyFill="1" applyBorder="1" applyNumberFormat="1">
      <alignment horizontal="right" vertical="center" wrapText="1"/>
    </xf>
    <xf numFmtId="49" fontId="0" fillId="40" borderId="15" xfId="0" applyFont="1" applyFill="1" applyBorder="1" applyNumberFormat="1">
      <alignment horizontal="right" vertical="center" wrapText="1"/>
    </xf>
    <xf numFmtId="49" fontId="23" fillId="40" borderId="16"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48" fillId="40" borderId="17" xfId="0" applyFont="1" applyFill="1" applyBorder="1" applyNumberFormat="1">
      <alignment horizontal="left" vertical="center"/>
    </xf>
    <xf numFmtId="49" fontId="23" fillId="40" borderId="15" xfId="0" applyFont="1" applyFill="1" applyBorder="1" applyNumberFormat="1">
      <alignment horizontal="right" vertical="center" wrapText="1"/>
    </xf>
    <xf numFmtId="0" fontId="45" fillId="0" borderId="0" xfId="0" applyFont="1" applyNumberFormat="1">
      <alignment horizontal="center" vertical="center" wrapText="1"/>
    </xf>
    <xf numFmtId="0" fontId="23" fillId="0" borderId="23" xfId="0" applyFont="1" applyBorder="1" applyNumberFormat="1">
      <alignment vertical="center" wrapText="1"/>
    </xf>
    <xf numFmtId="0" fontId="23" fillId="0" borderId="0" xfId="0" applyFont="1" applyNumberFormat="1">
      <alignment vertical="center" wrapText="1"/>
    </xf>
    <xf numFmtId="0" fontId="53" fillId="0" borderId="0" xfId="0" applyFont="1" applyNumberFormat="1">
      <alignment vertical="center" wrapText="1"/>
    </xf>
    <xf numFmtId="0" fontId="99" fillId="0" borderId="0" xfId="0" applyFont="1" applyNumberFormat="1">
      <alignment vertical="center" wrapText="1"/>
    </xf>
    <xf numFmtId="0" fontId="57" fillId="0" borderId="0" xfId="0" applyFont="1" applyNumberFormat="1">
      <alignment horizontal="center" vertical="center" wrapText="1"/>
    </xf>
    <xf numFmtId="49" fontId="0"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0" xfId="0" applyFont="1" applyNumberFormat="1">
      <alignment vertical="center"/>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54" fillId="0" borderId="0" xfId="0" applyFont="1" applyNumberFormat="1">
      <alignment vertical="center"/>
    </xf>
    <xf numFmtId="0" fontId="49" fillId="0" borderId="0" xfId="0" applyFont="1" applyNumberFormat="1">
      <alignment vertical="center"/>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49" fillId="0" borderId="0" xfId="0" applyFont="1" applyNumberFormat="1">
      <alignmen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7" fillId="0" borderId="0" xfId="0" applyFont="1" applyNumberFormat="1">
      <alignment vertical="center"/>
    </xf>
    <xf numFmtId="0" fontId="49" fillId="0" borderId="0" xfId="0" applyFont="1" applyNumberFormat="1">
      <alignment vertical="center"/>
    </xf>
    <xf numFmtId="0" fontId="23" fillId="44" borderId="0" xfId="0" applyFont="1" applyFill="1" applyNumberFormat="1">
      <alignment horizontal="center" vertical="center" wrapText="1"/>
    </xf>
    <xf numFmtId="0" fontId="23" fillId="0" borderId="0" xfId="0" applyFont="1" applyNumberFormat="1">
      <alignment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80" fillId="0" borderId="14" xfId="0" applyFont="1" applyBorder="1" applyNumberFormat="1">
      <alignment horizontal="center" vertical="center" wrapText="1"/>
    </xf>
    <xf numFmtId="0" fontId="23" fillId="0" borderId="0" xfId="0" applyFont="1" applyNumberFormat="1">
      <alignment horizontal="center" vertical="center" wrapText="1"/>
    </xf>
    <xf numFmtId="0" fontId="87"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54" fillId="0" borderId="24" xfId="0" applyFont="1" applyBorder="1" applyNumberFormat="1">
      <alignment vertical="center"/>
    </xf>
    <xf numFmtId="0" fontId="0" fillId="0" borderId="0" xfId="0" applyFont="1" applyNumberFormat="1">
      <alignment vertical="center"/>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54" fillId="0" borderId="24" xfId="0" applyFont="1" applyBorder="1" applyNumberFormat="1">
      <alignment vertical="center"/>
    </xf>
    <xf numFmtId="0" fontId="55"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43" xfId="0" applyFont="1" applyFill="1" applyBorder="1" applyNumberFormat="1">
      <alignment horizontal="center" vertical="center" wrapText="1"/>
    </xf>
    <xf numFmtId="49" fontId="0" fillId="40" borderId="17" xfId="0" applyFont="1" applyFill="1" applyBorder="1" applyNumberFormat="1">
      <alignment horizontal="left" vertical="center"/>
    </xf>
    <xf numFmtId="0" fontId="0" fillId="40" borderId="15"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5" xfId="0" applyFont="1" applyBorder="1" applyNumberFormat="1">
      <alignment horizontal="center" vertical="center" wrapText="1"/>
    </xf>
    <xf numFmtId="0" fontId="23" fillId="0" borderId="75"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0" borderId="14" xfId="0" applyFont="1" applyBorder="1" applyNumberFormat="1">
      <alignment horizontal="left" vertical="center" wrapText="1" indent="1"/>
    </xf>
    <xf numFmtId="0" fontId="54" fillId="0" borderId="24" xfId="0" applyFont="1" applyBorder="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1"/>
      <protection locked="0"/>
    </xf>
    <xf numFmtId="49" fontId="48" fillId="40" borderId="15" xfId="0" applyFont="1" applyFill="1" applyBorder="1" applyNumberFormat="1">
      <alignment horizontal="left" vertical="center" indent="1"/>
    </xf>
    <xf numFmtId="0" fontId="23" fillId="43" borderId="25" xfId="0" applyFont="1" applyFill="1" applyBorder="1" applyNumberFormat="1">
      <alignment horizontal="left" vertical="center" wrapText="1" indent="2"/>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0" fontId="80" fillId="44" borderId="0" xfId="0" applyFont="1" applyFill="1" applyNumberFormat="1">
      <alignment vertical="top"/>
    </xf>
    <xf numFmtId="49" fontId="23" fillId="0" borderId="0" xfId="0" applyFont="1" applyNumberFormat="1">
      <alignment vertical="center" wrapText="1"/>
    </xf>
    <xf numFmtId="49" fontId="23" fillId="0" borderId="0" xfId="0" applyFont="1" applyNumberFormat="1">
      <alignment horizontal="center" vertical="center" wrapText="1"/>
    </xf>
    <xf numFmtId="49" fontId="48" fillId="40" borderId="17" xfId="0" applyFont="1" applyFill="1" applyBorder="1" applyNumberFormat="1">
      <alignment horizontal="left" vertical="center" indent="2"/>
    </xf>
    <xf numFmtId="0" fontId="0" fillId="0" borderId="0" xfId="0" applyFont="1" applyNumberFormat="1">
      <alignment vertical="center"/>
    </xf>
    <xf numFmtId="0" fontId="54"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5" fillId="0" borderId="0" xfId="0" applyFont="1" applyNumberFormat="1">
      <alignment vertical="center"/>
    </xf>
    <xf numFmtId="0" fontId="49" fillId="0" borderId="0" xfId="0" applyFont="1" applyNumberFormat="1">
      <alignment vertical="center"/>
    </xf>
    <xf numFmtId="0" fontId="56" fillId="0" borderId="0" xfId="0" applyFont="1" applyNumberFormat="1">
      <alignment vertical="center"/>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69"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113" fillId="0" borderId="0" xfId="0" applyFont="1" applyNumberFormat="1">
      <alignment vertical="center"/>
    </xf>
    <xf numFmtId="0" fontId="23" fillId="0" borderId="29" xfId="0" applyFont="1" applyBorder="1" applyNumberFormat="1">
      <alignment horizontal="left" vertical="center" indent="1"/>
    </xf>
    <xf numFmtId="0" fontId="72" fillId="0" borderId="0" xfId="0" applyFont="1" applyNumberFormat="1">
      <alignment vertical="center"/>
    </xf>
    <xf numFmtId="0" fontId="55" fillId="0" borderId="0" xfId="0" applyFont="1" applyNumberFormat="1">
      <alignment vertical="center"/>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72" fillId="0" borderId="0" xfId="0" applyFont="1" applyNumberFormat="1">
      <alignment vertical="center"/>
    </xf>
    <xf numFmtId="0" fontId="23" fillId="0" borderId="0" xfId="0" applyFont="1" applyNumberFormat="1">
      <alignment vertical="center"/>
    </xf>
    <xf numFmtId="0" fontId="37" fillId="0" borderId="0" xfId="0" applyFont="1" applyNumberFormat="1">
      <alignment vertical="center"/>
    </xf>
    <xf numFmtId="0" fontId="49" fillId="0" borderId="0" xfId="0" applyFont="1" applyNumberFormat="1">
      <alignment vertical="center"/>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xf>
    <xf numFmtId="0" fontId="55" fillId="0" borderId="0" xfId="0" applyFont="1" applyNumberFormat="1">
      <alignment vertical="center"/>
    </xf>
    <xf numFmtId="49" fontId="55" fillId="37" borderId="0" xfId="0" applyFont="1" applyFill="1" applyNumberFormat="1">
      <alignment horizontal="center" vertical="center" wrapText="1"/>
    </xf>
    <xf numFmtId="49" fontId="55" fillId="37" borderId="29" xfId="0" applyFont="1" applyFill="1" applyBorder="1" applyNumberFormat="1">
      <alignment horizontal="center" vertical="center" wrapText="1"/>
    </xf>
    <xf numFmtId="0" fontId="45" fillId="0" borderId="0" xfId="0" applyFont="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4" xfId="0" applyFont="1" applyBorder="1" applyNumberFormat="1">
      <alignment horizontal="center" vertical="top"/>
    </xf>
    <xf numFmtId="0" fontId="23" fillId="0" borderId="14" xfId="0" applyFont="1" applyBorder="1" applyNumberFormat="1">
      <alignment horizontal="left" vertical="top" wrapText="1"/>
    </xf>
    <xf numFmtId="0" fontId="23" fillId="43" borderId="19"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22" xfId="0" applyFont="1" applyBorder="1" applyNumberFormat="1">
      <alignment horizontal="left" vertical="center" wrapText="1"/>
    </xf>
    <xf numFmtId="0" fontId="23" fillId="0" borderId="0" xfId="0" applyFont="1" applyNumberFormat="1">
      <alignment horizontal="left" vertical="center" indent="1"/>
    </xf>
    <xf numFmtId="0" fontId="0" fillId="0" borderId="0" xfId="0" applyFont="1" applyNumberFormat="1">
      <alignment vertical="center"/>
    </xf>
    <xf numFmtId="0" fontId="23" fillId="43" borderId="38" xfId="0" applyFont="1" applyFill="1" applyBorder="1" applyNumberFormat="1">
      <alignment horizontal="center" vertical="top" wrapText="1"/>
    </xf>
    <xf numFmtId="0" fontId="0" fillId="0" borderId="24" xfId="0" applyFont="1" applyBorder="1" applyNumberFormat="1">
      <alignment horizontal="center" vertical="center"/>
    </xf>
    <xf numFmtId="0" fontId="0" fillId="0" borderId="0" xfId="0" applyFont="1" applyNumberFormat="1">
      <alignment horizontal="center" vertical="center"/>
    </xf>
    <xf numFmtId="49" fontId="23" fillId="0" borderId="0" xfId="0" applyFont="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horizontal="left" vertical="top"/>
    </xf>
    <xf numFmtId="0" fontId="23" fillId="43" borderId="25" xfId="0" applyFont="1" applyFill="1" applyBorder="1" applyNumberFormat="1">
      <alignment horizontal="center" vertical="top" wrapText="1"/>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0" fontId="0" fillId="0" borderId="0" xfId="0" applyFont="1" applyNumberFormat="1">
      <alignment vertical="center"/>
    </xf>
    <xf numFmtId="49" fontId="23"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9" xfId="0" applyFont="1" applyBorder="1" applyNumberFormat="1">
      <alignment horizontal="center" vertical="top"/>
    </xf>
    <xf numFmtId="0" fontId="23" fillId="0" borderId="19" xfId="0" applyFont="1" applyBorder="1" applyNumberFormat="1">
      <alignment horizontal="left" vertical="top" wrapText="1"/>
    </xf>
    <xf numFmtId="0" fontId="0" fillId="0" borderId="38" xfId="0" applyFont="1" applyBorder="1" applyNumberFormat="1">
      <alignment horizontal="center" vertical="top"/>
    </xf>
    <xf numFmtId="0" fontId="23" fillId="0" borderId="38" xfId="0" applyFont="1" applyBorder="1" applyNumberFormat="1">
      <alignment horizontal="left" vertical="top" wrapText="1"/>
    </xf>
    <xf numFmtId="0" fontId="0" fillId="0" borderId="25" xfId="0" applyFont="1" applyBorder="1" applyNumberFormat="1">
      <alignment horizontal="center" vertical="top"/>
    </xf>
    <xf numFmtId="0" fontId="23" fillId="0" borderId="25" xfId="0" applyFont="1" applyBorder="1" applyNumberFormat="1">
      <alignment horizontal="left" vertical="top"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43" borderId="14" xfId="0" applyFont="1" applyFill="1" applyBorder="1" applyNumberFormat="1">
      <alignment horizontal="left" vertical="top" wrapText="1"/>
    </xf>
    <xf numFmtId="0" fontId="0"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49" fontId="23" fillId="43" borderId="19"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0" fillId="37" borderId="14" xfId="0" applyFont="1" applyFill="1" applyBorder="1" applyNumberFormat="1">
      <alignment horizontal="left" vertical="center" wrapText="1"/>
    </xf>
    <xf numFmtId="49" fontId="0" fillId="37" borderId="14" xfId="0" applyFont="1" applyFill="1" applyBorder="1" applyNumberFormat="1">
      <alignment horizontal="left" vertical="center" wrapText="1"/>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49" fontId="23" fillId="43" borderId="38" xfId="0" applyFont="1" applyFill="1" applyBorder="1" applyNumberFormat="1">
      <alignment horizontal="center"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49" fontId="0" fillId="43" borderId="14" xfId="0" applyFont="1" applyFill="1" applyBorder="1" applyNumberFormat="1">
      <alignment horizontal="left" vertical="top"/>
    </xf>
    <xf numFmtId="49" fontId="0" fillId="0" borderId="14" xfId="0" applyFont="1" applyBorder="1" applyNumberFormat="1">
      <alignment vertical="top"/>
    </xf>
    <xf numFmtId="49" fontId="0" fillId="39" borderId="14" xfId="0" applyFont="1" applyFill="1" applyBorder="1" applyNumberFormat="1">
      <alignment horizontal="left" vertical="top"/>
      <protection locked="0"/>
    </xf>
    <xf numFmtId="49" fontId="23" fillId="43" borderId="25" xfId="0" applyFont="1" applyFill="1" applyBorder="1" applyNumberFormat="1">
      <alignment horizontal="center" vertical="center" wrapText="1"/>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31" xfId="0" applyFont="1" applyFill="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15" xfId="0" applyFont="1" applyFill="1" applyBorder="1" applyNumberFormat="1">
      <alignment horizontal="left" vertical="center"/>
    </xf>
    <xf numFmtId="49" fontId="0" fillId="0" borderId="0" xfId="0" applyFont="1" applyNumberFormat="1">
      <alignment vertical="center"/>
    </xf>
    <xf numFmtId="0" fontId="0" fillId="0" borderId="0" xfId="0" applyFont="1" applyNumberFormat="1">
      <alignment vertical="center"/>
    </xf>
    <xf numFmtId="0" fontId="45" fillId="0" borderId="0" xfId="0" applyFont="1" applyNumberFormat="1">
      <alignment horizontal="center" vertical="center" wrapText="1"/>
    </xf>
    <xf numFmtId="49" fontId="0" fillId="0" borderId="38" xfId="0" applyFont="1" applyBorder="1" applyNumberFormat="1">
      <alignment vertical="top"/>
    </xf>
    <xf numFmtId="49" fontId="0" fillId="0" borderId="38" xfId="0" applyFont="1" applyBorder="1" applyNumberFormat="1">
      <alignment horizontal="left" vertical="top"/>
    </xf>
    <xf numFmtId="0" fontId="23" fillId="43" borderId="38" xfId="0" applyFont="1" applyFill="1" applyBorder="1" applyNumberFormat="1">
      <alignment horizontal="center" vertical="top" wrapText="1"/>
    </xf>
    <xf numFmtId="49" fontId="0" fillId="43" borderId="38" xfId="0" applyFont="1" applyFill="1" applyBorder="1" applyNumberFormat="1">
      <alignment horizontal="left" vertical="top"/>
    </xf>
    <xf numFmtId="0" fontId="0"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49" fontId="23" fillId="43" borderId="19" xfId="0" applyFont="1" applyFill="1" applyBorder="1" applyNumberFormat="1">
      <alignment horizontal="center" vertical="center" wrapText="1"/>
    </xf>
    <xf numFmtId="0" fontId="0" fillId="37" borderId="14" xfId="0" applyFont="1" applyFill="1" applyBorder="1" applyNumberFormat="1">
      <alignment horizontal="left" vertical="center" wrapText="1"/>
    </xf>
    <xf numFmtId="49" fontId="0" fillId="42" borderId="14" xfId="0" applyFont="1" applyFill="1" applyBorder="1" applyNumberFormat="1">
      <alignment horizontal="left" vertical="center" wrapText="1"/>
      <protection locked="0"/>
    </xf>
    <xf numFmtId="49"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0" fontId="23" fillId="0" borderId="0" xfId="0" applyFont="1" applyNumberFormat="1">
      <alignment horizontal="left" vertical="center" indent="1"/>
    </xf>
    <xf numFmtId="0" fontId="0" fillId="0" borderId="0" xfId="0" applyFont="1" applyNumberFormat="1">
      <alignment horizontal="left" vertical="center" indent="1"/>
    </xf>
    <xf numFmtId="0" fontId="0" fillId="0" borderId="0" xfId="0" applyFont="1" applyNumberFormat="1">
      <alignment vertical="center"/>
    </xf>
    <xf numFmtId="49" fontId="23" fillId="43" borderId="38" xfId="0" applyFont="1" applyFill="1" applyBorder="1" applyNumberFormat="1">
      <alignment horizontal="center"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49" fontId="0" fillId="39" borderId="38" xfId="0" applyFont="1" applyFill="1" applyBorder="1" applyNumberFormat="1">
      <alignment vertical="top"/>
      <protection locked="0"/>
    </xf>
    <xf numFmtId="49" fontId="0" fillId="43" borderId="38" xfId="0" applyFont="1" applyFill="1" applyBorder="1" applyNumberFormat="1">
      <alignment horizontal="left" vertical="center" wrapText="1"/>
      <protection locked="0"/>
    </xf>
    <xf numFmtId="49" fontId="23" fillId="43" borderId="38" xfId="0" applyFont="1" applyFill="1" applyBorder="1" applyNumberFormat="1">
      <alignment horizontal="center" vertical="center" wrapText="1"/>
    </xf>
    <xf numFmtId="49" fontId="0" fillId="0" borderId="14" xfId="0" applyFont="1" applyBorder="1" applyNumberFormat="1">
      <alignment vertical="top"/>
    </xf>
    <xf numFmtId="49" fontId="0" fillId="39" borderId="14" xfId="0" applyFont="1" applyFill="1" applyBorder="1" applyNumberFormat="1">
      <alignment horizontal="left" vertical="top"/>
      <protection locked="0"/>
    </xf>
    <xf numFmtId="49" fontId="0" fillId="37" borderId="14" xfId="0" applyFont="1" applyFill="1" applyBorder="1" applyNumberFormat="1">
      <alignment horizontal="left" vertical="center" wrapText="1"/>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48" fillId="40" borderId="31" xfId="0" applyFont="1" applyFill="1" applyBorder="1" applyNumberFormat="1">
      <alignment horizontal="left" vertical="center"/>
    </xf>
    <xf numFmtId="0" fontId="48" fillId="40" borderId="15" xfId="0" applyFont="1" applyFill="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15" xfId="0" applyFont="1" applyFill="1" applyBorder="1" applyNumberFormat="1">
      <alignment horizontal="left" vertical="center"/>
    </xf>
    <xf numFmtId="0" fontId="0"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0" fontId="23" fillId="0" borderId="0" xfId="0" applyFont="1" applyNumberFormat="1">
      <alignment vertical="center"/>
    </xf>
    <xf numFmtId="49" fontId="55" fillId="0" borderId="0" xfId="0" applyFont="1" applyNumberFormat="1">
      <alignment vertical="top"/>
    </xf>
    <xf numFmtId="49" fontId="55" fillId="0" borderId="0" xfId="0" applyFont="1" applyNumberFormat="1">
      <alignment horizontal="center" vertical="center"/>
    </xf>
    <xf numFmtId="49" fontId="55" fillId="0" borderId="0" xfId="0" applyFont="1" applyNumberFormat="1">
      <alignment horizontal="center" vertical="center"/>
    </xf>
    <xf numFmtId="49" fontId="54" fillId="0" borderId="0" xfId="0" applyFont="1" applyNumberFormat="1">
      <alignment horizontal="center" vertical="center"/>
    </xf>
    <xf numFmtId="49" fontId="72"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21" xfId="0" applyFont="1" applyBorder="1" applyNumberFormat="1">
      <alignment horizontal="left" vertical="center" wrapText="1" indent="1"/>
    </xf>
    <xf numFmtId="0" fontId="22" fillId="0" borderId="0" xfId="0" applyFont="1" applyNumberFormat="1">
      <alignment horizontal="left" vertical="center" wrapText="1" indent="1"/>
    </xf>
    <xf numFmtId="0" fontId="50" fillId="0" borderId="0" xfId="0" applyFont="1" applyNumberFormat="1">
      <alignment vertical="center"/>
    </xf>
    <xf numFmtId="0" fontId="118" fillId="0" borderId="0" xfId="0" applyFont="1" applyNumberFormat="1">
      <alignment vertical="center" wrapText="1"/>
    </xf>
    <xf numFmtId="0" fontId="119" fillId="0" borderId="0" xfId="0" applyFont="1" applyNumberFormat="1">
      <alignment vertical="center" wrapText="1"/>
    </xf>
    <xf numFmtId="0" fontId="5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49" fontId="23" fillId="0" borderId="0" xfId="0" applyFont="1" applyNumberFormat="1">
      <alignment vertical="top"/>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xf>
    <xf numFmtId="49" fontId="23" fillId="0" borderId="39" xfId="0" applyFont="1" applyBorder="1" applyNumberFormat="1">
      <alignment vertical="center" wrapText="1"/>
    </xf>
    <xf numFmtId="0" fontId="23"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23" fillId="0" borderId="21" xfId="0" applyFont="1" applyBorder="1" applyNumberFormat="1">
      <alignment vertical="center" wrapText="1"/>
    </xf>
    <xf numFmtId="49" fontId="23" fillId="0" borderId="24" xfId="0" applyFont="1" applyBorder="1" applyNumberFormat="1">
      <alignment vertical="center" wrapText="1"/>
    </xf>
    <xf numFmtId="0" fontId="23" fillId="0" borderId="0" xfId="0" applyFont="1" applyNumberFormat="1">
      <alignment horizontal="center" vertical="center"/>
    </xf>
    <xf numFmtId="0" fontId="23"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49" fontId="45" fillId="0" borderId="0" xfId="0" applyFont="1" applyNumberFormat="1">
      <alignment horizontal="center" vertical="center" wrapText="1"/>
    </xf>
    <xf numFmtId="0" fontId="48" fillId="0" borderId="0" xfId="0" applyFont="1" applyNumberFormat="1">
      <alignment vertical="center"/>
    </xf>
    <xf numFmtId="0" fontId="48" fillId="0" borderId="24" xfId="0" applyFont="1" applyBorder="1" applyNumberFormat="1">
      <alignment horizontal="left" vertical="center"/>
    </xf>
    <xf numFmtId="49" fontId="23" fillId="0" borderId="19" xfId="0" applyFont="1" applyBorder="1" applyNumberFormat="1">
      <alignment horizontal="center" vertical="center"/>
    </xf>
    <xf numFmtId="0" fontId="23" fillId="0" borderId="19" xfId="0" applyFont="1" applyBorder="1" applyNumberFormat="1">
      <alignment horizontal="left" vertical="center" wrapText="1"/>
    </xf>
    <xf numFmtId="0" fontId="23" fillId="0" borderId="39" xfId="0" applyFont="1" applyBorder="1" applyNumberFormat="1">
      <alignment horizontal="left" vertical="center" wrapText="1"/>
    </xf>
    <xf numFmtId="49" fontId="72" fillId="0" borderId="32" xfId="0" applyFont="1" applyBorder="1" applyNumberFormat="1">
      <alignment vertical="top"/>
    </xf>
    <xf numFmtId="49" fontId="72" fillId="0" borderId="29" xfId="0" applyFont="1" applyBorder="1" applyNumberFormat="1">
      <alignment vertical="top"/>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0" borderId="0" xfId="0" applyFont="1" applyNumberFormat="1">
      <alignment horizontal="left" vertical="center" wrapText="1"/>
    </xf>
    <xf numFmtId="0" fontId="23" fillId="0" borderId="16" xfId="0" applyFont="1" applyBorder="1" applyNumberFormat="1">
      <alignment horizontal="left" vertical="center" wrapText="1"/>
    </xf>
    <xf numFmtId="49" fontId="0"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23" fillId="37" borderId="0" xfId="0" applyFont="1" applyFill="1" applyNumberFormat="1"/>
    <xf numFmtId="0" fontId="66" fillId="37" borderId="0" xfId="0" applyFont="1" applyFill="1" applyNumberFormat="1"/>
    <xf numFmtId="0" fontId="55" fillId="37" borderId="0" xfId="0" applyFont="1" applyFill="1" applyNumberFormat="1"/>
    <xf numFmtId="0" fontId="66" fillId="37" borderId="0" xfId="0" applyFont="1" applyFill="1" applyNumberFormat="1">
      <alignment horizontal="center"/>
    </xf>
    <xf numFmtId="0" fontId="95" fillId="0" borderId="0" xfId="0" applyFont="1" applyNumberFormat="1">
      <alignment vertical="center"/>
    </xf>
    <xf numFmtId="0" fontId="94" fillId="0" borderId="0" xfId="0" applyFont="1" applyNumberFormat="1">
      <alignment vertical="center"/>
    </xf>
    <xf numFmtId="0" fontId="78" fillId="37" borderId="0" xfId="0" applyFont="1" applyFill="1" applyNumberFormat="1">
      <alignment horizontal="right" vertical="center"/>
    </xf>
    <xf numFmtId="0" fontId="23" fillId="37" borderId="0" xfId="0" applyFont="1" applyFill="1" applyNumberFormat="1">
      <alignment vertical="center" wrapText="1"/>
    </xf>
    <xf numFmtId="0" fontId="55" fillId="37" borderId="0" xfId="0" applyFont="1" applyFill="1" applyNumberFormat="1">
      <alignment vertical="center" wrapText="1"/>
    </xf>
    <xf numFmtId="0" fontId="23" fillId="37" borderId="0" xfId="0" applyFont="1" applyFill="1" applyNumberFormat="1">
      <alignment horizontal="center" vertical="center" wrapText="1"/>
    </xf>
    <xf numFmtId="0" fontId="98" fillId="37" borderId="0" xfId="0" applyFont="1" applyFill="1" applyNumberFormat="1">
      <alignment horizontal="left" vertical="center"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44" fillId="37" borderId="0" xfId="0" applyFont="1" applyFill="1" applyNumberFormat="1">
      <alignment horizontal="center" vertical="center"/>
    </xf>
    <xf numFmtId="49" fontId="55" fillId="0" borderId="14" xfId="0" applyFont="1" applyBorder="1" applyNumberFormat="1">
      <alignment horizontal="center" vertical="center"/>
    </xf>
    <xf numFmtId="0" fontId="55" fillId="0" borderId="14" xfId="0" applyFont="1" applyBorder="1" applyNumberFormat="1">
      <alignment vertical="center" wrapText="1"/>
    </xf>
    <xf numFmtId="0" fontId="55" fillId="0" borderId="14" xfId="0" applyFont="1" applyBorder="1" applyNumberFormat="1">
      <alignment horizontal="left" vertical="center" wrapText="1"/>
    </xf>
    <xf numFmtId="0" fontId="70" fillId="37" borderId="0" xfId="0" applyFont="1" applyFill="1" applyNumberFormat="1"/>
    <xf numFmtId="49" fontId="0" fillId="37" borderId="14" xfId="0" applyFont="1" applyFill="1" applyBorder="1" applyNumberFormat="1">
      <alignment horizontal="center" vertical="center"/>
    </xf>
    <xf numFmtId="0" fontId="0" fillId="37" borderId="14" xfId="0" applyFont="1" applyFill="1" applyBorder="1" applyNumberFormat="1">
      <alignment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vertical="center" wrapText="1"/>
    </xf>
    <xf numFmtId="0" fontId="0" fillId="37" borderId="14" xfId="0" applyFont="1" applyFill="1" applyBorder="1" applyNumberFormat="1">
      <alignment horizontal="left" vertical="center" wrapText="1" indent="1"/>
    </xf>
    <xf numFmtId="49" fontId="0" fillId="42" borderId="14" xfId="0" applyFont="1" applyFill="1" applyBorder="1" applyNumberFormat="1">
      <alignment horizontal="left" vertical="center" wrapText="1"/>
      <protection locked="0"/>
    </xf>
    <xf numFmtId="0" fontId="55" fillId="0" borderId="14" xfId="0" applyFont="1" applyBorder="1" applyNumberFormat="1">
      <alignment horizontal="left" vertical="center" wrapText="1" indent="1"/>
    </xf>
    <xf numFmtId="49" fontId="23"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95" fillId="0" borderId="0" xfId="0" applyFont="1" applyNumberFormat="1">
      <alignment vertical="center" wrapText="1"/>
    </xf>
    <xf numFmtId="0" fontId="0" fillId="37" borderId="14" xfId="0" applyFont="1" applyFill="1" applyBorder="1" applyNumberFormat="1">
      <alignment horizontal="center" vertical="center"/>
    </xf>
    <xf numFmtId="0" fontId="0" fillId="37" borderId="14" xfId="0" applyFont="1" applyFill="1" applyBorder="1" applyNumberFormat="1">
      <alignment horizontal="left" vertical="center" wrapText="1" indent="2"/>
    </xf>
    <xf numFmtId="49" fontId="0" fillId="0" borderId="14" xfId="0" applyFont="1" applyBorder="1" applyNumberFormat="1">
      <alignment horizontal="left" vertical="center" wrapText="1"/>
    </xf>
    <xf numFmtId="49" fontId="23" fillId="37" borderId="0" xfId="0" applyFont="1" applyFill="1" applyNumberFormat="1">
      <alignment vertical="center" wrapText="1"/>
    </xf>
    <xf numFmtId="0" fontId="23" fillId="37" borderId="26" xfId="0" applyFont="1" applyFill="1" applyBorder="1" applyNumberFormat="1">
      <alignment vertical="center" wrapText="1"/>
    </xf>
    <xf numFmtId="0" fontId="23" fillId="40" borderId="16" xfId="0" applyFont="1" applyFill="1" applyBorder="1" applyNumberFormat="1">
      <alignment horizontal="center"/>
    </xf>
    <xf numFmtId="49" fontId="48" fillId="40" borderId="17" xfId="0" applyFont="1" applyFill="1" applyBorder="1" applyNumberFormat="1">
      <alignment horizontal="left" vertical="center" indent="1"/>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0" fontId="55" fillId="37" borderId="0" xfId="0" applyFont="1" applyFill="1" applyNumberFormat="1"/>
    <xf numFmtId="49" fontId="55" fillId="37" borderId="14" xfId="0" applyFont="1" applyFill="1" applyBorder="1" applyNumberFormat="1">
      <alignment horizontal="center" vertical="center"/>
    </xf>
    <xf numFmtId="0" fontId="55" fillId="37" borderId="14" xfId="0" applyFont="1" applyFill="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0" fontId="0" fillId="37" borderId="14" xfId="0" applyFont="1" applyFill="1" applyBorder="1" applyNumberFormat="1">
      <alignment horizontal="left" vertical="center" wrapText="1"/>
    </xf>
    <xf numFmtId="49" fontId="0" fillId="39" borderId="14" xfId="0" applyFont="1" applyFill="1" applyBorder="1" applyNumberFormat="1">
      <alignment horizontal="left" vertical="center" wrapText="1"/>
      <protection locked="0"/>
    </xf>
    <xf numFmtId="0" fontId="0" fillId="37" borderId="19" xfId="0" applyFont="1" applyFill="1" applyBorder="1" applyNumberFormat="1">
      <alignment horizontal="left" vertical="center" wrapText="1"/>
    </xf>
    <xf numFmtId="0" fontId="23" fillId="37" borderId="19" xfId="0" applyFont="1" applyFill="1" applyBorder="1" applyNumberFormat="1">
      <alignment horizontal="left" vertical="top" wrapText="1"/>
    </xf>
    <xf numFmtId="49" fontId="0" fillId="0" borderId="14" xfId="0" applyFont="1" applyBorder="1" applyNumberFormat="1">
      <alignment horizontal="left" vertical="center" wrapText="1" indent="1"/>
    </xf>
    <xf numFmtId="0" fontId="23" fillId="37" borderId="38" xfId="0" applyFont="1" applyFill="1" applyBorder="1" applyNumberFormat="1">
      <alignment horizontal="left" vertical="top" wrapText="1"/>
    </xf>
    <xf numFmtId="0" fontId="45" fillId="37" borderId="0" xfId="0" applyFont="1" applyFill="1" applyNumberFormat="1">
      <alignment horizontal="center" vertical="center"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37" borderId="25" xfId="0" applyFont="1" applyFill="1" applyBorder="1" applyNumberFormat="1">
      <alignment horizontal="left" vertical="top" wrapText="1"/>
    </xf>
    <xf numFmtId="0" fontId="58" fillId="37" borderId="0" xfId="0" applyFont="1" applyFill="1" applyNumberFormat="1"/>
    <xf numFmtId="49" fontId="23" fillId="42" borderId="14" xfId="0" applyFont="1" applyFill="1" applyBorder="1" applyNumberFormat="1" quotePrefix="1">
      <alignment horizontal="left" vertical="center" wrapText="1"/>
      <protection locked="0"/>
    </xf>
    <xf numFmtId="49" fontId="23" fillId="39"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0" fillId="37" borderId="16" xfId="0" applyFont="1" applyFill="1" applyBorder="1" applyNumberFormat="1">
      <alignment horizontal="left" vertical="center" wrapText="1" indent="1"/>
    </xf>
    <xf numFmtId="49" fontId="23" fillId="43" borderId="16" xfId="0" applyFont="1" applyFill="1" applyBorder="1" applyNumberFormat="1">
      <alignment horizontal="left" vertical="center" wrapText="1"/>
    </xf>
    <xf numFmtId="0" fontId="0" fillId="37" borderId="14" xfId="0" applyFont="1" applyFill="1" applyBorder="1" applyNumberFormat="1">
      <alignment vertical="top" wrapText="1"/>
    </xf>
    <xf numFmtId="49" fontId="23" fillId="37" borderId="0" xfId="0" applyFont="1" applyFill="1" applyNumberFormat="1">
      <alignment horizontal="center" vertical="center" wrapText="1"/>
    </xf>
    <xf numFmtId="0" fontId="0" fillId="37" borderId="16" xfId="0" applyFont="1" applyFill="1" applyBorder="1" applyNumberFormat="1">
      <alignment horizontal="left" vertical="center" wrapText="1"/>
    </xf>
    <xf numFmtId="0" fontId="0" fillId="37" borderId="25" xfId="0" applyFont="1" applyFill="1" applyBorder="1" applyNumberFormat="1">
      <alignment vertical="center" wrapText="1"/>
    </xf>
    <xf numFmtId="0" fontId="81" fillId="37" borderId="0" xfId="0" applyFont="1" applyFill="1" applyNumberFormat="1"/>
    <xf numFmtId="0" fontId="23" fillId="0" borderId="0" xfId="0" applyFont="1" applyNumberFormat="1">
      <alignment vertical="top" wrapText="1"/>
    </xf>
    <xf numFmtId="0" fontId="55" fillId="0" borderId="0" xfId="0" applyFont="1" applyNumberFormat="1">
      <alignment vertical="center" wrapText="1"/>
    </xf>
    <xf numFmtId="0" fontId="53" fillId="0" borderId="0" xfId="0" applyFont="1" applyNumberFormat="1">
      <alignment horizontal="right" vertical="top" wrapText="1"/>
    </xf>
    <xf numFmtId="0" fontId="53" fillId="0" borderId="0" xfId="0" applyFont="1" applyNumberFormat="1">
      <alignment horizontal="left" vertical="top" wrapText="1" indent="1"/>
    </xf>
    <xf numFmtId="0" fontId="53" fillId="0" borderId="0" xfId="0" applyFont="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2" fillId="37" borderId="0" xfId="0" applyFont="1" applyFill="1" applyNumberFormat="1">
      <alignment horizontal="right" vertical="center"/>
    </xf>
    <xf numFmtId="0" fontId="83" fillId="37" borderId="0" xfId="0" applyFont="1" applyFill="1" applyNumberFormat="1">
      <alignment vertical="center"/>
    </xf>
    <xf numFmtId="0" fontId="82" fillId="37" borderId="0" xfId="0" applyFont="1" applyFill="1" applyNumberFormat="1">
      <alignment horizontal="right" vertical="top"/>
    </xf>
    <xf numFmtId="0" fontId="83" fillId="37" borderId="0" xfId="0" applyFont="1" applyFill="1" applyNumberFormat="1">
      <alignment vertical="center" wrapText="1"/>
    </xf>
    <xf numFmtId="0" fontId="23" fillId="37" borderId="0" xfId="0" applyFont="1" applyFill="1" applyNumberFormat="1"/>
    <xf numFmtId="0" fontId="0" fillId="37" borderId="0" xfId="0" applyFont="1" applyFill="1" applyNumberFormat="1"/>
    <xf numFmtId="0" fontId="0" fillId="37" borderId="0" xfId="0" applyFont="1" applyFill="1" applyNumberFormat="1">
      <alignment horizontal="center"/>
    </xf>
    <xf numFmtId="0" fontId="54" fillId="0" borderId="0" xfId="0" applyFont="1" applyNumberFormat="1">
      <alignment horizontal="center" vertical="center" wrapTex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45" fillId="37" borderId="0" xfId="0" applyFont="1" applyFill="1" applyNumberFormat="1">
      <alignment horizontal="center" vertical="center" wrapText="1"/>
    </xf>
    <xf numFmtId="0" fontId="22" fillId="0" borderId="0" xfId="0" applyFont="1" applyNumberFormat="1">
      <alignment horizontal="left" vertical="center" wrapText="1" indent="3"/>
    </xf>
    <xf numFmtId="0" fontId="69" fillId="0" borderId="0" xfId="0" applyFont="1" applyNumberFormat="1">
      <alignment horizontal="center" vertical="center" wrapText="1"/>
    </xf>
    <xf numFmtId="0" fontId="69" fillId="0" borderId="0" xfId="0" applyFont="1" applyNumberFormat="1">
      <alignment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65" fillId="0" borderId="0" xfId="0" applyFont="1" applyNumberFormat="1">
      <alignment vertical="center" wrapText="1"/>
    </xf>
    <xf numFmtId="0" fontId="63" fillId="0" borderId="0" xfId="0" applyFont="1" applyNumberFormat="1">
      <alignment vertical="center" wrapText="1"/>
    </xf>
    <xf numFmtId="0" fontId="84" fillId="37" borderId="0" xfId="0" applyFont="1" applyFill="1" applyNumberFormat="1">
      <alignment horizontal="center" vertical="center" wrapText="1"/>
    </xf>
    <xf numFmtId="0" fontId="65" fillId="0" borderId="0" xfId="0" applyFont="1" applyNumberFormat="1">
      <alignment horizontal="left" vertical="center" wrapText="1" indent="1"/>
    </xf>
    <xf numFmtId="0" fontId="23" fillId="0" borderId="0" xfId="0" applyFont="1" applyNumberFormat="1">
      <alignment horizontal="right" vertical="center"/>
    </xf>
    <xf numFmtId="0" fontId="55" fillId="0" borderId="0" xfId="0" applyFont="1" applyNumberFormat="1">
      <alignment vertical="center" wrapText="1"/>
    </xf>
    <xf numFmtId="0" fontId="0" fillId="0" borderId="16"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44" fillId="37" borderId="0" xfId="0" applyFont="1" applyFill="1" applyNumberFormat="1">
      <alignment horizontal="center" vertical="center" wrapText="1"/>
    </xf>
    <xf numFmtId="49" fontId="44" fillId="37" borderId="0" xfId="0" applyFont="1" applyFill="1" applyNumberFormat="1">
      <alignment horizontal="center" vertical="center" wrapText="1"/>
    </xf>
    <xf numFmtId="0" fontId="23" fillId="0" borderId="0" xfId="0" applyFont="1" applyNumberFormat="1">
      <alignment vertical="center" wrapText="1"/>
    </xf>
    <xf numFmtId="0" fontId="77" fillId="0" borderId="0" xfId="0" applyFont="1" applyNumberFormat="1">
      <alignmen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49" fontId="77" fillId="0" borderId="14" xfId="0" applyFont="1" applyBorder="1" applyNumberFormat="1">
      <alignment horizontal="left" vertical="center" wrapText="1"/>
    </xf>
    <xf numFmtId="49" fontId="0" fillId="0" borderId="14" xfId="0" applyFont="1" applyBorder="1" applyNumberFormat="1">
      <alignment vertical="top" wrapText="1"/>
    </xf>
    <xf numFmtId="49" fontId="0" fillId="0" borderId="14" xfId="0" applyFont="1" applyBorder="1" applyNumberFormat="1">
      <alignment horizontal="center" vertical="center" wrapText="1"/>
    </xf>
    <xf numFmtId="49" fontId="0" fillId="39"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 fontId="0" fillId="42"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 fontId="0" fillId="42" borderId="15" xfId="0" applyFont="1" applyFill="1" applyBorder="1" applyNumberFormat="1">
      <alignment horizontal="right" vertical="center" wrapText="1"/>
      <protection locked="0"/>
    </xf>
    <xf numFmtId="0" fontId="0" fillId="39" borderId="14" xfId="0" applyFont="1" applyFill="1" applyBorder="1" applyNumberFormat="1">
      <alignment horizontal="right" vertical="center" wrapText="1"/>
      <protection locked="0"/>
    </xf>
    <xf numFmtId="3" fontId="0" fillId="0" borderId="15" xfId="0" applyFont="1" applyBorder="1" applyNumberFormat="1">
      <alignment horizontal="right" vertical="center" wrapText="1"/>
    </xf>
    <xf numFmtId="0" fontId="0" fillId="0" borderId="19" xfId="0" applyFont="1" applyBorder="1" applyNumberFormat="1">
      <alignment horizontal="left" vertical="top" wrapText="1"/>
    </xf>
    <xf numFmtId="49" fontId="36" fillId="40" borderId="16" xfId="0" applyFont="1" applyFill="1" applyBorder="1" applyNumberFormat="1">
      <alignment horizontal="center" vertical="center"/>
    </xf>
    <xf numFmtId="0" fontId="48" fillId="40" borderId="17" xfId="0" applyFont="1" applyFill="1" applyBorder="1" applyNumberFormat="1">
      <alignment vertical="center"/>
    </xf>
    <xf numFmtId="49" fontId="48" fillId="40" borderId="17" xfId="0" applyFont="1" applyFill="1" applyBorder="1" applyNumberFormat="1">
      <alignment vertical="center"/>
    </xf>
    <xf numFmtId="49" fontId="78" fillId="40" borderId="17" xfId="0" applyFont="1" applyFill="1" applyBorder="1" applyNumberFormat="1">
      <alignment vertical="center"/>
    </xf>
    <xf numFmtId="49" fontId="78" fillId="40" borderId="15" xfId="0" applyFont="1" applyFill="1" applyBorder="1" applyNumberFormat="1">
      <alignment vertical="center"/>
    </xf>
    <xf numFmtId="0" fontId="0" fillId="0" borderId="25" xfId="0" applyFont="1" applyBorder="1" applyNumberFormat="1">
      <alignment horizontal="left" vertical="top" wrapText="1"/>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50" fillId="0" borderId="0" xfId="0" applyFont="1" applyNumberFormat="1">
      <alignment vertical="center" wrapText="1"/>
    </xf>
    <xf numFmtId="0" fontId="55" fillId="0" borderId="0" xfId="0" applyFont="1" applyNumberFormat="1">
      <alignment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49" fontId="0" fillId="0" borderId="39" xfId="0" applyFont="1" applyBorder="1" applyNumberFormat="1">
      <alignment horizontal="center" vertical="center" wrapText="1"/>
    </xf>
    <xf numFmtId="0" fontId="23" fillId="43" borderId="21" xfId="0" applyFont="1" applyFill="1" applyBorder="1" applyNumberFormat="1">
      <alignment horizontal="lef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0" fontId="55" fillId="0" borderId="0" xfId="0" applyFont="1" applyNumberFormat="1">
      <alignment vertical="center"/>
    </xf>
    <xf numFmtId="49" fontId="0" fillId="0" borderId="32" xfId="0" applyFont="1" applyBorder="1" applyNumberFormat="1">
      <alignment horizontal="center" vertical="center" wrapText="1"/>
    </xf>
    <xf numFmtId="0" fontId="23" fillId="43" borderId="29" xfId="0" applyFont="1" applyFill="1" applyBorder="1" applyNumberFormat="1">
      <alignment horizontal="left" vertical="center" wrapText="1"/>
    </xf>
    <xf numFmtId="0" fontId="93" fillId="0" borderId="0" xfId="0" applyFont="1" applyNumberFormat="1">
      <alignment vertical="center" wrapText="1"/>
    </xf>
    <xf numFmtId="0" fontId="55" fillId="0" borderId="0" xfId="0" applyFont="1" applyNumberFormat="1">
      <alignment vertical="center" wrapText="1"/>
    </xf>
    <xf numFmtId="0" fontId="45" fillId="37" borderId="0" xfId="0" applyFont="1" applyFill="1" applyNumberFormat="1">
      <alignment horizontal="center" vertical="center" wrapText="1"/>
    </xf>
    <xf numFmtId="0" fontId="23" fillId="0" borderId="21" xfId="0" applyFont="1" applyBorder="1" applyNumberFormat="1">
      <alignment horizontal="left" vertical="top" wrapText="1" indent="1"/>
    </xf>
    <xf numFmtId="0" fontId="69" fillId="0" borderId="0" xfId="0" applyFont="1" applyNumberFormat="1">
      <alignment vertical="center" wrapText="1"/>
    </xf>
    <xf numFmtId="0" fontId="65" fillId="0" borderId="0" xfId="0" applyFont="1" applyNumberFormat="1">
      <alignment vertical="center" wrapText="1"/>
    </xf>
    <xf numFmtId="0" fontId="63" fillId="0" borderId="0" xfId="0" applyFont="1" applyNumberFormat="1">
      <alignment vertical="center" wrapText="1"/>
    </xf>
    <xf numFmtId="0" fontId="23" fillId="0" borderId="25" xfId="0" applyFont="1" applyBorder="1" applyNumberFormat="1">
      <alignment horizontal="center" vertical="center" wrapText="1"/>
    </xf>
    <xf numFmtId="0" fontId="23" fillId="0" borderId="0" xfId="0" applyFont="1" applyNumberFormat="1">
      <alignmen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40" fillId="0" borderId="0" xfId="0" applyFont="1" applyNumberFormat="1">
      <alignment vertical="center" wrapText="1"/>
    </xf>
    <xf numFmtId="0" fontId="23" fillId="0" borderId="0" xfId="0" applyFont="1" applyNumberFormat="1">
      <alignment vertical="center" wrapText="1"/>
    </xf>
    <xf numFmtId="0" fontId="55" fillId="0" borderId="0" xfId="0" applyFont="1" applyNumberFormat="1">
      <alignment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2" fillId="0" borderId="0" xfId="0" applyFont="1" applyNumberFormat="1">
      <alignment horizontal="center" vertical="center" wrapText="1"/>
    </xf>
    <xf numFmtId="0" fontId="50" fillId="0" borderId="0" xfId="0" applyFont="1" applyNumberFormat="1">
      <alignment vertical="center" wrapText="1"/>
    </xf>
    <xf numFmtId="4" fontId="65" fillId="0" borderId="0" xfId="0" applyFont="1" applyNumberFormat="1">
      <alignment horizontal="right"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44" fillId="37" borderId="17" xfId="0" applyFont="1" applyFill="1" applyBorder="1" applyNumberFormat="1">
      <alignment horizontal="center" vertical="center" wrapText="1"/>
    </xf>
    <xf numFmtId="49" fontId="44" fillId="37" borderId="17" xfId="0" applyFont="1" applyFill="1" applyBorder="1" applyNumberFormat="1">
      <alignment horizontal="center"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top"/>
    </xf>
    <xf numFmtId="0" fontId="45" fillId="37" borderId="26" xfId="0" applyFont="1" applyFill="1" applyBorder="1" applyNumberFormat="1">
      <alignment vertical="top"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49" fontId="34" fillId="40" borderId="15" xfId="0" applyFont="1" applyFill="1" applyBorder="1" applyNumberFormat="1">
      <alignment horizontal="left" vertical="center" wrapText="1"/>
    </xf>
    <xf numFmtId="0" fontId="0" fillId="0" borderId="38" xfId="0" applyFont="1" applyBorder="1" applyNumberFormat="1">
      <alignment horizontal="left" vertical="top"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45" fillId="37" borderId="0" xfId="0" applyFont="1" applyFill="1" applyNumberFormat="1">
      <alignment vertical="top" wrapText="1"/>
    </xf>
    <xf numFmtId="0" fontId="55" fillId="37" borderId="25" xfId="0" applyFont="1" applyFill="1" applyBorder="1" applyNumberFormat="1">
      <alignment horizontal="center" vertical="center" wrapText="1"/>
    </xf>
    <xf numFmtId="14" fontId="23" fillId="43" borderId="25" xfId="0" applyFont="1" applyFill="1" applyBorder="1" applyNumberFormat="1">
      <alignment horizontal="left" vertical="center" wrapText="1"/>
    </xf>
    <xf numFmtId="14" fontId="23" fillId="43" borderId="14" xfId="0" applyFont="1" applyFill="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6" fillId="40" borderId="17" xfId="0" applyFont="1" applyFill="1" applyBorder="1" applyNumberFormat="1">
      <alignment horizontal="center" vertical="center"/>
    </xf>
    <xf numFmtId="49" fontId="78" fillId="40" borderId="17" xfId="0" applyFont="1" applyFill="1" applyBorder="1" applyNumberFormat="1">
      <alignment horizontal="left" vertical="center" indent="1"/>
    </xf>
    <xf numFmtId="49" fontId="78" fillId="40" borderId="15" xfId="0" applyFont="1" applyFill="1" applyBorder="1" applyNumberFormat="1">
      <alignment horizontal="left" vertical="center" indent="1"/>
    </xf>
    <xf numFmtId="0" fontId="65" fillId="0" borderId="0" xfId="0" applyFont="1" applyNumberFormat="1">
      <alignment vertical="center" wrapText="1"/>
    </xf>
    <xf numFmtId="0" fontId="84" fillId="0" borderId="0" xfId="0" applyFont="1" applyNumberFormat="1">
      <alignment horizontal="center" vertical="center" wrapText="1"/>
    </xf>
    <xf numFmtId="0" fontId="53" fillId="0" borderId="0" xfId="0" applyFont="1" applyNumberFormat="1">
      <alignment vertical="top" wrapText="1"/>
    </xf>
    <xf numFmtId="0" fontId="23" fillId="0" borderId="0" xfId="0" applyFont="1" applyNumberFormat="1">
      <alignment horizontal="right" vertical="top" wrapText="1"/>
    </xf>
    <xf numFmtId="0" fontId="53"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horizontal="left" vertical="center" indent="1"/>
    </xf>
    <xf numFmtId="0" fontId="54" fillId="0" borderId="14" xfId="0" applyFont="1" applyBorder="1" applyNumberFormat="1">
      <alignment horizontal="center" vertical="center"/>
    </xf>
    <xf numFmtId="0" fontId="54" fillId="0" borderId="0" xfId="0" applyFont="1" applyNumberFormat="1">
      <alignment horizontal="center" vertical="center"/>
    </xf>
    <xf numFmtId="0" fontId="54"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4" xfId="0" applyFont="1" applyBorder="1" applyNumberFormat="1">
      <alignment horizontal="left" vertical="center" wrapText="1" indent="6"/>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53" fillId="0" borderId="14" xfId="0" applyFont="1" applyBorder="1" applyNumberFormat="1">
      <alignment vertical="top" wrapText="1"/>
    </xf>
    <xf numFmtId="0" fontId="54" fillId="0" borderId="16" xfId="0" applyFont="1" applyBorder="1" applyNumberFormat="1">
      <alignment horizontal="center" vertical="center"/>
    </xf>
    <xf numFmtId="0" fontId="23" fillId="0" borderId="0" xfId="0" applyFont="1" applyNumberFormat="1">
      <alignment horizontal="center"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23" fillId="37" borderId="14" xfId="0" applyFont="1" applyFill="1" applyBorder="1" applyNumberFormat="1">
      <alignment horizontal="left" vertical="center" wrapText="1" indent="1"/>
    </xf>
    <xf numFmtId="0" fontId="45" fillId="0" borderId="0" xfId="0" applyFont="1" applyNumberFormat="1">
      <alignment vertical="center" wrapTex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54" fillId="0" borderId="14" xfId="0" applyFont="1" applyBorder="1" applyNumberFormat="1">
      <alignment horizontal="center" vertical="center" wrapText="1"/>
    </xf>
    <xf numFmtId="0" fontId="54"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54" fillId="0" borderId="16" xfId="0" applyFont="1" applyBorder="1" applyNumberFormat="1">
      <alignment horizontal="center" vertical="center" wrapText="1"/>
    </xf>
    <xf numFmtId="0" fontId="54" fillId="0" borderId="0" xfId="0" applyFont="1" applyNumberFormat="1">
      <alignment vertical="center" wrapText="1"/>
    </xf>
    <xf numFmtId="0" fontId="55" fillId="0" borderId="26" xfId="0" applyFont="1" applyBorder="1" applyNumberFormat="1">
      <alignment vertical="center" wrapText="1"/>
    </xf>
    <xf numFmtId="0" fontId="23" fillId="37" borderId="14" xfId="0" applyFont="1" applyFill="1" applyBorder="1" applyNumberFormat="1">
      <alignment horizontal="left" vertical="center" wrapText="1" indent="5"/>
    </xf>
    <xf numFmtId="0" fontId="23" fillId="43" borderId="14" xfId="0" applyFont="1" applyFill="1" applyBorder="1" applyNumberFormat="1">
      <alignment horizontal="left" vertical="center" wrapText="1" indent="6"/>
    </xf>
    <xf numFmtId="4" fontId="23" fillId="39" borderId="14" xfId="0" applyFont="1" applyFill="1" applyBorder="1" applyNumberFormat="1">
      <alignment horizontal="right" vertical="center" wrapText="1"/>
      <protection locked="0"/>
    </xf>
    <xf numFmtId="4" fontId="23" fillId="0" borderId="14" xfId="0" applyFont="1" applyBorder="1" applyNumberFormat="1">
      <alignment horizontal="right" vertical="center" wrapText="1"/>
    </xf>
    <xf numFmtId="164" fontId="23" fillId="39" borderId="14" xfId="0" applyFont="1" applyFill="1" applyBorder="1" applyNumberFormat="1">
      <alignment horizontal="right" vertical="center" wrapText="1"/>
      <protection locked="0"/>
    </xf>
    <xf numFmtId="167" fontId="0" fillId="42" borderId="14" xfId="0" applyFont="1" applyFill="1" applyBorder="1" applyNumberFormat="1">
      <alignment horizontal="center" vertical="center" wrapText="1"/>
      <protection locked="0"/>
    </xf>
    <xf numFmtId="0" fontId="53" fillId="0" borderId="19" xfId="0" applyFont="1" applyBorder="1" applyNumberFormat="1">
      <alignment horizontal="left" vertical="top" wrapText="1"/>
    </xf>
    <xf numFmtId="49" fontId="23" fillId="0" borderId="14" xfId="0" applyFont="1" applyBorder="1" applyNumberFormat="1">
      <alignment horizontal="left" vertical="center" wrapText="1"/>
    </xf>
    <xf numFmtId="4" fontId="55" fillId="0" borderId="14" xfId="0" applyFont="1" applyBorder="1" applyNumberFormat="1">
      <alignment horizontal="center" vertical="center" wrapText="1"/>
    </xf>
    <xf numFmtId="49" fontId="0" fillId="42" borderId="14" xfId="0" applyFont="1" applyFill="1" applyBorder="1" applyNumberFormat="1">
      <alignment horizontal="center" vertical="center" wrapText="1"/>
      <protection locked="0"/>
    </xf>
    <xf numFmtId="0" fontId="53" fillId="0" borderId="38" xfId="0" applyFont="1" applyBorder="1" applyNumberFormat="1">
      <alignment horizontal="left" vertical="top"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6"/>
    </xf>
    <xf numFmtId="49" fontId="23" fillId="40" borderId="15" xfId="0" applyFont="1" applyFill="1" applyBorder="1" applyNumberFormat="1">
      <alignment horizontal="center" vertical="center" wrapText="1"/>
    </xf>
    <xf numFmtId="0" fontId="53" fillId="0" borderId="25" xfId="0" applyFont="1" applyBorder="1" applyNumberFormat="1">
      <alignment horizontal="left" vertical="top" wrapText="1"/>
    </xf>
    <xf numFmtId="49" fontId="48" fillId="40" borderId="17" xfId="0" applyFont="1" applyFill="1" applyBorder="1" applyNumberFormat="1">
      <alignment horizontal="left" vertical="center" indent="5"/>
    </xf>
    <xf numFmtId="49" fontId="0" fillId="40" borderId="17" xfId="0" applyFont="1" applyFill="1" applyBorder="1" applyNumberFormat="1">
      <alignment horizontal="center" vertical="center" wrapText="1"/>
    </xf>
    <xf numFmtId="49" fontId="0" fillId="40" borderId="15" xfId="0" applyFont="1" applyFill="1" applyBorder="1" applyNumberFormat="1">
      <alignment horizontal="center" vertical="center" wrapText="1"/>
    </xf>
    <xf numFmtId="49" fontId="47" fillId="0" borderId="0" xfId="0" applyFont="1" applyNumberFormat="1">
      <alignment vertical="top"/>
    </xf>
    <xf numFmtId="49" fontId="48" fillId="40" borderId="17" xfId="0" applyFont="1" applyFill="1" applyBorder="1" applyNumberFormat="1">
      <alignment horizontal="left" vertical="center" indent="4"/>
    </xf>
    <xf numFmtId="0" fontId="55" fillId="0" borderId="0" xfId="0" applyFont="1" applyNumberFormat="1">
      <alignmen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49" fontId="23" fillId="0" borderId="0" xfId="0" applyFont="1" applyNumberFormat="1">
      <alignment vertical="center" wrapText="1"/>
    </xf>
    <xf numFmtId="4" fontId="54" fillId="0" borderId="14" xfId="0" applyFont="1" applyBorder="1" applyNumberFormat="1">
      <alignment horizontal="right" vertical="center" wrapText="1"/>
    </xf>
    <xf numFmtId="164" fontId="54" fillId="0" borderId="14" xfId="0" applyFont="1" applyBorder="1" applyNumberFormat="1">
      <alignment horizontal="right" vertical="center" wrapText="1"/>
    </xf>
    <xf numFmtId="167"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54"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54" fillId="0" borderId="14" xfId="0" applyFont="1" applyBorder="1" applyNumberFormat="1">
      <alignment vertical="center" wrapText="1"/>
    </xf>
    <xf numFmtId="0" fontId="74" fillId="0" borderId="0" xfId="0" applyFont="1" applyNumberFormat="1">
      <alignment vertical="center" wrapText="1"/>
    </xf>
    <xf numFmtId="0" fontId="54" fillId="0" borderId="0" xfId="0" applyFont="1" applyNumberFormat="1">
      <alignment horizontal="left" vertical="center" wrapText="1"/>
    </xf>
    <xf numFmtId="0" fontId="54" fillId="0" borderId="0" xfId="0" applyFont="1" applyNumberFormat="1">
      <alignment vertical="center" wrapText="1"/>
    </xf>
    <xf numFmtId="0" fontId="47" fillId="37" borderId="0" xfId="0" applyFont="1" applyFill="1" applyNumberFormat="1">
      <alignment vertical="center" wrapText="1"/>
    </xf>
    <xf numFmtId="0" fontId="23" fillId="37" borderId="0" xfId="0" applyFont="1" applyFill="1" applyNumberFormat="1">
      <alignment horizontal="left" vertical="center" wrapText="1"/>
    </xf>
    <xf numFmtId="0" fontId="23" fillId="37" borderId="0" xfId="0" applyFont="1" applyFill="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0" fillId="0" borderId="0" xfId="0" applyFont="1" applyNumberFormat="1">
      <alignment vertical="center"/>
    </xf>
    <xf numFmtId="0" fontId="54" fillId="0" borderId="0" xfId="0" applyFont="1" applyNumberFormat="1">
      <alignment vertical="center"/>
    </xf>
    <xf numFmtId="0" fontId="54" fillId="0" borderId="0" xfId="0" applyFont="1" applyNumberFormat="1">
      <alignment horizontal="center" vertical="center"/>
    </xf>
    <xf numFmtId="0" fontId="0" fillId="37" borderId="14" xfId="0" applyFont="1" applyFill="1" applyBorder="1" applyNumberFormat="1">
      <alignment horizontal="right" vertical="center" wrapText="1" indent="1"/>
    </xf>
    <xf numFmtId="0" fontId="0" fillId="0" borderId="17" xfId="0" applyFont="1" applyBorder="1" applyNumberFormat="1">
      <alignment vertical="center"/>
    </xf>
    <xf numFmtId="0" fontId="23" fillId="38" borderId="14" xfId="0" applyFont="1" applyFill="1" applyBorder="1" applyNumberFormat="1">
      <alignment horizontal="left" vertical="center" wrapText="1" indent="1"/>
    </xf>
    <xf numFmtId="0" fontId="23" fillId="0" borderId="0" xfId="0" applyFont="1" applyNumberFormat="1">
      <alignment vertical="center" wrapText="1"/>
    </xf>
    <xf numFmtId="0" fontId="73" fillId="0" borderId="0" xfId="0" applyFont="1" applyNumberFormat="1">
      <alignment vertical="center"/>
    </xf>
    <xf numFmtId="0" fontId="55" fillId="0" borderId="0" xfId="0" applyFont="1" applyNumberFormat="1">
      <alignment vertical="center"/>
    </xf>
    <xf numFmtId="167" fontId="23" fillId="38" borderId="14" xfId="0" applyFont="1" applyFill="1" applyBorder="1" applyNumberFormat="1">
      <alignment horizontal="left" vertical="center" wrapText="1" indent="1"/>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wrapText="1"/>
    </xf>
    <xf numFmtId="0" fontId="23" fillId="37" borderId="29" xfId="0" applyFont="1" applyFill="1" applyBorder="1" applyNumberFormat="1">
      <alignment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19" xfId="0" applyFont="1" applyBorder="1" applyNumberFormat="1">
      <alignmen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0" fontId="23" fillId="0" borderId="38" xfId="0" applyFont="1" applyBorder="1" applyNumberFormat="1">
      <alignment vertical="center" wrapText="1"/>
    </xf>
    <xf numFmtId="0" fontId="23" fillId="0" borderId="19" xfId="0" applyFont="1" applyBorder="1" applyNumberFormat="1">
      <alignment horizontal="center" vertical="center" wrapText="1"/>
    </xf>
    <xf numFmtId="0" fontId="54"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7" xfId="0" applyFont="1" applyBorder="1" applyNumberFormat="1">
      <alignment horizontal="center" vertical="center" wrapText="1"/>
    </xf>
    <xf numFmtId="0" fontId="23" fillId="37" borderId="38" xfId="0" applyFont="1" applyFill="1" applyBorder="1" applyNumberFormat="1">
      <alignment horizontal="center" vertical="center" wrapText="1"/>
    </xf>
    <xf numFmtId="49" fontId="48" fillId="40" borderId="38" xfId="0" applyFont="1" applyFill="1" applyBorder="1" applyNumberFormat="1">
      <alignment horizontal="center" vertical="center" textRotation="90" wrapText="1"/>
    </xf>
    <xf numFmtId="0" fontId="54" fillId="0" borderId="0" xfId="0" applyFont="1" applyNumberFormat="1">
      <alignment vertical="center"/>
    </xf>
    <xf numFmtId="0" fontId="23" fillId="0" borderId="25" xfId="0" applyFont="1" applyBorder="1" applyNumberFormat="1">
      <alignment vertical="center" wrapText="1"/>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8" fillId="40" borderId="25" xfId="0" applyFont="1" applyFill="1" applyBorder="1" applyNumberFormat="1">
      <alignment horizontal="center" vertical="center" textRotation="90" wrapText="1"/>
    </xf>
    <xf numFmtId="49" fontId="77" fillId="0" borderId="0" xfId="0" applyFont="1" applyNumberFormat="1">
      <alignment vertical="center" wrapText="1"/>
    </xf>
    <xf numFmtId="0" fontId="111" fillId="37" borderId="0" xfId="0" applyFont="1" applyFill="1" applyNumberFormat="1">
      <alignment vertical="center" wrapText="1"/>
    </xf>
    <xf numFmtId="0" fontId="112" fillId="37" borderId="0" xfId="0" applyFont="1" applyFill="1" applyNumberFormat="1">
      <alignment vertical="center" wrapText="1"/>
    </xf>
    <xf numFmtId="49" fontId="85" fillId="37" borderId="21" xfId="0" applyFont="1" applyFill="1" applyBorder="1" applyNumberFormat="1">
      <alignment horizontal="left" vertical="center" wrapText="1"/>
    </xf>
    <xf numFmtId="49" fontId="85" fillId="37" borderId="21" xfId="0" applyFont="1" applyFill="1" applyBorder="1" applyNumberFormat="1">
      <alignment horizontal="center" vertical="center" wrapText="1"/>
    </xf>
    <xf numFmtId="0" fontId="5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167" fontId="0" fillId="42" borderId="19" xfId="0" applyFont="1" applyFill="1" applyBorder="1" applyNumberFormat="1">
      <alignment horizontal="center" vertical="center" wrapText="1"/>
      <protection locked="0"/>
    </xf>
    <xf numFmtId="4" fontId="23" fillId="0" borderId="19" xfId="0" applyFont="1" applyBorder="1" applyNumberFormat="1">
      <alignment horizontal="right" vertical="center" wrapText="1"/>
    </xf>
    <xf numFmtId="49" fontId="23" fillId="0" borderId="14" xfId="0" applyFont="1" applyBorder="1" applyNumberFormat="1">
      <alignment horizontal="left" vertical="center" wrapText="1"/>
    </xf>
    <xf numFmtId="49" fontId="0" fillId="42" borderId="25" xfId="0" applyFont="1" applyFill="1" applyBorder="1" applyNumberFormat="1">
      <alignment horizontal="center" vertical="center" wrapText="1"/>
      <protection locked="0"/>
    </xf>
    <xf numFmtId="4" fontId="23" fillId="0" borderId="25" xfId="0" applyFont="1" applyBorder="1" applyNumberFormat="1">
      <alignment horizontal="right" vertical="center" wrapText="1"/>
    </xf>
    <xf numFmtId="0" fontId="55" fillId="0" borderId="0" xfId="0" applyFont="1" applyNumberFormat="1">
      <alignment horizontal="left" vertical="center" indent="1"/>
    </xf>
    <xf numFmtId="0" fontId="55" fillId="0" borderId="0" xfId="0" applyFont="1" applyNumberFormat="1">
      <alignment vertical="center" wrapText="1"/>
    </xf>
    <xf numFmtId="0" fontId="55" fillId="0" borderId="0" xfId="0" applyFont="1" applyNumberFormat="1">
      <alignment horizontal="center" vertical="center"/>
    </xf>
    <xf numFmtId="0" fontId="55" fillId="0" borderId="0" xfId="0" applyFont="1" applyNumberFormat="1">
      <alignment vertical="center" wrapText="1"/>
    </xf>
    <xf numFmtId="49" fontId="55" fillId="0" borderId="0" xfId="0" applyFont="1" applyNumberFormat="1">
      <alignment vertical="top"/>
    </xf>
    <xf numFmtId="49" fontId="112" fillId="0" borderId="0" xfId="0" applyFont="1" applyNumberFormat="1">
      <alignment vertical="top"/>
    </xf>
    <xf numFmtId="0" fontId="23" fillId="0" borderId="0" xfId="0" applyFont="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23" fillId="0" borderId="0" xfId="0" applyFont="1" applyNumberFormat="1">
      <alignment vertical="center" wrapText="1"/>
    </xf>
    <xf numFmtId="0" fontId="47" fillId="0" borderId="0" xfId="0" applyFont="1" applyNumberFormat="1">
      <alignment vertical="center" wrapText="1"/>
    </xf>
    <xf numFmtId="0" fontId="23" fillId="0" borderId="0" xfId="0" applyFont="1" applyNumberFormat="1">
      <alignment horizontal="left" vertical="center" wrapText="1"/>
    </xf>
    <xf numFmtId="0" fontId="23"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49" fontId="23" fillId="0" borderId="0" xfId="0" applyFont="1" applyNumberFormat="1">
      <alignment vertical="center" wrapText="1"/>
    </xf>
    <xf numFmtId="0" fontId="23" fillId="0" borderId="14" xfId="0" applyFont="1" applyBorder="1" applyNumberFormat="1">
      <alignment horizontal="center" vertical="center"/>
    </xf>
    <xf numFmtId="0" fontId="23" fillId="0" borderId="0" xfId="0" applyFont="1" applyNumberFormat="1">
      <alignment horizontal="center" vertical="center"/>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0" fontId="23" fillId="37" borderId="14" xfId="0" applyFont="1" applyFill="1" applyBorder="1" applyNumberFormat="1">
      <alignment horizontal="left" vertical="center" wrapText="1" indent="1"/>
    </xf>
    <xf numFmtId="0" fontId="23"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vertical="center" wrapText="1"/>
    </xf>
    <xf numFmtId="49" fontId="23" fillId="0" borderId="14" xfId="0" applyFont="1" applyBorder="1" applyNumberFormat="1">
      <alignment horizontal="left" vertical="center" wrapText="1"/>
    </xf>
    <xf numFmtId="0" fontId="55" fillId="0" borderId="0" xfId="0" applyFont="1" applyNumberFormat="1">
      <alignment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77" fillId="0" borderId="0" xfId="0" applyFont="1" applyNumberFormat="1">
      <alignment horizontal="left" vertical="center" wrapText="1"/>
    </xf>
    <xf numFmtId="0" fontId="77" fillId="0" borderId="0" xfId="0" applyFont="1" applyNumberFormat="1">
      <alignment vertical="center" wrapText="1"/>
    </xf>
    <xf numFmtId="0" fontId="55" fillId="0" borderId="0" xfId="0" applyFont="1" applyNumberFormat="1">
      <alignment vertical="center"/>
    </xf>
    <xf numFmtId="49" fontId="77" fillId="0" borderId="0" xfId="0" applyFont="1" applyNumberFormat="1">
      <alignment horizontal="left" vertical="center"/>
    </xf>
    <xf numFmtId="0" fontId="54" fillId="0" borderId="0" xfId="0" applyFont="1" applyNumberFormat="1">
      <alignment vertical="center" wrapText="1"/>
    </xf>
    <xf numFmtId="0" fontId="23" fillId="0" borderId="0" xfId="0" applyFont="1" applyNumberFormat="1">
      <alignment horizontal="center" vertical="center" wrapText="1"/>
    </xf>
    <xf numFmtId="49" fontId="23" fillId="0" borderId="0" xfId="0" applyFont="1" applyNumberFormat="1">
      <alignment vertical="center" wrapText="1"/>
    </xf>
    <xf numFmtId="49" fontId="23" fillId="0" borderId="14" xfId="0" applyFont="1" applyBorder="1" applyNumberFormat="1">
      <alignment vertical="center" wrapText="1"/>
    </xf>
    <xf numFmtId="0" fontId="23" fillId="0" borderId="0" xfId="0" applyFont="1" applyNumberFormat="1">
      <alignment vertical="center"/>
    </xf>
    <xf numFmtId="0" fontId="23" fillId="0" borderId="0" xfId="0" applyFont="1" applyNumberFormat="1">
      <alignment horizontal="center" vertical="center"/>
    </xf>
    <xf numFmtId="0" fontId="23" fillId="0" borderId="0" xfId="0" applyFont="1" applyNumberFormat="1">
      <alignment horizontal="right" vertical="center" wrapText="1"/>
    </xf>
    <xf numFmtId="0" fontId="55" fillId="0" borderId="0" xfId="0" applyFont="1" applyNumberFormat="1">
      <alignment vertical="center" wrapText="1"/>
    </xf>
    <xf numFmtId="0" fontId="23" fillId="0" borderId="19" xfId="0" applyFont="1" applyBorder="1" applyNumberFormat="1">
      <alignment vertical="center" wrapText="1"/>
    </xf>
    <xf numFmtId="0" fontId="0" fillId="0" borderId="14" xfId="0" applyFont="1" applyBorder="1" applyNumberFormat="1">
      <alignment horizontal="center" vertical="center" wrapText="1"/>
    </xf>
    <xf numFmtId="0" fontId="77" fillId="0" borderId="0" xfId="0" applyFont="1" applyNumberFormat="1">
      <alignment vertical="center" wrapText="1"/>
    </xf>
    <xf numFmtId="0" fontId="85" fillId="37" borderId="21" xfId="0" applyFont="1" applyFill="1" applyBorder="1" applyNumberFormat="1">
      <alignment horizontal="center" vertical="center" wrapText="1"/>
    </xf>
    <xf numFmtId="0" fontId="77" fillId="0" borderId="0" xfId="0" applyFont="1" applyNumberFormat="1">
      <alignment horizontal="left" vertical="center" indent="1"/>
    </xf>
    <xf numFmtId="0" fontId="55" fillId="0" borderId="0" xfId="0" applyFont="1" applyNumberFormat="1">
      <alignment vertical="center" wrapText="1"/>
    </xf>
    <xf numFmtId="0" fontId="77" fillId="0" borderId="0" xfId="0" applyFont="1" applyNumberFormat="1">
      <alignment horizontal="center" vertical="center"/>
    </xf>
    <xf numFmtId="0" fontId="23" fillId="0" borderId="0" xfId="0" applyFont="1" applyNumberFormat="1">
      <alignment vertical="center" wrapText="1"/>
    </xf>
    <xf numFmtId="0" fontId="23" fillId="0" borderId="0" xfId="0" applyFont="1" applyNumberFormat="1">
      <alignment horizontal="center" vertical="center" wrapText="1"/>
    </xf>
    <xf numFmtId="49" fontId="23" fillId="0" borderId="0" xfId="0" applyFont="1" applyNumberFormat="1">
      <alignment vertical="center" wrapText="1"/>
    </xf>
    <xf numFmtId="0" fontId="23" fillId="0" borderId="0" xfId="0" applyFont="1" applyNumberFormat="1">
      <alignment horizontal="left" vertical="center" indent="1"/>
    </xf>
    <xf numFmtId="49" fontId="23" fillId="0" borderId="0" xfId="0" applyFont="1" applyNumberFormat="1">
      <alignment horizontal="left" vertical="center"/>
    </xf>
    <xf numFmtId="164" fontId="23" fillId="0" borderId="14" xfId="0" applyFont="1" applyBorder="1" applyNumberFormat="1">
      <alignment horizontal="right" vertical="center" wrapText="1"/>
    </xf>
    <xf numFmtId="0" fontId="0" fillId="37" borderId="21" xfId="0" applyFont="1" applyFill="1" applyBorder="1" applyNumberFormat="1">
      <alignment horizontal="center" vertical="center" wrapText="1"/>
    </xf>
    <xf numFmtId="0" fontId="55"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55" fillId="0" borderId="14" xfId="0" applyFont="1" applyBorder="1" applyNumberFormat="1">
      <alignment vertical="center" wrapText="1"/>
    </xf>
    <xf numFmtId="0" fontId="23" fillId="0" borderId="0" xfId="0" applyFont="1" applyNumberFormat="1">
      <alignment vertical="center"/>
    </xf>
    <xf numFmtId="0" fontId="55" fillId="0" borderId="25" xfId="0" applyFont="1" applyBorder="1" applyNumberFormat="1">
      <alignment horizontal="center" vertical="center" wrapText="1"/>
    </xf>
    <xf numFmtId="0" fontId="23" fillId="0" borderId="32" xfId="0" applyFont="1" applyBorder="1" applyNumberFormat="1">
      <alignment horizontal="center" vertical="center" wrapText="1"/>
    </xf>
    <xf numFmtId="0" fontId="55"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0" xfId="0" applyFont="1" applyFill="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9" fontId="55" fillId="0" borderId="0" xfId="0" applyFont="1" applyNumberFormat="1">
      <alignment vertical="center" wrapText="1"/>
    </xf>
    <xf numFmtId="0" fontId="0" fillId="0" borderId="0" xfId="0" applyFont="1" applyNumberFormat="1">
      <alignment horizontal="left" vertical="top" wrapText="1"/>
    </xf>
    <xf numFmtId="0" fontId="54" fillId="0" borderId="0" xfId="0" applyFont="1" applyNumberFormat="1">
      <alignment vertical="top" wrapText="1"/>
    </xf>
    <xf numFmtId="0" fontId="23" fillId="0" borderId="21" xfId="0" applyFont="1" applyBorder="1" applyNumberFormat="1">
      <alignment horizontal="left" vertical="center" wrapText="1" indent="1"/>
    </xf>
    <xf numFmtId="0" fontId="23" fillId="0" borderId="0" xfId="0" applyFont="1" applyNumberFormat="1">
      <alignment horizontal="left" vertical="center" wrapText="1"/>
    </xf>
    <xf numFmtId="0" fontId="23" fillId="43" borderId="22" xfId="0" applyFont="1" applyFill="1" applyBorder="1" applyNumberFormat="1">
      <alignment horizontal="left" vertical="center" wrapText="1"/>
    </xf>
    <xf numFmtId="0" fontId="23" fillId="0" borderId="0" xfId="0" applyFont="1" applyNumberFormat="1">
      <alignment horizontal="center" vertical="center" wrapText="1"/>
    </xf>
    <xf numFmtId="164" fontId="23" fillId="39" borderId="16" xfId="0" applyFont="1" applyFill="1" applyBorder="1" applyNumberFormat="1">
      <alignment horizontal="right" vertical="center" wrapText="1"/>
      <protection locked="0"/>
    </xf>
    <xf numFmtId="4" fontId="23" fillId="39" borderId="15" xfId="0" applyFont="1" applyFill="1" applyBorder="1" applyNumberFormat="1">
      <alignment horizontal="right" vertical="center" wrapText="1"/>
      <protection locked="0"/>
    </xf>
    <xf numFmtId="0" fontId="53" fillId="0" borderId="19" xfId="0" applyFont="1" applyBorder="1" applyNumberFormat="1">
      <alignment vertical="top" wrapText="1"/>
    </xf>
    <xf numFmtId="0" fontId="23" fillId="39" borderId="14" xfId="0" applyFont="1" applyFill="1" applyBorder="1" applyNumberFormat="1">
      <alignment horizontal="left" vertical="center" wrapText="1" indent="7"/>
      <protection locked="0"/>
    </xf>
    <xf numFmtId="49" fontId="0" fillId="42" borderId="14" xfId="0" applyFont="1" applyFill="1" applyBorder="1" applyNumberFormat="1">
      <alignment horizontal="center" vertical="center" wrapText="1"/>
      <protection locked="0"/>
    </xf>
    <xf numFmtId="4" fontId="55" fillId="0" borderId="16" xfId="0" applyFont="1" applyBorder="1" applyNumberFormat="1">
      <alignment horizontal="center" vertical="center" wrapText="1"/>
    </xf>
    <xf numFmtId="4" fontId="23" fillId="0" borderId="15" xfId="0" applyFont="1" applyBorder="1" applyNumberFormat="1">
      <alignment horizontal="right" vertical="center" wrapText="1"/>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9" fontId="23" fillId="40" borderId="29"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7"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61" fillId="0" borderId="0" xfId="0" applyFont="1" applyNumberFormat="1">
      <alignment vertical="center" wrapText="1"/>
    </xf>
    <xf numFmtId="0" fontId="55" fillId="0" borderId="14" xfId="0" applyFont="1" applyBorder="1" applyNumberFormat="1">
      <alignment horizontal="left" vertical="center" wrapText="1" indent="5"/>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45"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23" fillId="0" borderId="14" xfId="0" applyFont="1" applyBorder="1" applyNumberFormat="1">
      <alignment horizontal="left" vertical="center" wrapText="1" indent="4"/>
    </xf>
    <xf numFmtId="49" fontId="23" fillId="37" borderId="14" xfId="0" applyFont="1" applyFill="1" applyBorder="1" applyNumberFormat="1">
      <alignment horizontal="center" vertical="center" wrapText="1"/>
    </xf>
    <xf numFmtId="0" fontId="23" fillId="43" borderId="14" xfId="0" applyFont="1" applyFill="1" applyBorder="1" applyNumberFormat="1">
      <alignment horizontal="left" vertical="center" wrapText="1" indent="1"/>
    </xf>
    <xf numFmtId="167"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23" fillId="37" borderId="38" xfId="0" applyFont="1" applyFill="1" applyBorder="1" applyNumberFormat="1">
      <alignment horizontal="left" vertical="center" wrapText="1"/>
    </xf>
    <xf numFmtId="49" fontId="23" fillId="42" borderId="38" xfId="0" applyFont="1" applyFill="1" applyBorder="1" applyNumberFormat="1">
      <alignment horizontal="left" vertical="center" wrapText="1" indent="6"/>
      <protection locked="0"/>
    </xf>
    <xf numFmtId="164" fontId="23" fillId="40" borderId="15" xfId="0" applyFont="1" applyFill="1" applyBorder="1" applyNumberFormat="1">
      <alignment horizontal="right" vertical="center" wrapText="1"/>
    </xf>
    <xf numFmtId="49" fontId="48" fillId="40" borderId="16" xfId="0" applyFont="1" applyFill="1" applyBorder="1" applyNumberFormat="1">
      <alignment horizontal="left" vertical="center"/>
    </xf>
    <xf numFmtId="164" fontId="23" fillId="40" borderId="17" xfId="0" applyFont="1" applyFill="1" applyBorder="1" applyNumberFormat="1">
      <alignment horizontal="right" vertical="center" wrapText="1"/>
    </xf>
    <xf numFmtId="4" fontId="23" fillId="0" borderId="38" xfId="0" applyFont="1" applyBorder="1" applyNumberFormat="1">
      <alignment horizontal="right" vertical="center" wrapText="1"/>
    </xf>
    <xf numFmtId="49" fontId="48" fillId="40" borderId="16" xfId="0" applyFont="1" applyFill="1" applyBorder="1" applyNumberFormat="1">
      <alignment horizontal="left" vertical="center" indent="1"/>
    </xf>
    <xf numFmtId="0" fontId="23" fillId="37" borderId="25" xfId="0" applyFont="1" applyFill="1" applyBorder="1" applyNumberFormat="1">
      <alignment horizontal="left" vertical="center" wrapText="1"/>
    </xf>
    <xf numFmtId="49" fontId="23" fillId="42" borderId="25" xfId="0" applyFont="1" applyFill="1" applyBorder="1" applyNumberFormat="1">
      <alignment horizontal="left" vertical="center" wrapText="1" indent="6"/>
      <protection locked="0"/>
    </xf>
    <xf numFmtId="4" fontId="55" fillId="40" borderId="15" xfId="0" applyFont="1" applyFill="1" applyBorder="1" applyNumberFormat="1">
      <alignment horizontal="center"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55" fillId="0" borderId="26" xfId="0" applyFont="1" applyBorder="1" applyNumberFormat="1">
      <alignment vertical="top"/>
    </xf>
    <xf numFmtId="0" fontId="116" fillId="0" borderId="0" xfId="0" applyFont="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26" xfId="0" applyFont="1" applyBorder="1" applyNumberFormat="1">
      <alignment horizontal="left" vertical="center" wrapText="1" indent="1"/>
    </xf>
    <xf numFmtId="4" fontId="55" fillId="0" borderId="14" xfId="0" applyFont="1" applyBorder="1" applyNumberFormat="1">
      <alignment horizontal="right" vertical="center" wrapText="1"/>
    </xf>
    <xf numFmtId="164" fontId="55" fillId="0" borderId="14" xfId="0" applyFont="1" applyBorder="1" applyNumberFormat="1">
      <alignment horizontal="right" vertical="center" wrapText="1"/>
    </xf>
    <xf numFmtId="167"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left" vertical="center"/>
    </xf>
    <xf numFmtId="49" fontId="54" fillId="0" borderId="0" xfId="0" applyFont="1" applyNumberFormat="1">
      <alignment horizontal="left" vertical="center"/>
    </xf>
    <xf numFmtId="0" fontId="54" fillId="0" borderId="0" xfId="0" applyFont="1" applyNumberFormat="1">
      <alignment horizontal="left" vertical="center"/>
    </xf>
    <xf numFmtId="0" fontId="74" fillId="0" borderId="0" xfId="0" applyFont="1" applyNumberFormat="1">
      <alignment horizontal="left" vertical="center"/>
    </xf>
    <xf numFmtId="0" fontId="54" fillId="0" borderId="0" xfId="0" applyFont="1" applyNumberFormat="1">
      <alignment horizontal="left" vertical="center"/>
    </xf>
    <xf numFmtId="0" fontId="55" fillId="0" borderId="0" xfId="0" applyFont="1" applyNumberFormat="1">
      <alignment horizontal="left" vertical="center"/>
    </xf>
    <xf numFmtId="0" fontId="74" fillId="37" borderId="0" xfId="0" applyFont="1" applyFill="1" applyNumberFormat="1">
      <alignment vertical="center" wrapText="1"/>
    </xf>
    <xf numFmtId="0" fontId="23" fillId="37" borderId="3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23" fillId="37" borderId="24"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26"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23" fillId="0" borderId="14" xfId="0" applyFont="1" applyBorder="1" applyNumberFormat="1">
      <alignment horizontal="left" vertical="center" wrapText="1" indent="1"/>
    </xf>
    <xf numFmtId="0" fontId="23" fillId="0" borderId="14" xfId="0" applyFont="1" applyBorder="1" applyNumberFormat="1">
      <alignment horizontal="left" vertical="center" wrapText="1" indent="1"/>
    </xf>
    <xf numFmtId="49" fontId="23" fillId="40" borderId="16" xfId="0" applyFont="1" applyFill="1" applyBorder="1" applyNumberFormat="1">
      <alignment horizontal="center" vertical="center" wrapText="1"/>
    </xf>
    <xf numFmtId="49" fontId="77" fillId="0" borderId="26" xfId="0" applyFont="1" applyBorder="1" applyNumberFormat="1">
      <alignment vertical="top"/>
    </xf>
    <xf numFmtId="0" fontId="23" fillId="0" borderId="0" xfId="0" applyFont="1" applyNumberFormat="1">
      <alignment horizontal="left" vertical="top" wrapText="1"/>
    </xf>
    <xf numFmtId="0" fontId="74"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pplyNumberFormat="1">
      <alignment horizontal="left" vertical="top" wrapText="1"/>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49" fontId="48" fillId="40" borderId="17" xfId="0" applyFont="1" applyFill="1" applyBorder="1" applyNumberFormat="1">
      <alignment horizontal="left" vertical="center" indent="3"/>
    </xf>
    <xf numFmtId="0" fontId="55" fillId="0" borderId="0" xfId="0" applyFont="1" applyNumberFormat="1">
      <alignment horizontal="center" vertical="center"/>
    </xf>
    <xf numFmtId="0" fontId="54" fillId="0" borderId="0" xfId="0" applyFont="1" applyNumberFormat="1">
      <alignment horizontal="center" vertical="center" wrapText="1"/>
    </xf>
    <xf numFmtId="0" fontId="115" fillId="0" borderId="0" xfId="0" applyFont="1" applyNumberFormat="1">
      <alignment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23" fillId="38" borderId="17" xfId="0" applyFont="1" applyFill="1" applyBorder="1" applyNumberFormat="1">
      <alignment horizontal="left" vertical="center" wrapText="1"/>
    </xf>
    <xf numFmtId="0" fontId="54" fillId="0" borderId="0" xfId="0" applyFont="1" applyNumberFormat="1">
      <alignment horizontal="center" vertical="center" wrapText="1"/>
    </xf>
    <xf numFmtId="0" fontId="55" fillId="0" borderId="17" xfId="0" applyFont="1" applyBorder="1" applyNumberFormat="1">
      <alignment horizontal="left" vertical="center" wrapText="1"/>
    </xf>
    <xf numFmtId="49" fontId="23" fillId="43" borderId="14" xfId="0" applyFont="1" applyFill="1" applyBorder="1" applyNumberFormat="1">
      <alignment horizontal="center" vertical="center" wrapText="1"/>
    </xf>
    <xf numFmtId="167" fontId="0" fillId="42" borderId="14" xfId="0" applyFont="1" applyFill="1" applyBorder="1" applyNumberFormat="1">
      <alignment horizontal="center" vertical="center" wrapText="1"/>
      <protection locked="0"/>
    </xf>
    <xf numFmtId="49" fontId="23" fillId="43" borderId="17"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77" fillId="0" borderId="0" xfId="0" applyFont="1" applyNumberFormat="1">
      <alignment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45" fillId="0" borderId="29" xfId="0" applyFont="1" applyBorder="1" applyNumberFormat="1">
      <alignment horizontal="center" vertical="center" wrapText="1"/>
    </xf>
    <xf numFmtId="0" fontId="23" fillId="42" borderId="15"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0" fontId="55" fillId="0" borderId="0" xfId="0" applyFont="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23" fillId="39" borderId="38" xfId="0" applyFont="1" applyFill="1" applyBorder="1" applyNumberFormat="1">
      <alignment horizontal="left" vertical="center" wrapText="1" indent="6"/>
      <protection locked="0"/>
    </xf>
    <xf numFmtId="49" fontId="23" fillId="43" borderId="31" xfId="0" applyFont="1" applyFill="1" applyBorder="1" applyNumberFormat="1">
      <alignment horizontal="center" vertical="center" wrapText="1"/>
    </xf>
    <xf numFmtId="49" fontId="48" fillId="40" borderId="29" xfId="0" applyFont="1" applyFill="1" applyBorder="1" applyNumberFormat="1">
      <alignment horizontal="left" vertical="center"/>
    </xf>
    <xf numFmtId="49" fontId="23" fillId="39" borderId="25" xfId="0" applyFont="1" applyFill="1" applyBorder="1" applyNumberFormat="1">
      <alignment horizontal="left" vertical="center" wrapText="1" indent="6"/>
      <protection locked="0"/>
    </xf>
    <xf numFmtId="0" fontId="55" fillId="0" borderId="0" xfId="0" applyFont="1" applyNumberFormat="1">
      <alignment horizontal="center" vertical="center"/>
    </xf>
    <xf numFmtId="0" fontId="55" fillId="0" borderId="0" xfId="0" applyFont="1" applyNumberFormat="1">
      <alignment horizontal="left" vertical="center" wrapText="1" indent="1"/>
    </xf>
    <xf numFmtId="0" fontId="23" fillId="37" borderId="14" xfId="0" applyFont="1" applyFill="1" applyBorder="1" applyNumberFormat="1">
      <alignment horizontal="center" vertical="center" wrapText="1"/>
    </xf>
    <xf numFmtId="0" fontId="55" fillId="0" borderId="21" xfId="0" applyFont="1" applyBorder="1" applyNumberFormat="1">
      <alignment horizontal="left" vertical="center" wrapText="1"/>
    </xf>
    <xf numFmtId="0" fontId="23" fillId="0" borderId="0" xfId="0" applyFont="1" applyNumberFormat="1">
      <alignment horizontal="left" vertical="top" wrapText="1"/>
    </xf>
    <xf numFmtId="0" fontId="54" fillId="0" borderId="0" xfId="0" applyFont="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49" fontId="23" fillId="43"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55" fillId="0" borderId="14"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23"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4" fontId="23" fillId="37" borderId="14" xfId="0" applyFont="1" applyFill="1" applyBorder="1" applyNumberFormat="1">
      <alignment horizontal="left" vertical="center" wrapText="1" indent="1"/>
    </xf>
    <xf numFmtId="49" fontId="23" fillId="37" borderId="14" xfId="0" applyFont="1" applyFill="1" applyBorder="1" applyNumberFormat="1">
      <alignment horizontal="left" vertical="center" wrapText="1" indent="1"/>
    </xf>
    <xf numFmtId="4" fontId="23" fillId="37" borderId="14" xfId="0" applyFont="1" applyFill="1" applyBorder="1" applyNumberFormat="1">
      <alignment horizontal="center" vertical="center" wrapText="1"/>
    </xf>
    <xf numFmtId="49" fontId="23" fillId="37" borderId="14" xfId="0" applyFont="1" applyFill="1" applyBorder="1" applyNumberFormat="1">
      <alignment horizontal="left" vertical="center" wrapText="1" indent="1"/>
    </xf>
    <xf numFmtId="167" fontId="0" fillId="42" borderId="14" xfId="0" applyFont="1" applyFill="1" applyBorder="1" applyNumberFormat="1">
      <alignment horizontal="center" vertical="center" wrapText="1"/>
      <protection locked="0"/>
    </xf>
    <xf numFmtId="49" fontId="0" fillId="0" borderId="0" xfId="0" applyFont="1" applyNumberFormat="1">
      <alignment vertical="top"/>
    </xf>
    <xf numFmtId="0" fontId="54" fillId="0" borderId="0" xfId="0" applyFont="1" applyNumberFormat="1">
      <alignment horizontal="left" vertical="center" indent="1"/>
    </xf>
    <xf numFmtId="0" fontId="54" fillId="0" borderId="14" xfId="0" applyFont="1" applyBorder="1" applyNumberFormat="1">
      <alignment horizontal="center" vertical="center"/>
    </xf>
    <xf numFmtId="0" fontId="54" fillId="0" borderId="0" xfId="0" applyFont="1" applyNumberFormat="1">
      <alignment horizontal="center" vertical="center"/>
    </xf>
    <xf numFmtId="0" fontId="54" fillId="0" borderId="0" xfId="0" applyFont="1" applyNumberFormat="1">
      <alignment horizontal="left" vertical="center" wrapText="1"/>
    </xf>
    <xf numFmtId="49" fontId="54" fillId="0" borderId="0" xfId="0" applyFont="1" applyNumberFormat="1">
      <alignment vertical="center" wrapText="1"/>
    </xf>
    <xf numFmtId="49" fontId="54"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4" xfId="0" applyFont="1" applyBorder="1" applyNumberFormat="1">
      <alignment horizontal="left" vertical="center" wrapText="1" indent="6"/>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23" fillId="38" borderId="16" xfId="0" applyFont="1" applyFill="1" applyBorder="1" applyNumberFormat="1">
      <alignment horizontal="left" vertical="center" wrapText="1"/>
    </xf>
    <xf numFmtId="0" fontId="53" fillId="0" borderId="14" xfId="0" applyFont="1" applyBorder="1" applyNumberFormat="1">
      <alignment vertical="top" wrapText="1"/>
    </xf>
    <xf numFmtId="0" fontId="55" fillId="0" borderId="0" xfId="0" applyFont="1" applyNumberFormat="1">
      <alignment vertical="center" wrapText="1"/>
    </xf>
    <xf numFmtId="0" fontId="55" fillId="0" borderId="0" xfId="0" applyFont="1" applyNumberFormat="1">
      <alignment vertical="center"/>
    </xf>
    <xf numFmtId="49" fontId="0" fillId="0" borderId="0" xfId="0" applyFont="1" applyNumberFormat="1">
      <alignment vertical="top"/>
    </xf>
    <xf numFmtId="0" fontId="54" fillId="0" borderId="16" xfId="0" applyFont="1" applyBorder="1" applyNumberFormat="1">
      <alignment horizontal="center" vertical="center"/>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23" fillId="0" borderId="26" xfId="0" applyFont="1" applyBorder="1" applyNumberFormat="1">
      <alignment vertical="center" wrapText="1"/>
    </xf>
    <xf numFmtId="0" fontId="23" fillId="37" borderId="14" xfId="0" applyFont="1" applyFill="1" applyBorder="1" applyNumberFormat="1">
      <alignment horizontal="left" vertical="center" wrapText="1" indent="1"/>
    </xf>
    <xf numFmtId="49" fontId="0" fillId="0" borderId="0" xfId="0" applyFont="1" applyNumberFormat="1">
      <alignment vertical="top"/>
    </xf>
    <xf numFmtId="0" fontId="61" fillId="0" borderId="0" xfId="0" applyFont="1" applyNumberFormat="1">
      <alignment vertical="center" wrapText="1"/>
    </xf>
    <xf numFmtId="0" fontId="23" fillId="37" borderId="14" xfId="0" applyFont="1" applyFill="1" applyBorder="1" applyNumberFormat="1">
      <alignment horizontal="left" vertical="center" wrapText="1" indent="2"/>
    </xf>
    <xf numFmtId="0" fontId="68" fillId="0" borderId="0" xfId="0" applyFont="1" applyNumberFormat="1">
      <alignmen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horizontal="lef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0" borderId="26" xfId="0" applyFont="1" applyBorder="1" applyNumberFormat="1">
      <alignment vertical="center" wrapText="1"/>
    </xf>
    <xf numFmtId="0" fontId="55" fillId="0" borderId="14" xfId="0" applyFont="1" applyBorder="1" applyNumberFormat="1">
      <alignment horizontal="left" vertical="center" wrapText="1"/>
    </xf>
    <xf numFmtId="0" fontId="55" fillId="37" borderId="14" xfId="0" applyFont="1" applyFill="1" applyBorder="1" applyNumberFormat="1">
      <alignment horizontal="left" vertical="center" wrapText="1" indent="3"/>
    </xf>
    <xf numFmtId="0" fontId="55" fillId="0" borderId="14" xfId="0" applyFont="1" applyBorder="1" applyNumberFormat="1">
      <alignment horizontal="left" vertical="center" wrapText="1" indent="6"/>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55" fillId="0" borderId="16" xfId="0" applyFont="1" applyBorder="1" applyNumberFormat="1">
      <alignment horizontal="left" vertical="center" wrapText="1"/>
    </xf>
    <xf numFmtId="0" fontId="55" fillId="0" borderId="14" xfId="0" applyFont="1" applyBorder="1" applyNumberFormat="1">
      <alignment vertical="top" wrapText="1"/>
    </xf>
    <xf numFmtId="0" fontId="68" fillId="0" borderId="0" xfId="0" applyFont="1" applyNumberFormat="1">
      <alignment vertical="center" wrapText="1"/>
    </xf>
    <xf numFmtId="0" fontId="54" fillId="0" borderId="14" xfId="0" applyFont="1" applyBorder="1" applyNumberFormat="1">
      <alignment horizontal="center" vertical="center" wrapText="1"/>
    </xf>
    <xf numFmtId="49" fontId="55" fillId="0" borderId="0" xfId="0" applyFont="1" applyNumberFormat="1">
      <alignment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center" wrapText="1"/>
    </xf>
    <xf numFmtId="0" fontId="55" fillId="0" borderId="14" xfId="0" applyFont="1" applyBorder="1" applyNumberFormat="1">
      <alignment horizontal="left" vertical="center" wrapText="1" indent="4"/>
    </xf>
    <xf numFmtId="0" fontId="68" fillId="0" borderId="0" xfId="0" applyFont="1" applyNumberFormat="1">
      <alignment vertical="center" wrapText="1"/>
    </xf>
    <xf numFmtId="0" fontId="54" fillId="0" borderId="16" xfId="0" applyFont="1" applyBorder="1" applyNumberFormat="1">
      <alignment horizontal="center" vertical="center" wrapText="1"/>
    </xf>
    <xf numFmtId="0" fontId="55" fillId="0" borderId="14" xfId="0" applyFont="1" applyBorder="1" applyNumberFormat="1">
      <alignment horizontal="left" vertical="center" wrapText="1" indent="5"/>
    </xf>
    <xf numFmtId="49" fontId="0" fillId="0" borderId="0" xfId="0" applyFont="1" applyNumberFormat="1">
      <alignment vertical="top"/>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39" borderId="19" xfId="0" applyFont="1" applyFill="1" applyBorder="1" applyNumberFormat="1">
      <alignment horizontal="left" vertical="center" wrapText="1" indent="6"/>
      <protection locked="0"/>
    </xf>
    <xf numFmtId="4" fontId="23" fillId="39" borderId="14" xfId="0" applyFont="1" applyFill="1" applyBorder="1" applyNumberFormat="1">
      <alignment horizontal="right" vertical="center" wrapText="1"/>
      <protection locked="0"/>
    </xf>
    <xf numFmtId="164" fontId="23" fillId="39" borderId="14" xfId="0" applyFont="1" applyFill="1" applyBorder="1" applyNumberFormat="1">
      <alignment horizontal="right" vertical="center" wrapText="1"/>
      <protection locked="0"/>
    </xf>
    <xf numFmtId="167"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45"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4" fontId="23" fillId="37" borderId="14" xfId="0" applyFont="1" applyFill="1" applyBorder="1" applyNumberFormat="1">
      <alignment horizontal="left" vertical="center" wrapText="1" indent="1"/>
    </xf>
    <xf numFmtId="49" fontId="23" fillId="37" borderId="14" xfId="0" applyFont="1" applyFill="1" applyBorder="1" applyNumberFormat="1">
      <alignment horizontal="left" vertical="center" wrapText="1" indent="1"/>
    </xf>
    <xf numFmtId="0" fontId="23" fillId="0" borderId="39" xfId="0" applyFont="1" applyBorder="1" applyNumberFormat="1">
      <alignment horizontal="center" vertical="center" wrapText="1"/>
    </xf>
    <xf numFmtId="4" fontId="23" fillId="37" borderId="14" xfId="0" applyFont="1" applyFill="1" applyBorder="1" applyNumberFormat="1">
      <alignment horizontal="center" vertical="center" wrapText="1"/>
    </xf>
    <xf numFmtId="49" fontId="23" fillId="43" borderId="22" xfId="0" applyFont="1" applyFill="1" applyBorder="1" applyNumberFormat="1">
      <alignment horizontal="center" vertical="center" wrapText="1"/>
    </xf>
    <xf numFmtId="0" fontId="23" fillId="0" borderId="14" xfId="0" applyFont="1" applyBorder="1" applyNumberFormat="1">
      <alignment horizontal="left" vertical="center" wrapText="1" indent="4"/>
    </xf>
    <xf numFmtId="49" fontId="23" fillId="42" borderId="14" xfId="0" applyFont="1" applyFill="1" applyBorder="1" applyNumberFormat="1">
      <alignment horizontal="left" vertical="center" wrapText="1" indent="1"/>
      <protection locked="0"/>
    </xf>
    <xf numFmtId="4" fontId="23" fillId="0" borderId="19" xfId="0" applyFont="1" applyBorder="1" applyNumberFormat="1">
      <alignment horizontal="right" vertical="center" wrapText="1"/>
    </xf>
    <xf numFmtId="0" fontId="53" fillId="0" borderId="19" xfId="0" applyFont="1" applyBorder="1" applyNumberFormat="1">
      <alignment horizontal="left" vertical="top" wrapText="1"/>
    </xf>
    <xf numFmtId="0" fontId="54" fillId="0" borderId="0" xfId="0" applyFont="1" applyNumberFormat="1">
      <alignment horizontal="left" vertical="center" indent="1"/>
    </xf>
    <xf numFmtId="0" fontId="54" fillId="0" borderId="16" xfId="0" applyFont="1" applyBorder="1" applyNumberFormat="1">
      <alignment horizontal="center" vertical="center"/>
    </xf>
    <xf numFmtId="0" fontId="54" fillId="0" borderId="16" xfId="0" applyFont="1" applyBorder="1" applyNumberFormat="1">
      <alignment horizontal="center" vertical="center" wrapText="1"/>
    </xf>
    <xf numFmtId="0" fontId="54" fillId="0" borderId="14" xfId="0" applyFont="1" applyBorder="1" applyNumberFormat="1">
      <alignment horizontal="center" vertical="center" wrapText="1"/>
    </xf>
    <xf numFmtId="0" fontId="54" fillId="0" borderId="0" xfId="0" applyFont="1" applyNumberFormat="1">
      <alignment horizontal="center" vertical="center"/>
    </xf>
    <xf numFmtId="49" fontId="54" fillId="0" borderId="0" xfId="0" applyFont="1" applyNumberFormat="1">
      <alignment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39" borderId="19" xfId="0" applyFont="1" applyFill="1" applyBorder="1" applyNumberFormat="1">
      <alignment horizontal="left" vertical="center" wrapText="1" indent="6"/>
      <protection locked="0"/>
    </xf>
    <xf numFmtId="0" fontId="23" fillId="0" borderId="14" xfId="0" applyFont="1" applyBorder="1" applyNumberFormat="1">
      <alignment horizontal="left" vertical="center" wrapText="1" indent="6"/>
    </xf>
    <xf numFmtId="4" fontId="23" fillId="39" borderId="14" xfId="0" applyFont="1" applyFill="1" applyBorder="1" applyNumberFormat="1">
      <alignment horizontal="right" vertical="center" wrapText="1"/>
      <protection locked="0"/>
    </xf>
    <xf numFmtId="164" fontId="23" fillId="39" borderId="14" xfId="0" applyFont="1" applyFill="1" applyBorder="1" applyNumberFormat="1">
      <alignment horizontal="right" vertical="center" wrapText="1"/>
      <protection locked="0"/>
    </xf>
    <xf numFmtId="49" fontId="23" fillId="43" borderId="14" xfId="0" applyFont="1" applyFill="1" applyBorder="1" applyNumberFormat="1">
      <alignment horizontal="center" vertical="center" wrapText="1"/>
    </xf>
    <xf numFmtId="49" fontId="23" fillId="43" borderId="19" xfId="0" applyFont="1" applyFill="1" applyBorder="1" applyNumberFormat="1">
      <alignment horizontal="center" vertical="center" wrapText="1"/>
    </xf>
    <xf numFmtId="0" fontId="45"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4" fontId="23" fillId="37" borderId="14" xfId="0" applyFont="1" applyFill="1" applyBorder="1" applyNumberFormat="1">
      <alignment horizontal="left" vertical="center" wrapText="1" indent="1"/>
    </xf>
    <xf numFmtId="49" fontId="23" fillId="43" borderId="14" xfId="0" applyFont="1" applyFill="1" applyBorder="1" applyNumberFormat="1">
      <alignment horizontal="left" vertical="center" wrapText="1" indent="1"/>
      <protection locked="0"/>
    </xf>
    <xf numFmtId="0" fontId="23" fillId="0" borderId="39" xfId="0" applyFont="1" applyBorder="1" applyNumberFormat="1">
      <alignment horizontal="center" vertical="center" wrapText="1"/>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0" fontId="44" fillId="0" borderId="0" xfId="0" applyFont="1" applyNumberFormat="1">
      <alignment horizontal="center" vertical="center" wrapText="1"/>
    </xf>
    <xf numFmtId="49" fontId="23" fillId="42" borderId="14" xfId="0" applyFont="1" applyFill="1" applyBorder="1" applyNumberFormat="1">
      <alignment horizontal="left" vertical="center" wrapText="1" indent="1"/>
      <protection locked="0"/>
    </xf>
    <xf numFmtId="4" fontId="23" fillId="0" borderId="19" xfId="0" applyFont="1" applyBorder="1" applyNumberFormat="1">
      <alignment horizontal="right" vertical="center" wrapText="1"/>
    </xf>
    <xf numFmtId="0" fontId="53" fillId="0" borderId="19" xfId="0" applyFont="1" applyBorder="1" applyNumberFormat="1">
      <alignment horizontal="left" vertical="top" wrapText="1"/>
    </xf>
    <xf numFmtId="0" fontId="55" fillId="0" borderId="0" xfId="0" applyFont="1" applyNumberFormat="1">
      <alignment vertical="center" wrapText="1"/>
    </xf>
    <xf numFmtId="0" fontId="55" fillId="0" borderId="0" xfId="0" applyFont="1" applyNumberFormat="1">
      <alignment vertical="center"/>
    </xf>
    <xf numFmtId="49" fontId="0" fillId="0" borderId="0" xfId="0" applyFont="1" applyNumberFormat="1">
      <alignment vertical="top"/>
    </xf>
    <xf numFmtId="0" fontId="23" fillId="37" borderId="38" xfId="0" applyFont="1" applyFill="1" applyBorder="1" applyNumberFormat="1">
      <alignment horizontal="left" vertical="center" wrapText="1"/>
    </xf>
    <xf numFmtId="49" fontId="23" fillId="39" borderId="38" xfId="0" applyFont="1" applyFill="1" applyBorder="1" applyNumberFormat="1">
      <alignment horizontal="left" vertical="center" wrapText="1" indent="6"/>
      <protection locked="0"/>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0" fontId="23" fillId="0" borderId="32" xfId="0" applyFont="1" applyBorder="1" applyNumberFormat="1">
      <alignment horizontal="center" vertical="center" wrapText="1"/>
    </xf>
    <xf numFmtId="49" fontId="23" fillId="43" borderId="31" xfId="0" applyFont="1" applyFill="1" applyBorder="1" applyNumberFormat="1">
      <alignment horizontal="center"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0" fontId="53" fillId="0" borderId="38" xfId="0" applyFont="1" applyBorder="1" applyNumberFormat="1">
      <alignment horizontal="left" vertical="top"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indent="1"/>
    </xf>
    <xf numFmtId="49" fontId="48" fillId="40" borderId="17" xfId="0" applyFont="1" applyFill="1" applyBorder="1" applyNumberFormat="1">
      <alignment horizontal="left" vertical="center" indent="1"/>
    </xf>
    <xf numFmtId="49" fontId="48" fillId="40" borderId="17" xfId="0" applyFont="1" applyFill="1" applyBorder="1" applyNumberFormat="1">
      <alignmen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0" fontId="23" fillId="37" borderId="25" xfId="0" applyFont="1" applyFill="1" applyBorder="1" applyNumberFormat="1">
      <alignment horizontal="left" vertical="center" wrapText="1"/>
    </xf>
    <xf numFmtId="49" fontId="23" fillId="39" borderId="25" xfId="0" applyFont="1" applyFill="1" applyBorder="1" applyNumberFormat="1">
      <alignment horizontal="left" vertical="center" wrapText="1" indent="6"/>
      <protection locked="0"/>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5" xfId="0" applyFont="1" applyFill="1" applyBorder="1" applyNumberFormat="1">
      <alignment horizontal="center" vertical="center" wrapText="1"/>
    </xf>
    <xf numFmtId="49" fontId="0" fillId="0" borderId="0" xfId="0" applyFont="1" applyNumberFormat="1">
      <alignment vertical="top"/>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5"/>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5" xfId="0" applyFont="1" applyFill="1" applyBorder="1" applyNumberFormat="1">
      <alignment horizontal="center" vertical="center" wrapText="1"/>
    </xf>
    <xf numFmtId="0" fontId="53" fillId="0" borderId="25" xfId="0" applyFont="1" applyBorder="1" applyNumberFormat="1">
      <alignment horizontal="left" vertical="top" wrapText="1"/>
    </xf>
    <xf numFmtId="0" fontId="68" fillId="0" borderId="0" xfId="0" applyFont="1" applyNumberFormat="1">
      <alignment vertical="center"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0" fontId="68" fillId="0" borderId="0" xfId="0" applyFont="1" applyNumberFormat="1">
      <alignment vertical="center" wrapText="1"/>
    </xf>
    <xf numFmtId="49" fontId="55" fillId="0" borderId="0" xfId="0" applyFont="1" applyNumberFormat="1">
      <alignment vertical="top"/>
    </xf>
    <xf numFmtId="49" fontId="112" fillId="0" borderId="0" xfId="0" applyFont="1" applyNumberFormat="1">
      <alignment vertical="top"/>
    </xf>
    <xf numFmtId="49" fontId="55" fillId="0" borderId="26" xfId="0" applyFont="1" applyBorder="1" applyNumberFormat="1">
      <alignment vertical="top"/>
    </xf>
    <xf numFmtId="0" fontId="68" fillId="0" borderId="0" xfId="0" applyFont="1" applyNumberFormat="1">
      <alignment vertical="center" wrapText="1"/>
    </xf>
    <xf numFmtId="49" fontId="102" fillId="0" borderId="0" xfId="0" applyFont="1" applyNumberFormat="1">
      <alignment horizontal="left" vertical="center"/>
    </xf>
    <xf numFmtId="49" fontId="55" fillId="0" borderId="0" xfId="0" applyFont="1" applyNumberFormat="1">
      <alignment horizontal="left" vertical="center" indent="1"/>
    </xf>
    <xf numFmtId="49" fontId="55" fillId="0" borderId="0" xfId="0" applyFont="1" applyNumberFormat="1">
      <alignment horizontal="center" vertical="center" wrapText="1"/>
    </xf>
    <xf numFmtId="49" fontId="0" fillId="0" borderId="0" xfId="0" applyFont="1" applyNumberFormat="1">
      <alignment vertical="top"/>
    </xf>
    <xf numFmtId="0" fontId="68" fillId="0" borderId="0" xfId="0" applyFont="1" applyNumberFormat="1">
      <alignment vertical="center" wrapText="1"/>
    </xf>
    <xf numFmtId="0" fontId="68" fillId="0" borderId="0" xfId="0" applyFont="1" applyNumberFormat="1">
      <alignment vertical="center" wrapText="1"/>
    </xf>
    <xf numFmtId="0" fontId="68"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indent="1"/>
    </xf>
    <xf numFmtId="49" fontId="48" fillId="40" borderId="17" xfId="0" applyFont="1" applyFill="1" applyBorder="1" applyNumberFormat="1">
      <alignment horizontal="left" vertical="center" indent="1"/>
    </xf>
    <xf numFmtId="49" fontId="48" fillId="40" borderId="17" xfId="0" applyFont="1" applyFill="1" applyBorder="1" applyNumberFormat="1">
      <alignmen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5" xfId="0" applyFont="1" applyFill="1" applyBorder="1" applyNumberFormat="1">
      <alignment horizontal="center" vertical="center" wrapText="1"/>
    </xf>
    <xf numFmtId="49" fontId="0" fillId="0" borderId="0" xfId="0" applyFont="1" applyNumberFormat="1">
      <alignment vertical="top"/>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5"/>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5" xfId="0" applyFont="1" applyFill="1" applyBorder="1" applyNumberFormat="1">
      <alignment horizontal="center" vertical="center" wrapText="1"/>
    </xf>
    <xf numFmtId="0" fontId="68" fillId="0" borderId="0" xfId="0" applyFont="1" applyNumberFormat="1">
      <alignment vertical="center" wrapText="1"/>
    </xf>
    <xf numFmtId="0" fontId="68" fillId="0" borderId="0" xfId="0" applyFont="1" applyNumberFormat="1">
      <alignment vertical="center" wrapText="1"/>
    </xf>
    <xf numFmtId="0" fontId="68" fillId="0" borderId="0" xfId="0" applyFont="1" applyNumberFormat="1">
      <alignment vertical="center" wrapText="1"/>
    </xf>
    <xf numFmtId="49" fontId="0" fillId="0" borderId="0" xfId="0" applyFont="1" applyNumberFormat="1">
      <alignment vertical="top"/>
    </xf>
    <xf numFmtId="0" fontId="68" fillId="0" borderId="0" xfId="0" applyFont="1" applyNumberFormat="1">
      <alignment vertical="center" wrapText="1"/>
    </xf>
    <xf numFmtId="0" fontId="68" fillId="0" borderId="0" xfId="0" applyFont="1" applyNumberFormat="1">
      <alignment vertical="center" wrapText="1"/>
    </xf>
    <xf numFmtId="0" fontId="68"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indent="1"/>
    </xf>
    <xf numFmtId="49" fontId="48" fillId="40" borderId="17" xfId="0" applyFont="1" applyFill="1" applyBorder="1" applyNumberFormat="1">
      <alignment horizontal="left" vertical="center" indent="1"/>
    </xf>
    <xf numFmtId="49" fontId="48" fillId="40" borderId="17" xfId="0" applyFont="1" applyFill="1" applyBorder="1" applyNumberFormat="1">
      <alignmen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5" xfId="0" applyFont="1" applyFill="1" applyBorder="1" applyNumberFormat="1">
      <alignment horizontal="center" vertical="center" wrapText="1"/>
    </xf>
    <xf numFmtId="49" fontId="0" fillId="0" borderId="0" xfId="0" applyFont="1" applyNumberFormat="1">
      <alignment vertical="top"/>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5"/>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5" xfId="0" applyFont="1" applyFill="1" applyBorder="1" applyNumberFormat="1">
      <alignment horizontal="center" vertical="center" wrapText="1"/>
    </xf>
    <xf numFmtId="0" fontId="68" fillId="0" borderId="0" xfId="0" applyFont="1" applyNumberFormat="1">
      <alignment vertical="center" wrapText="1"/>
    </xf>
    <xf numFmtId="0" fontId="68" fillId="0" borderId="0" xfId="0" applyFont="1" applyNumberFormat="1">
      <alignment vertical="center" wrapText="1"/>
    </xf>
    <xf numFmtId="0" fontId="68" fillId="0" borderId="0" xfId="0" applyFont="1" applyNumberFormat="1">
      <alignment vertical="center" wrapText="1"/>
    </xf>
    <xf numFmtId="49" fontId="0" fillId="0" borderId="0" xfId="0" applyFont="1" applyNumberFormat="1">
      <alignment vertical="top"/>
    </xf>
    <xf numFmtId="0" fontId="68" fillId="0" borderId="0" xfId="0" applyFont="1" applyNumberFormat="1">
      <alignment vertical="center" wrapText="1"/>
    </xf>
    <xf numFmtId="0" fontId="68" fillId="0" borderId="0" xfId="0" applyFont="1" applyNumberFormat="1">
      <alignment vertical="center" wrapText="1"/>
    </xf>
    <xf numFmtId="0" fontId="68"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horizontal="left" vertical="center" indent="1"/>
    </xf>
    <xf numFmtId="49" fontId="48" fillId="40" borderId="17" xfId="0" applyFont="1" applyFill="1" applyBorder="1" applyNumberFormat="1">
      <alignment horizontal="left" vertical="center" indent="1"/>
    </xf>
    <xf numFmtId="49" fontId="48" fillId="40" borderId="17" xfId="0" applyFont="1" applyFill="1" applyBorder="1" applyNumberFormat="1">
      <alignmen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164" fontId="23" fillId="40" borderId="15" xfId="0" applyFont="1" applyFill="1" applyBorder="1" applyNumberFormat="1">
      <alignment horizontal="right" vertical="center" wrapText="1"/>
    </xf>
    <xf numFmtId="49" fontId="0" fillId="0" borderId="0" xfId="0" applyFont="1" applyNumberFormat="1">
      <alignment vertical="top"/>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48" fillId="40" borderId="17" xfId="0" applyFont="1" applyFill="1" applyBorder="1" applyNumberFormat="1">
      <alignment horizontal="left" vertical="center"/>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23" fillId="40" borderId="17" xfId="0" applyFont="1" applyFill="1" applyBorder="1" applyNumberFormat="1">
      <alignment horizontal="right" vertical="center" wrapText="1"/>
    </xf>
    <xf numFmtId="4" fontId="55" fillId="40" borderId="15" xfId="0" applyFont="1" applyFill="1" applyBorder="1" applyNumberFormat="1">
      <alignment horizontal="center" vertical="center" wrapText="1"/>
    </xf>
    <xf numFmtId="49" fontId="0" fillId="0" borderId="0" xfId="0" applyFont="1" applyNumberFormat="1">
      <alignment vertical="top"/>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5"/>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5" xfId="0" applyFont="1" applyFill="1" applyBorder="1" applyNumberFormat="1">
      <alignment horizontal="center" vertical="center" wrapText="1"/>
    </xf>
    <xf numFmtId="0" fontId="68" fillId="0" borderId="0" xfId="0" applyFont="1" applyNumberFormat="1">
      <alignment vertical="center" wrapText="1"/>
    </xf>
    <xf numFmtId="0" fontId="68" fillId="0" borderId="0" xfId="0" applyFont="1" applyNumberFormat="1">
      <alignment vertical="center" wrapText="1"/>
    </xf>
    <xf numFmtId="0" fontId="68" fillId="0" borderId="0" xfId="0" applyFont="1" applyNumberFormat="1">
      <alignment vertical="center" wrapText="1"/>
    </xf>
    <xf numFmtId="0" fontId="68" fillId="0" borderId="0" xfId="0" applyFont="1" applyNumberFormat="1">
      <alignment vertical="center" wrapText="1"/>
    </xf>
    <xf numFmtId="49" fontId="55" fillId="0" borderId="0" xfId="0" applyFont="1" applyNumberFormat="1">
      <alignment horizontal="left" vertical="center"/>
    </xf>
    <xf numFmtId="0" fontId="68" fillId="0" borderId="0" xfId="0" applyFont="1" applyNumberFormat="1">
      <alignment vertical="center" wrapText="1"/>
    </xf>
    <xf numFmtId="49" fontId="55"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0" fontId="23" fillId="0" borderId="14" xfId="0" applyFont="1" applyBorder="1" applyNumberFormat="1">
      <alignment horizontal="center" vertical="center" wrapText="1"/>
    </xf>
    <xf numFmtId="0" fontId="23" fillId="0" borderId="14" xfId="0" applyFont="1" applyBorder="1" applyNumberFormat="1">
      <alignment vertical="center" wrapText="1"/>
    </xf>
    <xf numFmtId="0" fontId="89" fillId="0" borderId="0" xfId="0" applyFont="1" applyNumberFormat="1">
      <alignment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4" fontId="23" fillId="39" borderId="14" xfId="0" applyFont="1" applyFill="1" applyBorder="1" applyNumberFormat="1">
      <alignment horizontal="right" vertical="center" wrapText="1"/>
      <protection locked="0"/>
    </xf>
    <xf numFmtId="0" fontId="23" fillId="39" borderId="14" xfId="0" applyFont="1" applyFill="1" applyBorder="1" applyNumberFormat="1">
      <alignment horizontal="left" vertical="center" wrapText="1"/>
      <protection locked="0"/>
    </xf>
    <xf numFmtId="49" fontId="96" fillId="0" borderId="0" xfId="0" applyFont="1" applyNumberFormat="1">
      <alignment horizontal="center" vertical="center" wrapText="1"/>
    </xf>
    <xf numFmtId="49" fontId="23" fillId="0" borderId="0" xfId="0" applyFont="1" applyNumberFormat="1">
      <alignment horizontal="center" vertical="top" wrapText="1"/>
    </xf>
    <xf numFmtId="0" fontId="23" fillId="0" borderId="14" xfId="0" applyFont="1" applyBorder="1" applyNumberFormat="1">
      <alignment horizontal="center" vertical="center" wrapText="1"/>
    </xf>
    <xf numFmtId="0" fontId="23" fillId="0" borderId="15" xfId="0" applyFont="1" applyBorder="1" applyNumberFormat="1">
      <alignment vertical="top" wrapText="1"/>
    </xf>
    <xf numFmtId="0" fontId="59" fillId="0" borderId="0" xfId="0" applyFont="1" applyNumberFormat="1">
      <alignment vertical="center" wrapText="1"/>
    </xf>
    <xf numFmtId="0" fontId="23" fillId="0" borderId="15" xfId="0" applyFont="1" applyBorder="1" applyNumberFormat="1">
      <alignment horizontal="center" vertical="center" wrapText="1"/>
    </xf>
    <xf numFmtId="166" fontId="23" fillId="39" borderId="14" xfId="0" applyFont="1" applyFill="1" applyBorder="1" applyNumberFormat="1">
      <alignment horizontal="right" vertical="center" wrapText="1"/>
      <protection locked="0"/>
    </xf>
    <xf numFmtId="0" fontId="23" fillId="0" borderId="22" xfId="0" applyFont="1" applyBorder="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2" fillId="0" borderId="0" xfId="0" applyFont="1" applyNumberFormat="1">
      <alignment vertical="center" wrapText="1"/>
    </xf>
    <xf numFmtId="0" fontId="23" fillId="0" borderId="0" xfId="0" applyFont="1" applyNumberFormat="1">
      <alignment horizontal="left" vertical="center" wrapText="1" indent="3"/>
    </xf>
    <xf numFmtId="0" fontId="102" fillId="37" borderId="0" xfId="0" applyFont="1" applyFill="1" applyNumberFormat="1">
      <alignment horizontal="right" vertical="center"/>
    </xf>
    <xf numFmtId="0" fontId="23" fillId="0" borderId="16" xfId="0" applyFont="1" applyBorder="1" applyNumberFormat="1">
      <alignment vertical="center"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38" borderId="16" xfId="0" applyFont="1" applyFill="1" applyBorder="1" applyNumberFormat="1">
      <alignment horizontal="left" vertical="top" wrapTex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0" fontId="23" fillId="0" borderId="14" xfId="0" applyFont="1" applyBorder="1" applyNumberFormat="1">
      <alignment horizontal="center" vertical="center" wrapText="1"/>
    </xf>
    <xf numFmtId="4" fontId="23" fillId="42" borderId="14" xfId="0" applyFont="1" applyFill="1" applyBorder="1" applyNumberFormat="1">
      <alignment horizontal="right" vertical="center" wrapText="1"/>
      <protection locked="0"/>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center" wrapText="1" inden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77" fillId="0" borderId="0" xfId="0" applyFont="1" applyNumberFormat="1">
      <alignment horizontal="center" vertical="center" wrapText="1"/>
    </xf>
    <xf numFmtId="49" fontId="77" fillId="0" borderId="30" xfId="0" applyFont="1" applyBorder="1" applyNumberFormat="1">
      <alignment horizontal="center" vertical="center" wrapText="1"/>
    </xf>
    <xf numFmtId="0" fontId="77" fillId="0" borderId="14" xfId="0" applyFont="1" applyBorder="1" applyNumberFormat="1">
      <alignment horizontal="left" vertical="center" wrapText="1" indent="2"/>
    </xf>
    <xf numFmtId="0" fontId="77" fillId="0" borderId="14" xfId="0" applyFont="1" applyBorder="1" applyNumberFormat="1">
      <alignment horizontal="center" vertical="center" wrapText="1"/>
    </xf>
    <xf numFmtId="0" fontId="77" fillId="0" borderId="14" xfId="0" applyFont="1" applyBorder="1" applyNumberFormat="1">
      <alignment vertical="center" wrapText="1"/>
    </xf>
    <xf numFmtId="0" fontId="90" fillId="0" borderId="0" xfId="0" applyFont="1" applyNumberFormat="1">
      <alignment vertical="center" wrapText="1"/>
    </xf>
    <xf numFmtId="0" fontId="68" fillId="0" borderId="0" xfId="0" applyFont="1" applyNumberFormat="1">
      <alignment vertical="center" wrapText="1"/>
    </xf>
    <xf numFmtId="0" fontId="77" fillId="0" borderId="30" xfId="0" applyFont="1" applyBorder="1" applyNumberFormat="1">
      <alignment horizontal="center" vertical="center" wrapText="1"/>
    </xf>
    <xf numFmtId="0" fontId="77" fillId="0" borderId="14" xfId="0" applyFont="1" applyBorder="1" applyNumberFormat="1">
      <alignment horizontal="left" vertical="center" wrapText="1" indent="3"/>
    </xf>
    <xf numFmtId="4" fontId="77" fillId="0" borderId="14" xfId="0" applyFont="1" applyBorder="1" applyNumberFormat="1">
      <alignment horizontal="right" vertical="center" wrapText="1"/>
    </xf>
    <xf numFmtId="0" fontId="45" fillId="0" borderId="0" xfId="0" applyFont="1" applyNumberFormat="1">
      <alignment horizontal="center" vertical="center" wrapText="1"/>
    </xf>
    <xf numFmtId="49"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23" fillId="0" borderId="14" xfId="0" applyFont="1" applyBorder="1" applyNumberFormat="1">
      <alignment horizontal="left" vertical="center" wrapText="1" indent="2"/>
    </xf>
    <xf numFmtId="14" fontId="23" fillId="0" borderId="0" xfId="0" applyFont="1" applyNumberFormat="1">
      <alignment horizontal="center" vertical="center" wrapText="1"/>
    </xf>
    <xf numFmtId="49" fontId="96" fillId="48" borderId="0" xfId="0" applyFont="1" applyFill="1" applyNumberFormat="1">
      <alignment horizontal="center" vertical="center" wrapText="1"/>
    </xf>
    <xf numFmtId="49" fontId="36" fillId="0" borderId="0" xfId="0" applyFont="1" applyNumberFormat="1">
      <alignment horizontal="center" vertical="center"/>
    </xf>
    <xf numFmtId="166" fontId="23" fillId="42" borderId="14" xfId="0" applyFont="1" applyFill="1" applyBorder="1" applyNumberFormat="1">
      <alignment horizontal="right" vertical="center" wrapText="1"/>
      <protection locked="0"/>
    </xf>
    <xf numFmtId="0" fontId="54" fillId="0" borderId="0" xfId="0" applyFont="1" applyNumberFormat="1">
      <alignment horizontal="left" vertical="center" wrapText="1"/>
    </xf>
    <xf numFmtId="49" fontId="96" fillId="0" borderId="0" xfId="0" applyFont="1" applyNumberFormat="1">
      <alignment horizontal="left" vertical="center" wrapText="1"/>
    </xf>
    <xf numFmtId="0" fontId="55" fillId="0" borderId="0" xfId="0" applyFont="1" applyNumberFormat="1">
      <alignment horizontal="left" vertical="center" wrapText="1"/>
    </xf>
    <xf numFmtId="49" fontId="23" fillId="0" borderId="0" xfId="0" applyFont="1" applyNumberFormat="1">
      <alignment horizontal="left" vertical="center" wrapText="1"/>
    </xf>
    <xf numFmtId="0" fontId="59" fillId="0" borderId="0" xfId="0" applyFont="1" applyNumberFormat="1">
      <alignment horizontal="left" vertical="center" wrapText="1"/>
    </xf>
    <xf numFmtId="0" fontId="40" fillId="0" borderId="0" xfId="0" applyFont="1" applyNumberFormat="1">
      <alignment horizontal="left" vertical="center" wrapText="1"/>
    </xf>
    <xf numFmtId="49" fontId="23" fillId="43" borderId="14" xfId="0" applyFont="1" applyFill="1" applyBorder="1" applyNumberFormat="1">
      <alignment horizontal="left" vertical="center" wrapText="1"/>
    </xf>
    <xf numFmtId="0" fontId="23" fillId="0" borderId="19" xfId="0" applyFont="1" applyBorder="1" applyNumberFormat="1">
      <alignment horizontal="center" vertical="center" wrapText="1"/>
    </xf>
    <xf numFmtId="4" fontId="23" fillId="38" borderId="19" xfId="0" applyFont="1" applyFill="1" applyBorder="1" applyNumberFormat="1">
      <alignment horizontal="right" vertical="center"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0" fontId="55" fillId="0" borderId="19" xfId="0" applyFont="1" applyBorder="1" applyNumberFormat="1">
      <alignment vertical="top" wrapText="1"/>
    </xf>
    <xf numFmtId="4" fontId="23" fillId="42" borderId="15" xfId="0" applyFont="1" applyFill="1" applyBorder="1" applyNumberFormat="1">
      <alignment horizontal="right" vertical="center" wrapText="1"/>
      <protection locked="0"/>
    </xf>
    <xf numFmtId="49" fontId="34" fillId="39" borderId="15"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0" fontId="54" fillId="0" borderId="0" xfId="0" applyFont="1" applyNumberFormat="1">
      <alignment vertical="center" wrapText="1"/>
    </xf>
    <xf numFmtId="0" fontId="55" fillId="0" borderId="0" xfId="0" applyFont="1" applyNumberFormat="1">
      <alignment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center" wrapText="1"/>
    </xf>
    <xf numFmtId="166" fontId="23" fillId="42" borderId="15" xfId="0" applyFont="1" applyFill="1" applyBorder="1" applyNumberFormat="1">
      <alignment horizontal="right" vertical="center" wrapText="1"/>
      <protection locked="0"/>
    </xf>
    <xf numFmtId="0" fontId="89"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23" fillId="0" borderId="0" xfId="0" applyFont="1" applyNumberFormat="1">
      <alignment vertical="center" wrapText="1"/>
    </xf>
    <xf numFmtId="0" fontId="54" fillId="0" borderId="0" xfId="0" applyFont="1" applyNumberFormat="1">
      <alignment vertical="center" wrapText="1"/>
    </xf>
    <xf numFmtId="166" fontId="23" fillId="38" borderId="15" xfId="0" applyFont="1" applyFill="1" applyBorder="1" applyNumberFormat="1">
      <alignment horizontal="right" vertical="center" wrapText="1"/>
    </xf>
    <xf numFmtId="166" fontId="23" fillId="38" borderId="14" xfId="0" applyFont="1" applyFill="1" applyBorder="1" applyNumberFormat="1">
      <alignment horizontal="right" vertical="center" wrapText="1"/>
    </xf>
    <xf numFmtId="49" fontId="96" fillId="48" borderId="0" xfId="0" applyFont="1" applyFill="1" applyNumberFormat="1">
      <alignment horizontal="center" vertical="center" textRotation="90" wrapText="1"/>
    </xf>
    <xf numFmtId="0" fontId="23" fillId="42" borderId="14" xfId="0" applyFont="1" applyFill="1" applyBorder="1" applyNumberFormat="1">
      <alignment horizontal="center" vertical="center" wrapText="1"/>
      <protection locked="0"/>
    </xf>
    <xf numFmtId="4" fontId="23" fillId="42" borderId="31"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0" fontId="55" fillId="0" borderId="38" xfId="0" applyFont="1" applyBorder="1" applyNumberFormat="1">
      <alignment horizontal="left" vertical="center" wrapText="1" indent="1"/>
    </xf>
    <xf numFmtId="0" fontId="55" fillId="0" borderId="38" xfId="0" applyFont="1" applyBorder="1" applyNumberFormat="1">
      <alignment horizontal="center" vertical="center" wrapText="1"/>
    </xf>
    <xf numFmtId="0" fontId="55" fillId="0" borderId="19" xfId="0" applyFont="1" applyBorder="1" applyNumberFormat="1">
      <alignment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0" borderId="25" xfId="0" applyFont="1" applyBorder="1" applyNumberFormat="1">
      <alignment vertical="top" wrapText="1"/>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22" xfId="0" applyFont="1" applyBorder="1" applyNumberFormat="1">
      <alignment horizontal="center" vertical="center" wrapText="1"/>
    </xf>
    <xf numFmtId="166" fontId="23" fillId="42" borderId="19" xfId="0" applyFont="1" applyFill="1" applyBorder="1" applyNumberFormat="1">
      <alignment horizontal="right" vertical="center" wrapText="1"/>
      <protection locked="0"/>
    </xf>
    <xf numFmtId="0" fontId="55" fillId="0" borderId="25" xfId="0" applyFont="1" applyBorder="1" applyNumberFormat="1">
      <alignment horizontal="left" vertical="center" wrapText="1" indent="1"/>
    </xf>
    <xf numFmtId="0" fontId="55" fillId="0" borderId="19" xfId="0" applyFont="1" applyBorder="1" applyNumberFormat="1">
      <alignment horizontal="center" vertical="center" wrapText="1"/>
    </xf>
    <xf numFmtId="0" fontId="45" fillId="0" borderId="0" xfId="0" applyFont="1" applyNumberForma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55" fillId="0" borderId="19" xfId="0" applyFont="1" applyBorder="1" applyNumberFormat="1">
      <alignment horizontal="left" vertical="center" wrapText="1" indent="1"/>
    </xf>
    <xf numFmtId="49" fontId="34" fillId="39" borderId="14" xfId="0" applyFont="1" applyFill="1" applyBorder="1" applyNumberFormat="1">
      <alignment horizontal="left" vertical="center" wrapText="1"/>
      <protection locked="0"/>
    </xf>
    <xf numFmtId="0" fontId="23" fillId="0" borderId="0" xfId="0" applyFont="1" applyNumberFormat="1">
      <alignment vertical="top" wrapText="1"/>
    </xf>
    <xf numFmtId="0" fontId="23" fillId="0" borderId="0" xfId="0" applyFont="1" applyNumberFormat="1">
      <alignment horizontal="left" vertical="top" wrapText="1"/>
    </xf>
    <xf numFmtId="0" fontId="23" fillId="0" borderId="0" xfId="0" applyFont="1" applyNumberFormat="1">
      <alignment horizontal="left" vertical="center" wrapText="1"/>
    </xf>
    <xf numFmtId="0" fontId="59" fillId="0" borderId="0" xfId="0" applyFont="1" applyNumberFormat="1">
      <alignment vertical="center"/>
    </xf>
    <xf numFmtId="0" fontId="96" fillId="0" borderId="0" xfId="0" applyFont="1" applyNumberFormat="1">
      <alignment vertical="center" wrapText="1"/>
    </xf>
    <xf numFmtId="49" fontId="96" fillId="0" borderId="0" xfId="0" applyFont="1" applyNumberFormat="1">
      <alignment horizontal="center" vertical="center" wrapText="1"/>
    </xf>
    <xf numFmtId="0" fontId="23" fillId="0" borderId="0" xfId="0" applyFont="1" applyNumberFormat="1">
      <alignment vertical="center" wrapText="1"/>
    </xf>
    <xf numFmtId="0" fontId="59" fillId="0" borderId="0" xfId="0" applyFont="1" applyNumberFormat="1">
      <alignment vertical="center" wrapText="1"/>
    </xf>
    <xf numFmtId="0" fontId="23" fillId="0" borderId="21" xfId="0" applyFont="1" applyBorder="1" applyNumberFormat="1">
      <alignment vertical="center" wrapText="1"/>
    </xf>
    <xf numFmtId="0" fontId="23" fillId="0" borderId="0" xfId="0" applyFont="1" applyNumberFormat="1">
      <alignment horizontal="center" vertical="center" wrapText="1"/>
    </xf>
    <xf numFmtId="49" fontId="40" fillId="0" borderId="0" xfId="0" applyFont="1" applyNumberFormat="1">
      <alignment horizontal="center" vertical="center" wrapText="1"/>
    </xf>
    <xf numFmtId="0" fontId="23" fillId="0" borderId="29" xfId="0" applyFont="1" applyBorder="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36" fillId="0" borderId="0" xfId="0" applyFont="1" applyNumberFormat="1">
      <alignment horizontal="center" vertical="center" wrapText="1"/>
    </xf>
    <xf numFmtId="49" fontId="68" fillId="0" borderId="0" xfId="0" applyFont="1" applyNumberFormat="1">
      <alignment horizontal="center" vertical="center" wrapText="1"/>
    </xf>
    <xf numFmtId="0" fontId="77" fillId="0" borderId="0" xfId="0" applyFont="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68" fillId="0" borderId="0" xfId="0" applyFont="1" applyNumberFormat="1">
      <alignment vertical="center" wrapText="1"/>
    </xf>
    <xf numFmtId="0" fontId="76" fillId="0" borderId="0" xfId="0" applyFont="1" applyNumberFormat="1">
      <alignment vertical="center" wrapText="1"/>
    </xf>
    <xf numFmtId="0" fontId="23" fillId="0" borderId="14" xfId="0" applyFont="1" applyBorder="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center" vertical="center" wrapText="1"/>
    </xf>
    <xf numFmtId="0" fontId="23" fillId="0" borderId="0" xfId="0" applyFont="1" applyNumberFormat="1">
      <alignment vertical="center" wrapText="1"/>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19" xfId="0" applyFont="1" applyBorder="1" applyNumberFormat="1">
      <alignment horizontal="center" vertical="center" wrapText="1"/>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38" borderId="14" xfId="0" applyFont="1" applyFill="1" applyBorder="1" applyNumberFormat="1">
      <alignment horizontal="left" vertical="center" wrapText="1" indent="1"/>
    </xf>
    <xf numFmtId="0" fontId="23" fillId="0" borderId="15" xfId="0" applyFont="1" applyBorder="1" applyNumberFormat="1">
      <alignment horizontal="left" vertical="center" wrapText="1" indent="1"/>
    </xf>
    <xf numFmtId="49" fontId="55" fillId="0" borderId="24" xfId="0" applyFont="1" applyBorder="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0" fontId="54" fillId="0" borderId="0" xfId="0" applyFont="1" applyNumberFormat="1">
      <alignment horizontal="center"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49" fontId="55"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25" xfId="0" applyFont="1" applyBorder="1" applyNumberFormat="1">
      <alignment horizontal="left" vertical="center" wrapText="1"/>
    </xf>
    <xf numFmtId="2" fontId="23" fillId="0" borderId="25" xfId="0" applyFont="1" applyBorder="1" applyNumberFormat="1">
      <alignment horizontal="center" vertical="center" wrapText="1"/>
    </xf>
    <xf numFmtId="0" fontId="23" fillId="0" borderId="14" xfId="0" applyFont="1" applyBorder="1" applyNumberFormat="1">
      <alignment horizontal="left" vertical="center" wrapText="1"/>
    </xf>
    <xf numFmtId="49" fontId="55" fillId="0" borderId="24" xfId="0" applyFont="1" applyBorder="1" applyNumberFormat="1">
      <alignment vertical="top"/>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24" xfId="0" applyFont="1" applyBorder="1" applyNumberFormat="1">
      <alignmen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23" fillId="0" borderId="25" xfId="0" applyFont="1" applyBorder="1" applyNumberFormat="1">
      <alignment horizontal="left" vertical="center" wrapText="1"/>
    </xf>
    <xf numFmtId="0" fontId="23" fillId="0" borderId="14" xfId="0" applyFont="1" applyBorder="1" applyNumberFormat="1">
      <alignment horizontal="left" vertical="center" wrapText="1"/>
    </xf>
    <xf numFmtId="0" fontId="54" fillId="0" borderId="0" xfId="0" applyFont="1" applyNumberFormat="1">
      <alignment horizontal="center" vertical="top"/>
    </xf>
    <xf numFmtId="0" fontId="55" fillId="0" borderId="0" xfId="0" applyFont="1" applyNumberFormat="1">
      <alignment horizontal="center" vertical="center" wrapText="1"/>
    </xf>
    <xf numFmtId="49" fontId="55" fillId="0" borderId="25" xfId="0" applyFont="1" applyBorder="1" applyNumberFormat="1">
      <alignment horizontal="center" vertical="center" wrapText="1"/>
    </xf>
    <xf numFmtId="49" fontId="48" fillId="0" borderId="21" xfId="0" applyFont="1" applyBorder="1" applyNumberFormat="1">
      <alignment horizontal="right" vertical="center"/>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53" fillId="0" borderId="0" xfId="0" applyFont="1" applyNumberFormat="1">
      <alignment horizontal="left" vertical="top" wrapText="1"/>
    </xf>
    <xf numFmtId="49" fontId="40" fillId="0" borderId="0" xfId="0" applyFont="1" applyNumberFormat="1">
      <alignment horizontal="center" vertical="center" wrapText="1"/>
    </xf>
    <xf numFmtId="0" fontId="55" fillId="0" borderId="0" xfId="0" applyFont="1" applyNumberFormat="1">
      <alignment vertical="center" wrapText="1"/>
    </xf>
    <xf numFmtId="0" fontId="40"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55" fillId="0" borderId="16" xfId="0" applyFont="1" applyBorder="1" applyNumberFormat="1">
      <alignment vertical="center" wrapTex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0" fontId="55" fillId="0" borderId="16" xfId="0" applyFont="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14" xfId="0" applyFont="1" applyBorder="1" applyNumberFormat="1">
      <alignment horizontal="left" vertical="center" wrapText="1"/>
    </xf>
    <xf numFmtId="49" fontId="23" fillId="0" borderId="61" xfId="0" applyFont="1" applyBorder="1" applyNumberFormat="1">
      <alignment horizontal="center" vertical="center" wrapText="1"/>
    </xf>
    <xf numFmtId="0" fontId="23"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49" fontId="23" fillId="0" borderId="62" xfId="0" applyFont="1" applyBorder="1" applyNumberFormat="1">
      <alignment horizontal="center" vertical="center" wrapText="1"/>
    </xf>
    <xf numFmtId="0" fontId="23" fillId="0" borderId="15"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9" fontId="48" fillId="40" borderId="21" xfId="0" applyFont="1" applyFill="1" applyBorder="1" applyNumberFormat="1">
      <alignment horizontal="left" vertical="center" indent="2"/>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9" xfId="0" applyFont="1" applyBorder="1" applyNumberFormat="1">
      <alignment horizontal="left" vertical="center" wrapText="1"/>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60" xfId="0" applyFont="1" applyBorder="1" applyNumberFormat="1">
      <alignment horizontal="center" vertical="center" wrapText="1"/>
    </xf>
    <xf numFmtId="0" fontId="23" fillId="0" borderId="19" xfId="0" applyFont="1" applyBorder="1" applyNumberFormat="1">
      <alignment horizontal="left" vertical="center" wrapText="1" indent="1"/>
    </xf>
    <xf numFmtId="0" fontId="23" fillId="0" borderId="19"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left" vertical="center" wrapText="1" inden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55" fillId="0" borderId="29" xfId="0" applyFont="1" applyBorder="1" applyNumberFormat="1">
      <alignment vertical="center" wrapTex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0" xfId="0" applyFont="1" applyNumberFormat="1">
      <alignment horizontal="left" vertical="top"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49" fontId="23" fillId="58" borderId="0" xfId="0" applyFont="1" applyFill="1" applyNumberFormat="1">
      <alignment horizontal="center" vertical="center" textRotation="90"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76" fillId="0" borderId="24" xfId="0" applyFont="1" applyBorder="1" applyNumberFormat="1">
      <alignment vertical="center" wrapText="1"/>
    </xf>
    <xf numFmtId="49"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23" fillId="0" borderId="14" xfId="0" applyFont="1" applyBorder="1" applyNumberFormat="1">
      <alignment horizontal="center" vertical="center" wrapText="1"/>
    </xf>
    <xf numFmtId="49" fontId="23" fillId="39" borderId="14" xfId="0" applyFont="1" applyFill="1" applyBorder="1" applyNumberFormat="1">
      <alignment horizontal="left" vertical="center" wrapText="1"/>
      <protection locked="0"/>
    </xf>
    <xf numFmtId="3"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88" fillId="0" borderId="0" xfId="0" applyFont="1" applyNumberFormat="1">
      <alignment vertical="center" wrapText="1"/>
    </xf>
    <xf numFmtId="0" fontId="23" fillId="0" borderId="14" xfId="0" applyFont="1" applyBorder="1" applyNumberFormat="1">
      <alignment horizontal="left" vertical="center" wrapText="1" indent="2"/>
    </xf>
    <xf numFmtId="3" fontId="53" fillId="39" borderId="14" xfId="0" applyFont="1" applyFill="1" applyBorder="1" applyNumberFormat="1">
      <alignment horizontal="right" vertical="center"/>
      <protection locked="0"/>
    </xf>
    <xf numFmtId="49" fontId="23" fillId="39" borderId="16" xfId="0" applyFont="1" applyFill="1" applyBorder="1" applyNumberFormat="1">
      <alignment horizontal="left" vertical="center" wrapText="1"/>
      <protection locked="0"/>
    </xf>
    <xf numFmtId="0" fontId="53" fillId="0" borderId="0" xfId="0" applyFont="1" applyNumberFormat="1">
      <alignment vertical="center" wrapText="1"/>
    </xf>
    <xf numFmtId="0" fontId="23" fillId="0" borderId="0" xfId="0" applyFont="1" applyNumberFormat="1">
      <alignment vertical="top" wrapText="1"/>
    </xf>
    <xf numFmtId="0" fontId="23" fillId="0" borderId="0" xfId="0" applyFont="1" applyNumberFormat="1">
      <alignment vertical="top"/>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9" fontId="34" fillId="0" borderId="14" xfId="0" applyFont="1" applyBorder="1" applyNumberFormat="1">
      <alignment horizontal="left" vertical="center" wrapText="1"/>
    </xf>
    <xf numFmtId="49" fontId="23" fillId="0" borderId="34" xfId="0" applyFont="1" applyBorder="1" applyNumberFormat="1">
      <alignment horizontal="center" vertical="center" wrapText="1"/>
    </xf>
    <xf numFmtId="0" fontId="23" fillId="0" borderId="34"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9" fontId="23" fillId="0" borderId="33" xfId="0" applyFont="1" applyBorder="1" applyNumberFormat="1">
      <alignment horizontal="center" vertical="center" wrapText="1"/>
    </xf>
    <xf numFmtId="0" fontId="23" fillId="0" borderId="35"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0" borderId="19"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0" fontId="23" fillId="0" borderId="35" xfId="0" applyFont="1" applyBorder="1" applyNumberFormat="1">
      <alignment horizontal="left" vertical="center" wrapText="1"/>
    </xf>
    <xf numFmtId="49" fontId="34" fillId="0" borderId="17"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0" borderId="34" xfId="0" applyFont="1" applyBorder="1" applyNumberFormat="1">
      <alignment horizontal="center" vertical="center" wrapText="1"/>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2"/>
    </xf>
    <xf numFmtId="4" fontId="23" fillId="0" borderId="33" xfId="0" applyFont="1" applyBorder="1" applyNumberFormat="1">
      <alignment horizontal="center" vertical="center" wrapText="1"/>
    </xf>
    <xf numFmtId="49" fontId="23" fillId="0" borderId="36" xfId="0" applyFont="1" applyBorder="1" applyNumberFormat="1">
      <alignment horizontal="center" vertical="center" wrapText="1"/>
    </xf>
    <xf numFmtId="49" fontId="34" fillId="42" borderId="14" xfId="0" applyFont="1" applyFill="1" applyBorder="1" applyNumberFormat="1">
      <alignment horizontal="left" vertical="center" wrapText="1"/>
      <protection locked="0"/>
    </xf>
    <xf numFmtId="0" fontId="23" fillId="0" borderId="37" xfId="0" applyFont="1" applyBorder="1" applyNumberFormat="1">
      <alignment horizontal="left" vertical="center" wrapText="1"/>
    </xf>
    <xf numFmtId="4" fontId="23" fillId="0" borderId="37" xfId="0" applyFont="1" applyBorder="1" applyNumberFormat="1">
      <alignment horizontal="center" vertical="center" wrapText="1"/>
    </xf>
    <xf numFmtId="49" fontId="34" fillId="0" borderId="39" xfId="0" applyFont="1" applyBorder="1" applyNumberFormat="1">
      <alignment horizontal="left" vertical="center" wrapText="1"/>
    </xf>
    <xf numFmtId="49" fontId="23" fillId="0" borderId="35"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 fontId="23" fillId="42" borderId="36" xfId="0" applyFont="1" applyFill="1" applyBorder="1" applyNumberFormat="1">
      <alignment horizontal="right" vertical="center" wrapText="1"/>
      <protection locked="0"/>
    </xf>
    <xf numFmtId="49" fontId="34" fillId="42" borderId="16" xfId="0" applyFont="1" applyFill="1" applyBorder="1" applyNumberFormat="1">
      <alignment horizontal="left" vertical="center" wrapText="1"/>
      <protection locked="0"/>
    </xf>
    <xf numFmtId="49" fontId="54" fillId="0" borderId="0" xfId="0" applyFont="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44" fillId="0" borderId="26" xfId="0" applyFont="1" applyBorder="1" applyNumberFormat="1">
      <alignment horizontal="center" vertical="center" wrapText="1"/>
    </xf>
    <xf numFmtId="0" fontId="0" fillId="0" borderId="16" xfId="0" applyFont="1" applyBorder="1" applyNumberFormat="1">
      <alignment horizontal="center" vertical="center"/>
    </xf>
    <xf numFmtId="0" fontId="23" fillId="0" borderId="15" xfId="0" applyFont="1" applyBorder="1" applyNumberFormat="1">
      <alignment horizontal="center" vertical="center" wrapText="1"/>
    </xf>
    <xf numFmtId="167" fontId="0" fillId="39"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44" fillId="0" borderId="0" xfId="0" applyFont="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0" borderId="15" xfId="0" applyFont="1" applyBorder="1" applyNumberFormat="1">
      <alignment horizontal="center" vertical="center" wrapText="1"/>
    </xf>
    <xf numFmtId="0" fontId="23" fillId="40" borderId="16" xfId="0" applyFont="1" applyFill="1" applyBorder="1" applyNumberFormat="1">
      <alignment vertical="center" wrapText="1"/>
    </xf>
    <xf numFmtId="0" fontId="23" fillId="0" borderId="15" xfId="0" applyFont="1" applyBorder="1" applyNumberFormat="1">
      <alignment horizontal="center" vertical="center" wrapText="1"/>
    </xf>
    <xf numFmtId="0" fontId="23" fillId="40" borderId="21" xfId="0" applyFont="1" applyFill="1" applyBorder="1" applyNumberFormat="1">
      <alignment vertical="center" wrapText="1"/>
    </xf>
    <xf numFmtId="0" fontId="23" fillId="0" borderId="17"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0" borderId="15" xfId="0" applyFont="1" applyBorder="1" applyNumberFormat="1">
      <alignment vertical="center" wrapText="1"/>
    </xf>
    <xf numFmtId="0" fontId="23" fillId="40" borderId="29" xfId="0" applyFont="1" applyFill="1" applyBorder="1" applyNumberFormat="1">
      <alignment vertical="center" wrapText="1"/>
    </xf>
    <xf numFmtId="0" fontId="44" fillId="0" borderId="0" xfId="0" applyFont="1" applyNumberFormat="1">
      <alignment horizontal="center" vertical="center" wrapText="1"/>
    </xf>
    <xf numFmtId="0" fontId="88" fillId="0" borderId="0" xfId="0" applyFont="1" applyNumberFormat="1">
      <alignment vertical="center" wrapText="1"/>
    </xf>
    <xf numFmtId="49" fontId="54" fillId="0" borderId="0" xfId="0" applyFont="1" applyNumberFormat="1">
      <alignment horizontal="center" vertical="center" wrapText="1"/>
    </xf>
    <xf numFmtId="0" fontId="40"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wrapText="1"/>
    </xf>
    <xf numFmtId="49" fontId="54" fillId="0" borderId="0" xfId="0" applyFont="1" applyNumberFormat="1">
      <alignment horizontal="center" vertical="center" wrapText="1"/>
    </xf>
    <xf numFmtId="0" fontId="23" fillId="0" borderId="0" xfId="0" applyFont="1" applyNumberFormat="1">
      <alignment vertical="center" wrapText="1"/>
    </xf>
    <xf numFmtId="49" fontId="54" fillId="0" borderId="0" xfId="0" applyFont="1" applyNumberFormat="1">
      <alignment horizontal="center" vertical="center" wrapText="1"/>
    </xf>
    <xf numFmtId="49" fontId="103" fillId="0" borderId="0" xfId="0" applyFont="1" applyNumberFormat="1">
      <alignment horizontal="center"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0" fontId="0" fillId="0" borderId="14" xfId="0" applyFont="1" applyBorder="1" applyNumberFormat="1">
      <alignment horizontal="left" vertical="center" wrapText="1" indent="1"/>
    </xf>
    <xf numFmtId="49"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55" fillId="0" borderId="0" xfId="0" applyFont="1" applyNumberFormat="1">
      <alignment horizontal="center" vertical="center" wrapText="1"/>
    </xf>
    <xf numFmtId="49" fontId="23" fillId="0" borderId="16" xfId="0" applyFont="1" applyBorder="1" applyNumberFormat="1">
      <alignment horizontal="center" vertical="center" wrapText="1"/>
    </xf>
    <xf numFmtId="49" fontId="48" fillId="40" borderId="16" xfId="0" applyFont="1" applyFill="1" applyBorder="1" applyNumberFormat="1">
      <alignment horizontal="left" vertical="center" indent="1"/>
    </xf>
    <xf numFmtId="0" fontId="23" fillId="40" borderId="31" xfId="0" applyFont="1" applyFill="1" applyBorder="1" applyNumberFormat="1">
      <alignment vertical="center" wrapText="1"/>
    </xf>
    <xf numFmtId="49" fontId="54" fillId="0" borderId="0" xfId="0" applyFont="1" applyNumberFormat="1">
      <alignment horizontal="center" vertical="center" wrapText="1"/>
    </xf>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left" vertical="center" wrapText="1" indent="3"/>
    </xf>
    <xf numFmtId="0" fontId="23" fillId="37" borderId="0" xfId="0" applyFont="1" applyFill="1" applyNumberFormat="1">
      <alignment vertic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78" fillId="0" borderId="41" xfId="0" applyFont="1" applyBorder="1" applyNumberFormat="1">
      <alignment vertical="top"/>
    </xf>
    <xf numFmtId="49" fontId="78" fillId="0" borderId="41" xfId="0" applyFont="1" applyBorder="1" applyNumberFormat="1">
      <alignment vertical="top"/>
    </xf>
    <xf numFmtId="0" fontId="36" fillId="37" borderId="41" xfId="0" applyFont="1" applyFill="1" applyBorder="1" applyNumberFormat="1">
      <alignment horizontal="center" wrapText="1"/>
    </xf>
    <xf numFmtId="0" fontId="36" fillId="37" borderId="41" xfId="0" applyFont="1" applyFill="1" applyBorder="1" applyNumberFormat="1">
      <alignment horizont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23" fillId="0" borderId="0" xfId="0" applyFont="1" applyNumberFormat="1">
      <alignment vertical="top"/>
    </xf>
    <xf numFmtId="0" fontId="23" fillId="0" borderId="63" xfId="0" applyFont="1" applyBorder="1" applyNumberFormat="1">
      <alignment horizontal="center" vertical="center"/>
    </xf>
    <xf numFmtId="0" fontId="23" fillId="0" borderId="64" xfId="0" applyFont="1" applyBorder="1" applyNumberFormat="1">
      <alignment horizontal="center" vertical="center"/>
    </xf>
    <xf numFmtId="0" fontId="23" fillId="0" borderId="66" xfId="0" applyFont="1" applyBorder="1" applyNumberFormat="1">
      <alignment horizontal="center" vertical="center"/>
    </xf>
    <xf numFmtId="0" fontId="23" fillId="0" borderId="40" xfId="0" applyFont="1" applyBorder="1" applyNumberFormat="1">
      <alignmen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49" fontId="23" fillId="0" borderId="0" xfId="0" applyFont="1" applyNumberFormat="1">
      <alignment vertical="top"/>
    </xf>
    <xf numFmtId="0" fontId="23" fillId="0" borderId="0" xfId="0" applyFont="1" applyNumberFormat="1">
      <alignment vertical="center" wrapText="1"/>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0" fillId="0" borderId="14" xfId="0" applyFont="1" applyBorder="1" applyNumberFormat="1">
      <alignment horizontal="center" vertical="center" wrapText="1"/>
    </xf>
    <xf numFmtId="49" fontId="23" fillId="0" borderId="0" xfId="0" applyFont="1" applyNumberFormat="1">
      <alignment vertical="top"/>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xf>
    <xf numFmtId="49" fontId="23"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0" fontId="23" fillId="0" borderId="0" xfId="0" applyFont="1" applyNumberFormat="1">
      <alignment horizontal="left" vertical="center" wrapText="1"/>
    </xf>
    <xf numFmtId="0" fontId="23" fillId="0" borderId="0" xfId="0" applyFont="1" applyNumberFormat="1">
      <alignment vertical="center" wrapText="1"/>
    </xf>
    <xf numFmtId="0" fontId="23" fillId="0" borderId="0" xfId="0" applyFont="1" applyNumberFormat="1">
      <alignment vertical="center" wrapText="1"/>
    </xf>
    <xf numFmtId="0" fontId="40" fillId="0" borderId="0" xfId="0" applyFont="1" applyNumberFormat="1">
      <alignment vertical="center" wrapText="1"/>
    </xf>
    <xf numFmtId="0" fontId="23" fillId="37" borderId="0" xfId="0" applyFont="1" applyFill="1" applyNumberFormat="1">
      <alignment vertical="center" wrapText="1"/>
    </xf>
    <xf numFmtId="0" fontId="23" fillId="37" borderId="21" xfId="0" applyFont="1" applyFill="1" applyBorder="1" applyNumberFormat="1">
      <alignment vertical="center" wrapText="1"/>
    </xf>
    <xf numFmtId="49" fontId="23" fillId="0" borderId="0" xfId="0" applyFont="1" applyNumberFormat="1">
      <alignment vertical="top"/>
    </xf>
    <xf numFmtId="49" fontId="55" fillId="0" borderId="0" xfId="0" applyFont="1" applyNumberFormat="1">
      <alignment vertical="top"/>
    </xf>
    <xf numFmtId="0" fontId="55" fillId="0" borderId="41" xfId="0" applyFont="1" applyBorder="1" applyNumberFormat="1">
      <alignment vertical="center" wrapText="1"/>
    </xf>
    <xf numFmtId="0" fontId="23" fillId="0" borderId="76" xfId="0" applyFont="1" applyBorder="1" applyNumberFormat="1">
      <alignment horizontal="center" vertical="center"/>
    </xf>
    <xf numFmtId="0" fontId="23" fillId="0" borderId="45" xfId="0" applyFont="1" applyBorder="1" applyNumberFormat="1">
      <alignment horizontal="center" vertical="center"/>
    </xf>
    <xf numFmtId="0" fontId="23" fillId="0" borderId="40" xfId="0" applyFont="1" applyBorder="1" applyNumberFormat="1">
      <alignment vertical="center"/>
    </xf>
    <xf numFmtId="49" fontId="0" fillId="0" borderId="19"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23" fillId="0" borderId="24" xfId="0" applyFont="1" applyBorder="1" applyNumberFormat="1">
      <alignment vertical="top"/>
    </xf>
    <xf numFmtId="49" fontId="0" fillId="0" borderId="38"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xf>
    <xf numFmtId="49" fontId="0" fillId="38" borderId="14" xfId="0" applyFont="1" applyFill="1" applyBorder="1" applyNumberFormat="1">
      <alignment horizontal="center" vertical="center"/>
    </xf>
    <xf numFmtId="0" fontId="23" fillId="0" borderId="24" xfId="0" applyFont="1" applyBorder="1" applyNumberFormat="1">
      <alignment vertical="center" wrapText="1"/>
    </xf>
    <xf numFmtId="49" fontId="0" fillId="0" borderId="14"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 fontId="0" fillId="39"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horizontal="left" vertical="center" wrapText="1"/>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49" fontId="54" fillId="0" borderId="0" xfId="0" applyFont="1" applyNumberFormat="1">
      <alignment horizontal="center" vertical="center" wrapText="1"/>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23" fillId="0" borderId="0" xfId="0" applyFont="1" applyNumberFormat="1">
      <alignment horizontal="center" vertical="top" wrapText="1"/>
    </xf>
    <xf numFmtId="49" fontId="40" fillId="0" borderId="0" xfId="0" applyFont="1" applyNumberFormat="1">
      <alignment horizontal="center" vertical="top" wrapText="1"/>
    </xf>
    <xf numFmtId="49" fontId="23" fillId="37" borderId="0" xfId="0" applyFont="1" applyFill="1" applyNumberFormat="1">
      <alignment horizontal="center" vertical="top" wrapText="1"/>
    </xf>
    <xf numFmtId="0" fontId="23" fillId="0" borderId="22" xfId="0" applyFont="1" applyBorder="1" applyNumberFormat="1">
      <alignment horizontal="left" vertical="top" wrapText="1"/>
    </xf>
    <xf numFmtId="49" fontId="23" fillId="0" borderId="0" xfId="0" applyFont="1" applyNumberFormat="1">
      <alignment horizontal="center" vertical="center" wrapText="1"/>
    </xf>
    <xf numFmtId="49" fontId="40" fillId="0" borderId="0" xfId="0" applyFont="1" applyNumberFormat="1">
      <alignment horizontal="center" vertical="center" wrapText="1"/>
    </xf>
    <xf numFmtId="49" fontId="23" fillId="37" borderId="0" xfId="0" applyFont="1" applyFill="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0" fontId="53" fillId="0" borderId="0" xfId="0" applyFont="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0" xfId="0" applyFont="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49" fontId="53" fillId="37" borderId="0" xfId="0" applyFont="1" applyFill="1" applyNumberFormat="1">
      <alignment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37"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49" fontId="23" fillId="0" borderId="0" xfId="0" applyFont="1" applyNumberFormat="1">
      <alignment vertical="center" wrapText="1"/>
    </xf>
    <xf numFmtId="49" fontId="53" fillId="0" borderId="0" xfId="0" applyFont="1" applyNumberFormat="1">
      <alignment vertical="top"/>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49" fontId="23" fillId="34" borderId="29" xfId="0" applyFont="1" applyFill="1" applyBorder="1" applyNumberFormat="1">
      <alignment horizontal="center" vertical="center" wrapText="1"/>
    </xf>
    <xf numFmtId="49" fontId="53" fillId="0" borderId="0" xfId="0" applyFont="1" applyNumberFormat="1">
      <alignment vertical="center"/>
    </xf>
    <xf numFmtId="49" fontId="53" fillId="37" borderId="0" xfId="0" applyFont="1" applyFill="1" applyNumberFormat="1">
      <alignment vertical="center"/>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104"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49" fontId="53" fillId="0" borderId="0" xfId="0" applyFont="1" applyNumberFormat="1">
      <alignment vertical="center" wrapText="1"/>
    </xf>
    <xf numFmtId="49" fontId="53" fillId="0" borderId="0" xfId="0" applyFont="1" applyNumberFormat="1">
      <alignment vertical="top"/>
    </xf>
    <xf numFmtId="0" fontId="53" fillId="0" borderId="0" xfId="0" applyFont="1" applyNumberFormat="1">
      <alignment vertical="center" wrapText="1"/>
    </xf>
    <xf numFmtId="49" fontId="99" fillId="0" borderId="0" xfId="0" applyFont="1" applyNumberFormat="1">
      <alignment vertical="center" wrapText="1"/>
    </xf>
    <xf numFmtId="49" fontId="53" fillId="0" borderId="0" xfId="0" applyFont="1" applyNumberFormat="1">
      <alignment vertical="center" wrapText="1"/>
    </xf>
    <xf numFmtId="49" fontId="104" fillId="0" borderId="0" xfId="0" applyFont="1" applyNumberFormat="1">
      <alignment vertical="center"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indent="1"/>
    </xf>
    <xf numFmtId="0" fontId="23" fillId="0" borderId="16" xfId="0" applyFont="1" applyBorder="1" applyNumberFormat="1">
      <alignment horizontal="center" vertical="center" wrapText="1"/>
    </xf>
    <xf numFmtId="0" fontId="23" fillId="0" borderId="14" xfId="0" applyFont="1" applyBorder="1" applyNumberFormat="1">
      <alignment horizontal="left" vertical="top" wrapText="1"/>
    </xf>
    <xf numFmtId="3" fontId="23" fillId="42" borderId="16" xfId="0" applyFont="1" applyFill="1" applyBorder="1" applyNumberFormat="1">
      <alignment vertical="center" wrapText="1"/>
      <protection locked="0"/>
    </xf>
    <xf numFmtId="0" fontId="23" fillId="0" borderId="14" xfId="0" applyFont="1" applyBorder="1" applyNumberFormat="1">
      <alignment vertical="top" wrapText="1"/>
    </xf>
    <xf numFmtId="0" fontId="23" fillId="0" borderId="14" xfId="0" applyFont="1" applyBorder="1" applyNumberFormat="1">
      <alignment horizontal="left" vertical="top" wrapText="1"/>
    </xf>
    <xf numFmtId="4" fontId="23" fillId="38" borderId="16" xfId="0" applyFont="1" applyFill="1" applyBorder="1" applyNumberFormat="1">
      <alignment horizontal="right" vertical="center" wrapText="1"/>
    </xf>
    <xf numFmtId="0" fontId="54" fillId="0" borderId="14" xfId="0" applyFont="1" applyBorder="1" applyNumberFormat="1">
      <alignment vertical="top" wrapText="1"/>
    </xf>
    <xf numFmtId="0" fontId="45" fillId="0" borderId="0" xfId="0" applyFont="1" applyNumberFormat="1">
      <alignment horizontal="center" vertical="center" wrapText="1"/>
    </xf>
    <xf numFmtId="49" fontId="23" fillId="42" borderId="14" xfId="0" applyFont="1" applyFill="1" applyBorder="1" applyNumberFormat="1">
      <alignment horizontal="left" vertical="center" wrapText="1" indent="1"/>
      <protection locked="0"/>
    </xf>
    <xf numFmtId="0" fontId="23" fillId="0" borderId="0" xfId="0" applyFont="1" applyNumberFormat="1">
      <alignment horizontal="left" vertical="center" wrapText="1" indent="2"/>
    </xf>
    <xf numFmtId="0" fontId="47" fillId="37" borderId="0" xfId="0" applyFont="1" applyFill="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49" fontId="23" fillId="0" borderId="0" xfId="0" applyFont="1" applyNumberFormat="1">
      <alignment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0" xfId="0" applyFont="1" applyFill="1" applyNumberFormat="1">
      <alignment horizontal="center" vertical="center" wrapText="1"/>
    </xf>
    <xf numFmtId="0" fontId="23" fillId="37" borderId="0" xfId="0" applyFont="1" applyFill="1" applyNumberFormat="1">
      <alignment horizontal="right" vertical="center"/>
    </xf>
    <xf numFmtId="49" fontId="23" fillId="0" borderId="0" xfId="0" applyFont="1" applyNumberFormat="1">
      <alignment vertical="center" wrapText="1"/>
    </xf>
    <xf numFmtId="0" fontId="23"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0"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4" fillId="37" borderId="0" xfId="0" applyFont="1" applyFill="1" applyNumberFormat="1">
      <alignment horizontal="center" vertical="center" wrapText="1"/>
    </xf>
    <xf numFmtId="49" fontId="23" fillId="0" borderId="0" xfId="0" applyFont="1" applyNumberFormat="1">
      <alignment vertical="top"/>
    </xf>
    <xf numFmtId="49" fontId="0" fillId="37" borderId="14" xfId="0" applyFont="1" applyFill="1" applyBorder="1" applyNumberFormat="1">
      <alignment horizontal="center" vertical="center" wrapText="1"/>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34" fillId="42" borderId="14" xfId="0" applyFont="1" applyFill="1" applyBorder="1" applyNumberFormat="1">
      <alignment horizontal="left" vertical="center" wrapText="1"/>
      <protection locked="0"/>
    </xf>
    <xf numFmtId="0"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49" fontId="52" fillId="40" borderId="15" xfId="0" applyFont="1" applyFill="1" applyBorder="1" applyNumberFormat="1">
      <alignment horizontal="center" vertical="top"/>
    </xf>
    <xf numFmtId="0" fontId="23"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0" fontId="47" fillId="37" borderId="0" xfId="0" applyFont="1" applyFill="1" applyNumberFormat="1">
      <alignment vertical="center" wrapText="1"/>
    </xf>
    <xf numFmtId="49" fontId="52" fillId="40" borderId="17" xfId="0" applyFont="1" applyFill="1" applyBorder="1" applyNumberFormat="1">
      <alignment horizontal="center" vertical="top"/>
    </xf>
    <xf numFmtId="0" fontId="55" fillId="0" borderId="0" xfId="0" applyFont="1" applyNumberFormat="1">
      <alignment vertical="center"/>
    </xf>
    <xf numFmtId="49"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49" fontId="72" fillId="0" borderId="14" xfId="0" applyFont="1" applyBorder="1" applyNumberFormat="1">
      <alignment horizontal="center" vertical="center" wrapText="1"/>
    </xf>
    <xf numFmtId="0" fontId="72" fillId="0" borderId="14" xfId="0" applyFont="1" applyBorder="1" applyNumberFormat="1">
      <alignment horizontal="left" vertical="center" wrapText="1" indent="2"/>
    </xf>
    <xf numFmtId="49" fontId="75" fillId="0" borderId="16" xfId="0" applyFont="1" applyBorder="1" applyNumberFormat="1">
      <alignment horizontal="left" vertical="center" wrapText="1"/>
    </xf>
    <xf numFmtId="0" fontId="23" fillId="0" borderId="19" xfId="0" applyFont="1" applyBorder="1" applyNumberFormat="1">
      <alignment vertical="top" wrapText="1"/>
    </xf>
    <xf numFmtId="49" fontId="48" fillId="40" borderId="17" xfId="0" applyFont="1" applyFill="1" applyBorder="1" applyNumberFormat="1">
      <alignment horizontal="left" vertical="center" indent="1"/>
    </xf>
    <xf numFmtId="0" fontId="23" fillId="0" borderId="25" xfId="0" applyFont="1" applyBorder="1" applyNumberFormat="1">
      <alignment vertical="top" wrapText="1"/>
    </xf>
    <xf numFmtId="49" fontId="0"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23" fillId="0" borderId="0" xfId="0" applyFont="1" applyNumberFormat="1">
      <alignment vertical="top" wrapText="1"/>
    </xf>
    <xf numFmtId="49" fontId="23" fillId="0" borderId="0" xfId="0" applyFont="1" applyNumberFormat="1">
      <alignment vertical="center" wrapText="1"/>
    </xf>
    <xf numFmtId="0" fontId="54" fillId="0" borderId="0" xfId="0" applyFont="1" applyNumberFormat="1">
      <alignment vertical="center" wrapText="1"/>
    </xf>
    <xf numFmtId="0" fontId="47" fillId="0" borderId="0" xfId="0" applyFont="1" applyNumberFormat="1">
      <alignment vertical="center" wrapText="1"/>
    </xf>
    <xf numFmtId="49" fontId="54" fillId="0" borderId="0" xfId="0" applyFont="1" applyNumberFormat="1">
      <alignment vertical="top"/>
    </xf>
    <xf numFmtId="49" fontId="126" fillId="0" borderId="0" xfId="0" applyFont="1" applyNumberFormat="1">
      <alignment horizontal="center" vertical="center" wrapText="1"/>
    </xf>
    <xf numFmtId="0" fontId="0" fillId="42" borderId="14" xfId="0" applyFont="1" applyFill="1" applyBorder="1" applyNumberFormat="1">
      <alignment horizontal="left" vertical="center" wrapText="1" indent="1"/>
      <protection locked="0"/>
    </xf>
    <xf numFmtId="49" fontId="34" fillId="42" borderId="14" xfId="0" applyFont="1" applyFill="1" applyBorder="1" applyNumberFormat="1">
      <alignment horizontal="left" vertical="center" wrapText="1"/>
      <protection locked="0"/>
    </xf>
    <xf numFmtId="0" fontId="47" fillId="0" borderId="0" xfId="0" applyFont="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0" fillId="0" borderId="14" xfId="0" applyFont="1" applyBorder="1" applyNumberFormat="1">
      <alignment horizontal="left" vertical="center" wrapText="1"/>
    </xf>
    <xf numFmtId="167" fontId="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0" fillId="0" borderId="14" xfId="0" applyFont="1" applyBorder="1" applyNumberFormat="1">
      <alignment horizontal="left" vertical="center" wrapText="1"/>
    </xf>
    <xf numFmtId="49" fontId="130" fillId="42" borderId="14" xfId="0" applyFont="1" applyFill="1" applyBorder="1" applyNumberFormat="1">
      <alignment horizontal="left" vertical="center" wrapText="1"/>
      <protection locked="0"/>
    </xf>
    <xf numFmtId="0" fontId="23"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23" fillId="0" borderId="14" xfId="0" applyFont="1" applyBorder="1" applyNumberFormat="1">
      <alignment vertical="top" wrapText="1"/>
    </xf>
    <xf numFmtId="49" fontId="48" fillId="40" borderId="17" xfId="0" applyFont="1" applyFill="1" applyBorder="1" applyNumberFormat="1">
      <alignment horizontal="left" vertical="center" indent="2"/>
    </xf>
    <xf numFmtId="0" fontId="23" fillId="0" borderId="0" xfId="0" applyFont="1" applyNumberFormat="1">
      <alignment vertical="center" wrapText="1"/>
    </xf>
    <xf numFmtId="49" fontId="54" fillId="0" borderId="0" xfId="0" applyFont="1" applyNumberFormat="1">
      <alignment vertical="top"/>
    </xf>
    <xf numFmtId="0" fontId="54" fillId="0" borderId="0" xfId="0" applyFont="1" applyNumberFormat="1">
      <alignment vertical="center" wrapText="1"/>
    </xf>
    <xf numFmtId="49" fontId="126" fillId="0" borderId="0" xfId="0" applyFont="1" applyNumberFormat="1">
      <alignment horizontal="center" vertical="center" wrapText="1"/>
    </xf>
    <xf numFmtId="49"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0" borderId="14" xfId="0" applyFont="1" applyBorder="1" applyNumberFormat="1">
      <alignment horizontal="center" vertical="center" wrapText="1"/>
    </xf>
    <xf numFmtId="0" fontId="0" fillId="42" borderId="14" xfId="0" applyFont="1" applyFill="1" applyBorder="1" applyNumberFormat="1">
      <alignment horizontal="left" vertical="center" wrapText="1"/>
      <protection locked="0"/>
    </xf>
    <xf numFmtId="0" fontId="23" fillId="0" borderId="0" xfId="0" applyFont="1" applyNumberFormat="1">
      <alignment vertical="center" wrapText="1"/>
    </xf>
    <xf numFmtId="49" fontId="48" fillId="40" borderId="17" xfId="0" applyFont="1" applyFill="1" applyBorder="1" applyNumberFormat="1">
      <alignment horizontal="left" vertical="center" indent="3"/>
    </xf>
    <xf numFmtId="49" fontId="23" fillId="43" borderId="14" xfId="0" applyFont="1" applyFill="1" applyBorder="1" applyNumberFormat="1">
      <alignment horizontal="left" vertical="center" wrapText="1"/>
    </xf>
    <xf numFmtId="49" fontId="23" fillId="0" borderId="0" xfId="0" applyFont="1" applyNumberFormat="1">
      <alignment vertical="top"/>
    </xf>
    <xf numFmtId="49" fontId="55" fillId="0" borderId="0" xfId="0" applyFont="1" applyNumberFormat="1">
      <alignment vertical="top"/>
    </xf>
    <xf numFmtId="0" fontId="23" fillId="0" borderId="0" xfId="0" applyFont="1" applyNumberFormat="1">
      <alignment horizontal="right" vertical="top" wrapText="1"/>
    </xf>
    <xf numFmtId="49" fontId="23" fillId="0" borderId="0" xfId="0" applyFont="1" applyNumberFormat="1">
      <alignment vertical="top" wrapText="1"/>
    </xf>
    <xf numFmtId="49" fontId="23" fillId="0" borderId="0" xfId="0" applyFont="1" applyNumberFormat="1">
      <alignment vertical="top"/>
    </xf>
    <xf numFmtId="0" fontId="0" fillId="0" borderId="15" xfId="0" applyFont="1" applyBorder="1" applyNumberFormat="1">
      <alignment horizontal="center" vertical="center" wrapText="1"/>
    </xf>
    <xf numFmtId="167" fontId="0" fillId="42" borderId="15" xfId="0" applyFont="1" applyFill="1" applyBorder="1" applyNumberFormat="1">
      <alignment horizontal="left" vertical="center" wrapText="1"/>
      <protection locked="0"/>
    </xf>
    <xf numFmtId="167"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49" fontId="52" fillId="40" borderId="15" xfId="0" applyFont="1" applyFill="1" applyBorder="1" applyNumberFormat="1">
      <alignment horizontal="center" vertical="top"/>
    </xf>
    <xf numFmtId="0" fontId="0" fillId="0" borderId="15" xfId="0" applyFont="1" applyBorder="1" applyNumberFormat="1">
      <alignment horizontal="center" vertical="center" wrapText="1"/>
    </xf>
    <xf numFmtId="0" fontId="23" fillId="0" borderId="0" xfId="0" applyFont="1" applyNumberFormat="1">
      <alignment horizontal="left" vertical="center" wrapText="1" indent="1"/>
    </xf>
    <xf numFmtId="0" fontId="0" fillId="0" borderId="14" xfId="0" applyFont="1" applyBorder="1" applyNumberFormat="1">
      <alignment horizontal="center" vertical="center" wrapText="1"/>
    </xf>
    <xf numFmtId="0" fontId="23" fillId="0" borderId="17" xfId="0" applyFont="1" applyBorder="1" applyNumberFormat="1">
      <alignment horizontal="left" vertical="top" wrapText="1" indent="1"/>
    </xf>
    <xf numFmtId="0" fontId="22" fillId="0" borderId="0" xfId="0" applyFont="1" applyNumberFormat="1">
      <alignment vertical="center" wrapText="1"/>
    </xf>
    <xf numFmtId="0" fontId="0" fillId="37" borderId="16" xfId="0" applyFont="1" applyFill="1" applyBorder="1" applyNumberFormat="1">
      <alignment horizontal="right" vertical="center" wrapText="1" indent="1"/>
    </xf>
    <xf numFmtId="0" fontId="76" fillId="0" borderId="0" xfId="0" applyFont="1" applyNumberFormat="1">
      <alignment vertical="center" wrapText="1"/>
    </xf>
    <xf numFmtId="49" fontId="44" fillId="37" borderId="0" xfId="0" applyFont="1" applyFill="1" applyNumberFormat="1">
      <alignment horizontal="center" vertical="center" wrapText="1"/>
    </xf>
    <xf numFmtId="49" fontId="44" fillId="37" borderId="21" xfId="0" applyFont="1" applyFill="1" applyBorder="1" applyNumberFormat="1">
      <alignment horizontal="center" vertical="center" wrapText="1"/>
    </xf>
    <xf numFmtId="49" fontId="0" fillId="37" borderId="19"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23" fillId="0" borderId="14" xfId="0" applyFont="1" applyBorder="1" applyNumberFormat="1">
      <alignment horizontal="left" vertical="center" wrapText="1"/>
    </xf>
    <xf numFmtId="0" fontId="47" fillId="37" borderId="0" xfId="0" applyFont="1" applyFill="1" applyNumberFormat="1">
      <alignment horizontal="center" vertical="top" wrapText="1"/>
    </xf>
    <xf numFmtId="0" fontId="0" fillId="38" borderId="16" xfId="0" applyFont="1" applyFill="1" applyBorder="1" applyNumberFormat="1">
      <alignment horizontal="left" vertical="center" wrapText="1" indent="1"/>
    </xf>
    <xf numFmtId="0" fontId="0" fillId="0" borderId="15" xfId="0" applyFont="1" applyBorder="1" applyNumberFormat="1">
      <alignment horizontal="center" vertical="center" wrapText="1"/>
    </xf>
    <xf numFmtId="0" fontId="0" fillId="0" borderId="15" xfId="0" applyFont="1" applyBorder="1" applyNumberFormat="1">
      <alignment horizontal="center" vertical="center" wrapText="1"/>
    </xf>
    <xf numFmtId="49" fontId="48" fillId="40" borderId="29" xfId="0" applyFont="1" applyFill="1" applyBorder="1" applyNumberFormat="1">
      <alignment horizontal="left" vertical="center" indent="2"/>
    </xf>
    <xf numFmtId="49" fontId="48" fillId="40" borderId="17" xfId="0" applyFont="1" applyFill="1" applyBorder="1" applyNumberFormat="1">
      <alignment horizontal="left" vertical="center"/>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23" fillId="0" borderId="0" xfId="0" applyFont="1" applyNumberFormat="1">
      <alignment vertical="center" wrapText="1"/>
    </xf>
    <xf numFmtId="49" fontId="23" fillId="0" borderId="0" xfId="0" applyFont="1" applyNumberFormat="1">
      <alignment vertical="top"/>
    </xf>
    <xf numFmtId="0" fontId="23" fillId="0" borderId="0" xfId="0" applyFont="1" applyNumberFormat="1">
      <alignment vertical="top" wrapText="1"/>
    </xf>
    <xf numFmtId="0" fontId="47" fillId="0" borderId="0" xfId="0" applyFont="1" applyNumberFormat="1">
      <alignment vertical="center" wrapText="1"/>
    </xf>
    <xf numFmtId="0" fontId="23" fillId="0" borderId="38" xfId="0" applyFont="1" applyBorder="1" applyNumberFormat="1">
      <alignment vertical="center" wrapText="1"/>
    </xf>
    <xf numFmtId="0" fontId="0" fillId="38" borderId="14" xfId="0" applyFont="1" applyFill="1" applyBorder="1" applyNumberFormat="1">
      <alignment horizontal="center" vertical="center" wrapText="1"/>
    </xf>
    <xf numFmtId="0" fontId="0" fillId="0" borderId="15" xfId="0" applyFont="1" applyBorder="1" applyNumberFormat="1">
      <alignment horizontal="center" vertical="center" wrapText="1"/>
    </xf>
    <xf numFmtId="167" fontId="0" fillId="42" borderId="15" xfId="0" applyFont="1" applyFill="1" applyBorder="1" applyNumberFormat="1">
      <alignment horizontal="left" vertical="center" wrapText="1"/>
      <protection locked="0"/>
    </xf>
    <xf numFmtId="167"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0" fontId="76"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0" fontId="23" fillId="0" borderId="14" xfId="0" applyFont="1" applyBorder="1" applyNumberFormat="1">
      <alignment vertical="top" wrapText="1"/>
    </xf>
    <xf numFmtId="49" fontId="0" fillId="37" borderId="16" xfId="0" applyFont="1" applyFill="1" applyBorder="1" applyNumberFormat="1">
      <alignment horizontal="center" vertical="center" wrapText="1"/>
    </xf>
    <xf numFmtId="0" fontId="23" fillId="0" borderId="38" xfId="0" applyFont="1" applyBorder="1" applyNumberFormat="1">
      <alignment horizontal="left" vertical="top" wrapText="1"/>
    </xf>
    <xf numFmtId="4" fontId="0" fillId="42" borderId="14" xfId="0" applyFont="1" applyFill="1" applyBorder="1" applyNumberFormat="1">
      <alignment horizontal="right" vertical="center" wrapText="1"/>
      <protection locked="0"/>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49" fontId="23" fillId="0" borderId="0" xfId="0" applyFont="1" applyNumberFormat="1">
      <alignment vertical="top"/>
    </xf>
    <xf numFmtId="49" fontId="23" fillId="0" borderId="21" xfId="0" applyFont="1" applyBorder="1" applyNumberFormat="1">
      <alignment vertical="top"/>
    </xf>
    <xf numFmtId="0" fontId="22" fillId="0" borderId="0" xfId="0" applyFont="1" applyNumberFormat="1">
      <alignment horizontal="right" vertical="top" wrapText="1"/>
    </xf>
    <xf numFmtId="49" fontId="23" fillId="0" borderId="0" xfId="0" applyFont="1" applyNumberFormat="1">
      <alignment vertical="top" wrapText="1"/>
    </xf>
    <xf numFmtId="0" fontId="23" fillId="0" borderId="0" xfId="0" applyFont="1" applyNumberFormat="1">
      <alignment vertical="top" wrapText="1"/>
    </xf>
    <xf numFmtId="0" fontId="23" fillId="0" borderId="0" xfId="0" applyFont="1" applyNumberFormat="1">
      <alignment vertical="center" wrapText="1"/>
    </xf>
    <xf numFmtId="0" fontId="55" fillId="0" borderId="0" xfId="0" applyFont="1" applyNumberFormat="1">
      <alignment vertical="center"/>
    </xf>
    <xf numFmtId="49" fontId="23" fillId="0" borderId="0" xfId="0" applyFont="1" applyNumberFormat="1">
      <alignment vertical="top"/>
    </xf>
    <xf numFmtId="49" fontId="0" fillId="42" borderId="14" xfId="0" applyFont="1" applyFill="1" applyBorder="1" applyNumberFormat="1">
      <alignment horizontal="left" vertical="center" wrapText="1" indent="1"/>
      <protection locked="0"/>
    </xf>
    <xf numFmtId="0" fontId="23" fillId="0" borderId="0" xfId="0" applyFont="1" applyNumberFormat="1">
      <alignment vertical="center" wrapText="1"/>
    </xf>
    <xf numFmtId="0" fontId="69" fillId="0" borderId="0" xfId="0" applyFont="1" applyNumberFormat="1">
      <alignment vertical="center" wrapText="1"/>
    </xf>
    <xf numFmtId="0" fontId="23" fillId="37" borderId="14" xfId="0" applyFont="1" applyFill="1" applyBorder="1" applyNumberFormat="1">
      <alignment horizontal="center" vertical="center" wrapText="1"/>
    </xf>
    <xf numFmtId="0" fontId="0" fillId="0" borderId="14" xfId="0" applyFont="1" applyBorder="1" applyNumberFormat="1">
      <alignment horizontal="left" vertical="top"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0" borderId="21" xfId="0" applyFont="1" applyBorder="1" applyNumberFormat="1">
      <alignment vertical="center" wrapText="1"/>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49" fontId="23" fillId="0" borderId="0" xfId="0" applyFont="1" applyNumberFormat="1">
      <alignment vertical="center" wrapText="1"/>
    </xf>
    <xf numFmtId="0" fontId="88"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0" borderId="14" xfId="0" applyFont="1" applyBorder="1" applyNumberFormat="1">
      <alignment horizontal="center"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34" fillId="0" borderId="0" xfId="0" applyFont="1" applyNumberFormat="1">
      <alignment vertical="center" wrapText="1"/>
    </xf>
    <xf numFmtId="49" fontId="23" fillId="0" borderId="0" xfId="0" applyFont="1" applyNumberFormat="1">
      <alignment horizontal="center" vertical="top"/>
    </xf>
    <xf numFmtId="49" fontId="40" fillId="49" borderId="0" xfId="0" applyFont="1" applyFill="1" applyNumberFormat="1">
      <alignment horizontal="center" vertical="center"/>
    </xf>
    <xf numFmtId="49" fontId="23" fillId="0" borderId="14" xfId="0" applyFont="1" applyBorder="1" applyNumberFormat="1">
      <alignment horizontal="center" vertical="top"/>
    </xf>
    <xf numFmtId="49" fontId="54" fillId="49" borderId="0" xfId="0" applyFont="1" applyFill="1" applyNumberFormat="1">
      <alignment horizontal="center" vertical="center" wrapText="1"/>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horizontal="center" vertical="top"/>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0" fontId="23" fillId="0" borderId="16" xfId="0" applyFont="1" applyBorder="1" applyNumberFormat="1">
      <alignment horizontal="left" vertical="center"/>
    </xf>
    <xf numFmtId="49" fontId="23" fillId="0" borderId="46" xfId="0" applyFont="1" applyBorder="1" applyNumberFormat="1">
      <alignment vertical="center"/>
    </xf>
    <xf numFmtId="49" fontId="23" fillId="0" borderId="47" xfId="0" applyFont="1" applyBorder="1" applyNumberFormat="1">
      <alignment vertical="top"/>
    </xf>
    <xf numFmtId="49" fontId="23" fillId="0" borderId="18"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0" fontId="0" fillId="50" borderId="0" xfId="0" applyFont="1" applyFill="1" applyNumberFormat="1">
      <alignment horizontal="right" vertical="center"/>
    </xf>
    <xf numFmtId="49" fontId="40" fillId="0" borderId="0" xfId="0" applyFont="1" applyNumberFormat="1">
      <alignment horizontal="center" vertical="center"/>
    </xf>
    <xf numFmtId="49" fontId="0" fillId="0" borderId="0" xfId="0" applyFont="1" applyNumberFormat="1">
      <alignment vertical="top"/>
    </xf>
    <xf numFmtId="49" fontId="40" fillId="49" borderId="0" xfId="0" applyFont="1" applyFill="1" applyNumberFormat="1">
      <alignment horizontal="center" vertical="center"/>
    </xf>
    <xf numFmtId="0" fontId="23" fillId="0" borderId="0" xfId="0" applyFont="1" applyNumberFormat="1">
      <alignment vertical="center"/>
    </xf>
    <xf numFmtId="0" fontId="0" fillId="50"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3" fillId="0" borderId="16" xfId="0" applyFont="1" applyBorder="1" applyNumberFormat="1">
      <alignment vertical="top"/>
    </xf>
    <xf numFmtId="0" fontId="0" fillId="50" borderId="0" xfId="0" applyFont="1" applyFill="1" applyNumberFormat="1">
      <alignment horizontal="right" vertical="center"/>
    </xf>
    <xf numFmtId="0" fontId="0" fillId="0" borderId="0" xfId="0" applyFont="1" applyNumberFormat="1">
      <alignment horizontal="left" vertical="center"/>
    </xf>
    <xf numFmtId="0" fontId="0" fillId="50" borderId="0" xfId="0" applyFont="1" applyFill="1" applyNumberFormat="1">
      <alignment horizontal="right" vertical="center"/>
    </xf>
    <xf numFmtId="0" fontId="0" fillId="50" borderId="0" xfId="0" applyFont="1" applyFill="1" applyNumberFormat="1">
      <alignment horizontal="left" vertical="center"/>
    </xf>
    <xf numFmtId="0" fontId="59" fillId="50" borderId="0" xfId="0" applyFont="1" applyFill="1" applyNumberFormat="1">
      <alignment horizontal="left" vertical="center"/>
    </xf>
    <xf numFmtId="0" fontId="0" fillId="0" borderId="0" xfId="0" applyFont="1" applyNumberFormat="1">
      <alignment vertical="center"/>
    </xf>
    <xf numFmtId="0" fontId="23" fillId="0" borderId="0" xfId="0" applyFont="1" applyNumberFormat="1">
      <alignment vertical="top"/>
    </xf>
    <xf numFmtId="0" fontId="59" fillId="0" borderId="0" xfId="0" applyFont="1" applyNumberFormat="1">
      <alignment horizontal="left" vertical="center"/>
    </xf>
    <xf numFmtId="49" fontId="0" fillId="0" borderId="16" xfId="0" applyFont="1" applyBorder="1" applyNumberFormat="1">
      <alignment vertical="top"/>
    </xf>
    <xf numFmtId="49" fontId="23" fillId="0" borderId="14" xfId="0" applyFont="1" applyBorder="1" applyNumberFormat="1">
      <alignment horizontal="right" vertical="top"/>
    </xf>
    <xf numFmtId="0" fontId="0" fillId="0" borderId="16" xfId="0" applyFont="1" applyBorder="1" applyNumberFormat="1">
      <alignment horizontal="left" vertical="center"/>
    </xf>
    <xf numFmtId="0" fontId="59" fillId="50" borderId="0" xfId="0" applyFont="1" applyFill="1" applyNumberFormat="1">
      <alignment horizontal="left" vertical="center"/>
    </xf>
    <xf numFmtId="49" fontId="23" fillId="0" borderId="19" xfId="0" applyFont="1" applyBorder="1" applyNumberFormat="1">
      <alignment horizontal="righ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14" xfId="0" applyFont="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0" fontId="23" fillId="50" borderId="0" xfId="0" applyFont="1" applyFill="1" applyNumberFormat="1">
      <alignment horizontal="left" vertical="center"/>
    </xf>
    <xf numFmtId="0" fontId="0" fillId="50" borderId="12" xfId="0" applyFont="1" applyFill="1" applyBorder="1" applyNumberFormat="1">
      <alignment horizontal="center"/>
    </xf>
    <xf numFmtId="49" fontId="109" fillId="0" borderId="18" xfId="0" applyFont="1" applyBorder="1" applyNumberFormat="1">
      <alignment vertical="top"/>
    </xf>
    <xf numFmtId="49" fontId="0" fillId="0" borderId="0" xfId="0" applyFont="1" applyNumberFormat="1">
      <alignment vertical="center"/>
    </xf>
    <xf numFmtId="49" fontId="53" fillId="56" borderId="0" xfId="0" applyFont="1" applyFill="1" applyNumberFormat="1">
      <alignment vertical="center" wrapText="1"/>
    </xf>
    <xf numFmtId="0" fontId="0" fillId="0" borderId="12" xfId="0" applyFont="1" applyBorder="1" applyNumberFormat="1">
      <alignment horizontal="center"/>
    </xf>
    <xf numFmtId="49" fontId="23" fillId="50" borderId="0" xfId="0" applyFont="1" applyFill="1" applyNumberFormat="1">
      <alignment horizontal="center" vertical="center"/>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0" fontId="0" fillId="34" borderId="14" xfId="0" applyFont="1" applyFill="1" applyBorder="1" applyNumberFormat="1">
      <alignment horizontal="right" vertical="center"/>
    </xf>
    <xf numFmtId="49" fontId="23" fillId="34" borderId="25" xfId="0" applyFont="1" applyFill="1" applyBorder="1" applyNumberFormat="1">
      <alignment vertical="top"/>
    </xf>
    <xf numFmtId="49" fontId="23" fillId="34" borderId="14" xfId="0" applyFont="1" applyFill="1" applyBorder="1" applyNumberFormat="1">
      <alignment vertical="top"/>
    </xf>
    <xf numFmtId="49" fontId="23" fillId="0" borderId="16" xfId="0" applyFont="1" applyBorder="1" applyNumberFormat="1">
      <alignment horizontal="center" vertical="top"/>
    </xf>
    <xf numFmtId="49" fontId="23" fillId="0" borderId="15" xfId="0" applyFont="1" applyBorder="1" applyNumberFormat="1">
      <alignment horizontal="center" vertical="top"/>
    </xf>
    <xf numFmtId="0" fontId="23" fillId="38" borderId="32" xfId="0" applyFont="1" applyFill="1" applyBorder="1" applyNumberFormat="1">
      <alignment horizontal="center" vertical="top"/>
    </xf>
    <xf numFmtId="0" fontId="23" fillId="38" borderId="32" xfId="0" applyFont="1" applyFill="1" applyBorder="1" applyNumberFormat="1">
      <alignment horizontal="left" vertical="top"/>
    </xf>
    <xf numFmtId="0" fontId="0" fillId="0" borderId="34" xfId="0" applyFont="1" applyBorder="1" applyNumberFormat="1">
      <alignment horizontal="center" vertical="center"/>
    </xf>
    <xf numFmtId="0" fontId="0" fillId="0" borderId="36" xfId="0" applyFont="1" applyBorder="1" applyNumberFormat="1">
      <alignment horizontal="center" vertical="center"/>
    </xf>
    <xf numFmtId="0" fontId="23" fillId="0" borderId="14" xfId="0" applyFont="1" applyBorder="1" applyNumberFormat="1">
      <alignment horizontal="left" vertical="top"/>
    </xf>
    <xf numFmtId="49" fontId="23" fillId="0" borderId="0" xfId="0" applyFont="1" applyNumberFormat="1">
      <alignment horizontal="left" vertical="top"/>
    </xf>
    <xf numFmtId="0" fontId="0" fillId="0" borderId="33" xfId="0" applyFont="1" applyBorder="1" applyNumberFormat="1">
      <alignment horizontal="center" vertical="center"/>
    </xf>
    <xf numFmtId="0" fontId="0" fillId="0" borderId="35" xfId="0" applyFont="1" applyBorder="1" applyNumberFormat="1">
      <alignment horizontal="center" vertical="center"/>
    </xf>
    <xf numFmtId="49" fontId="40" fillId="49" borderId="16" xfId="0" applyFont="1" applyFill="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50" borderId="0" xfId="0" applyFont="1" applyFill="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xf>
    <xf numFmtId="49" fontId="0"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49" fontId="0" fillId="0" borderId="0" xfId="0" applyFont="1" applyNumberFormat="1">
      <alignment vertical="center" wrapText="1"/>
    </xf>
    <xf numFmtId="49" fontId="0" fillId="0" borderId="0" xfId="0" applyFont="1" applyNumberFormat="1">
      <alignment vertical="center"/>
    </xf>
    <xf numFmtId="49" fontId="23" fillId="0" borderId="0" xfId="0" applyFont="1" applyNumberFormat="1">
      <alignment vertical="top"/>
    </xf>
    <xf numFmtId="49"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0" fontId="23" fillId="42" borderId="14" xfId="0" applyFont="1" applyFill="1" applyBorder="1" applyNumberFormat="1">
      <alignment horizontal="center" vertical="center" wrapText="1"/>
      <protection locked="0"/>
    </xf>
    <xf numFmtId="0" fontId="54" fillId="37" borderId="0" xfId="0" applyFont="1" applyFill="1" applyNumberFormat="1"/>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8" borderId="14" xfId="0" applyFont="1" applyFill="1" applyBorder="1" applyNumberFormat="1">
      <alignment horizontal="left" vertical="center" wrapText="1"/>
    </xf>
    <xf numFmtId="0" fontId="73" fillId="37" borderId="0" xfId="0" applyFont="1" applyFill="1" applyNumberFormat="1"/>
    <xf numFmtId="0" fontId="23" fillId="37" borderId="14" xfId="0" applyFont="1" applyFill="1" applyBorder="1" applyNumberFormat="1">
      <alignment horizontal="left"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0" fontId="55"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0" fillId="37" borderId="19" xfId="0" applyFont="1" applyFill="1" applyBorder="1" applyNumberFormat="1">
      <alignment horizontal="left" vertical="top" wrapText="1"/>
    </xf>
    <xf numFmtId="0" fontId="72" fillId="37" borderId="0" xfId="0" applyFont="1" applyFill="1" applyNumberFormat="1"/>
    <xf numFmtId="0" fontId="77" fillId="37" borderId="0" xfId="0" applyFont="1" applyFill="1" applyNumberFormat="1">
      <alignment vertical="center" wrapText="1"/>
    </xf>
    <xf numFmtId="0" fontId="55" fillId="37" borderId="14" xfId="0" applyFont="1" applyFill="1" applyBorder="1" applyNumberFormat="1">
      <alignment horizontal="center" vertical="center"/>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0" fontId="89" fillId="37" borderId="0" xfId="0" applyFont="1" applyFill="1" applyNumberFormat="1"/>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0" fontId="23" fillId="37" borderId="14" xfId="0" applyFont="1" applyFill="1" applyBorder="1" applyNumberFormat="1">
      <alignment vertical="top"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14" fontId="23" fillId="42" borderId="14" xfId="0" applyFont="1" applyFill="1" applyBorder="1" applyNumberFormat="1">
      <alignment horizontal="left" vertical="center" wrapText="1" indent="1"/>
      <protection locked="0"/>
    </xf>
    <xf numFmtId="0" fontId="117" fillId="0" borderId="0" xfId="0" applyFont="1" applyNumberFormat="1">
      <alignment vertical="center"/>
    </xf>
    <xf numFmtId="0" fontId="45" fillId="0" borderId="0" xfId="0" applyFont="1" applyNumberFormat="1">
      <alignment horizontal="center" vertical="center" wrapText="1"/>
    </xf>
    <xf numFmtId="4" fontId="23" fillId="0" borderId="19" xfId="0" applyFont="1" applyBorder="1" applyNumberFormat="1">
      <alignment horizontal="center" vertical="center" wrapText="1"/>
    </xf>
    <xf numFmtId="165" fontId="23" fillId="0" borderId="39" xfId="0" applyFont="1" applyBorder="1" applyNumberFormat="1">
      <alignment horizontal="center" vertical="center" wrapText="1"/>
    </xf>
    <xf numFmtId="165"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14" fontId="23" fillId="43" borderId="14" xfId="0" applyFont="1" applyFill="1" applyBorder="1" applyNumberFormat="1">
      <alignment horizontal="left" vertical="center" wrapText="1"/>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0" fillId="40" borderId="31" xfId="0" applyFont="1" applyFill="1" applyBorder="1" applyNumberFormat="1">
      <alignment horizontal="right" vertical="center" wrapText="1"/>
    </xf>
    <xf numFmtId="0" fontId="117" fillId="0" borderId="0" xfId="0" applyFont="1" applyNumberFormat="1">
      <alignment vertical="center" wrapText="1"/>
    </xf>
    <xf numFmtId="49" fontId="0" fillId="0" borderId="0" xfId="0" applyFont="1" applyNumberFormat="1">
      <alignment vertical="top"/>
    </xf>
    <xf numFmtId="0" fontId="55" fillId="0" borderId="0" xfId="0" applyFont="1" applyNumberFormat="1">
      <alignment vertical="center"/>
    </xf>
    <xf numFmtId="0" fontId="44"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38" borderId="14" xfId="0" applyFont="1" applyFill="1" applyBorder="1" applyNumberFormat="1">
      <alignment horizontal="left" vertical="center" wrapText="1" indent="1"/>
    </xf>
    <xf numFmtId="167" fontId="0" fillId="42" borderId="17" xfId="0" applyFont="1" applyFill="1" applyBorder="1" applyNumberFormat="1">
      <alignment horizontal="left" vertical="center" wrapText="1" indent="1"/>
      <protection locked="0"/>
    </xf>
    <xf numFmtId="168" fontId="23" fillId="42" borderId="14" xfId="0" applyFont="1" applyFill="1" applyBorder="1" applyNumberFormat="1">
      <alignment horizontal="left" vertical="center" wrapText="1" indent="1"/>
      <protection locked="0"/>
    </xf>
    <xf numFmtId="167" fontId="55" fillId="0" borderId="0" xfId="0" applyFont="1" applyNumberFormat="1">
      <alignment horizontal="center" vertical="center" wrapText="1"/>
    </xf>
    <xf numFmtId="165" fontId="23" fillId="0" borderId="19"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7" xfId="0" applyFont="1" applyBorder="1" applyNumberFormat="1">
      <alignment horizontal="center" vertical="center" wrapText="1"/>
    </xf>
    <xf numFmtId="165" fontId="23" fillId="0" borderId="15" xfId="0" applyFont="1" applyBorder="1" applyNumberFormat="1">
      <alignment horizontal="center" vertical="center" wrapText="1"/>
    </xf>
    <xf numFmtId="4" fontId="23" fillId="0" borderId="38" xfId="0" applyFont="1" applyBorder="1" applyNumberFormat="1">
      <alignment horizontal="center" vertical="center" wrapText="1"/>
    </xf>
    <xf numFmtId="165" fontId="23" fillId="0" borderId="25" xfId="0" applyFont="1" applyBorder="1" applyNumberFormat="1">
      <alignment horizontal="center" vertical="center" wrapText="1"/>
    </xf>
    <xf numFmtId="165" fontId="23" fillId="0" borderId="25"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25" xfId="0" applyFont="1" applyFill="1" applyBorder="1" applyNumberFormat="1">
      <alignment horizontal="left" vertical="center" wrapText="1" indent="1"/>
    </xf>
    <xf numFmtId="14" fontId="23" fillId="42" borderId="25" xfId="0" applyFont="1" applyFill="1" applyBorder="1" applyNumberFormat="1">
      <alignment horizontal="left" vertical="center" wrapText="1" indent="1"/>
      <protection locked="0"/>
    </xf>
    <xf numFmtId="0" fontId="23" fillId="0" borderId="31" xfId="0" applyFont="1" applyBorder="1" applyNumberFormat="1">
      <alignment horizontal="left" vertical="top" wrapText="1"/>
    </xf>
    <xf numFmtId="49" fontId="0" fillId="0" borderId="0" xfId="0" applyFont="1" applyNumberFormat="1">
      <alignment vertical="top"/>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left" vertical="center" wrapText="1" indent="1"/>
    </xf>
    <xf numFmtId="165" fontId="23" fillId="0" borderId="25" xfId="0" applyFont="1" applyBorder="1" applyNumberFormat="1">
      <alignment horizontal="center" vertical="center" wrapText="1"/>
    </xf>
    <xf numFmtId="0" fontId="23" fillId="0" borderId="25" xfId="0" applyFont="1" applyBorder="1" applyNumberFormat="1">
      <alignment horizontal="left" vertical="center" wrapText="1" indent="1"/>
    </xf>
    <xf numFmtId="14" fontId="23" fillId="0" borderId="25" xfId="0" applyFont="1" applyBorder="1" applyNumberFormat="1">
      <alignment horizontal="left" vertical="center" wrapText="1" indent="1"/>
    </xf>
    <xf numFmtId="0" fontId="45" fillId="0" borderId="0" xfId="0" applyFont="1" applyNumberFormat="1">
      <alignment horizontal="center" vertical="center" wrapText="1"/>
    </xf>
    <xf numFmtId="0" fontId="55" fillId="0" borderId="0" xfId="0" applyFont="1" applyNumberFormat="1">
      <alignment vertical="center"/>
    </xf>
    <xf numFmtId="0" fontId="23" fillId="38" borderId="14" xfId="0" applyFont="1" applyFill="1" applyBorder="1" applyNumberFormat="1">
      <alignment horizontal="left" vertical="center" wrapTex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0" borderId="16"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34" fillId="40" borderId="29" xfId="0" applyFont="1" applyFill="1" applyBorder="1" applyNumberFormat="1">
      <alignment horizontal="left" vertical="center" wrapText="1"/>
    </xf>
    <xf numFmtId="49" fontId="34" fillId="40" borderId="31" xfId="0" applyFont="1" applyFill="1" applyBorder="1" applyNumberFormat="1">
      <alignment horizontal="left" vertical="center" wrapText="1"/>
    </xf>
    <xf numFmtId="0" fontId="23" fillId="37" borderId="38" xfId="0" applyFont="1" applyFill="1" applyBorder="1" applyNumberFormat="1">
      <alignment vertical="center" wrapText="1"/>
    </xf>
    <xf numFmtId="0" fontId="55" fillId="0" borderId="0" xfId="0" applyFont="1" applyNumberFormat="1">
      <alignment horizontal="center"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14"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7" xfId="0" applyFont="1" applyBorder="1" applyNumberFormat="1">
      <alignment horizontal="left" vertical="center" wrapText="1"/>
    </xf>
    <xf numFmtId="0" fontId="50" fillId="0" borderId="0" xfId="0" applyFont="1" applyNumberFormat="1">
      <alignment horizontal="center" vertical="center" wrapText="1"/>
    </xf>
    <xf numFmtId="0" fontId="23" fillId="0" borderId="0" xfId="0" applyFont="1" applyNumberFormat="1">
      <alignment horizontal="center" vertical="center" wrapText="1"/>
    </xf>
    <xf numFmtId="165" fontId="53" fillId="0" borderId="21" xfId="0" applyFont="1" applyBorder="1" applyNumberFormat="1">
      <alignment horizontal="center" vertical="center" wrapText="1"/>
    </xf>
    <xf numFmtId="165" fontId="53" fillId="0" borderId="21" xfId="0" applyFont="1" applyBorder="1" applyNumberFormat="1">
      <alignment horizontal="center" vertical="center" wrapText="1"/>
    </xf>
    <xf numFmtId="165" fontId="53" fillId="0" borderId="22" xfId="0" applyFont="1" applyBorder="1" applyNumberFormat="1">
      <alignment horizontal="center" vertical="center" wrapText="1"/>
    </xf>
    <xf numFmtId="0" fontId="55" fillId="0" borderId="0" xfId="0" applyFont="1" applyNumberFormat="1">
      <alignment horizontal="center" vertical="center"/>
    </xf>
    <xf numFmtId="165" fontId="23" fillId="0" borderId="14" xfId="0" applyFont="1" applyBorder="1" applyNumberFormat="1">
      <alignment horizontal="center" vertical="center" wrapText="1"/>
    </xf>
    <xf numFmtId="165" fontId="23" fillId="0" borderId="38" xfId="0" applyFont="1" applyBorder="1" applyNumberFormat="1">
      <alignment horizontal="center" vertical="center" wrapText="1"/>
    </xf>
    <xf numFmtId="165" fontId="23" fillId="0" borderId="14" xfId="0" applyFont="1" applyBorder="1" applyNumberFormat="1">
      <alignment horizontal="center"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43" borderId="32" xfId="0" applyFont="1" applyFill="1" applyBorder="1" applyNumberFormat="1">
      <alignment horizontal="left" vertical="center" wrapText="1"/>
    </xf>
    <xf numFmtId="0" fontId="23" fillId="0" borderId="25" xfId="0" applyFont="1" applyBorder="1" applyNumberFormat="1">
      <alignment horizontal="center" vertical="center" wrapText="1"/>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23" fillId="0" borderId="14" xfId="0" applyFont="1" applyBorder="1" applyNumberFormat="1">
      <alignment horizontal="left" vertical="top" wrapText="1"/>
    </xf>
    <xf numFmtId="49" fontId="23" fillId="43" borderId="25" xfId="0" applyFont="1" applyFill="1" applyBorder="1" applyNumberFormat="1">
      <alignment horizontal="left" vertical="center" wrapText="1"/>
    </xf>
    <xf numFmtId="49" fontId="129" fillId="0" borderId="14" xfId="0" applyFont="1" applyBorder="1" applyNumberFormat="1">
      <alignment horizontal="left" vertical="top"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37" borderId="0" xfId="0" applyFont="1" applyFill="1" applyNumberFormat="1"/>
    <xf numFmtId="49" fontId="40"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xf>
    <xf numFmtId="0" fontId="51" fillId="37" borderId="0" xfId="0" applyFont="1" applyFill="1" applyNumberFormat="1">
      <alignment horizontal="center" vertical="center" wrapText="1"/>
    </xf>
    <xf numFmtId="0" fontId="40" fillId="37" borderId="0" xfId="0" applyFont="1" applyFill="1" applyNumberFormat="1"/>
    <xf numFmtId="0" fontId="23" fillId="37" borderId="14" xfId="0" applyFont="1" applyFill="1" applyBorder="1" applyNumberFormat="1">
      <alignment horizontal="center" vertical="center" wrapTex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top"/>
    </xf>
    <xf numFmtId="49" fontId="55" fillId="0" borderId="0" xfId="0" applyFont="1" applyNumberFormat="1">
      <alignment vertical="top"/>
    </xf>
    <xf numFmtId="49" fontId="23" fillId="0" borderId="0" xfId="0" applyFont="1" applyNumberFormat="1">
      <alignment vertical="top"/>
    </xf>
    <xf numFmtId="49" fontId="48" fillId="40" borderId="17" xfId="0" applyFont="1" applyFill="1" applyBorder="1" applyNumberFormat="1">
      <alignment horizontal="left" vertical="center"/>
    </xf>
    <xf numFmtId="49" fontId="52" fillId="40" borderId="17" xfId="0" applyFont="1" applyFill="1" applyBorder="1" applyNumberFormat="1">
      <alignment horizontal="center" vertical="top"/>
    </xf>
    <xf numFmtId="49" fontId="23" fillId="0" borderId="0" xfId="0" applyFont="1" applyNumberFormat="1">
      <alignment horizontal="left" vertical="top" wrapText="1"/>
    </xf>
    <xf numFmtId="49" fontId="23" fillId="0" borderId="0" xfId="0" applyFont="1" applyNumberFormat="1">
      <alignment vertical="top"/>
    </xf>
    <xf numFmtId="49" fontId="45" fillId="0" borderId="0" xfId="0" applyFont="1" applyNumberFormat="1">
      <alignment horizontal="center" vertical="center"/>
    </xf>
    <xf numFmtId="49" fontId="23" fillId="0" borderId="0" xfId="0" applyFont="1" applyNumberFormat="1">
      <alignment vertical="top"/>
    </xf>
    <xf numFmtId="0" fontId="45" fillId="37" borderId="0" xfId="0" applyFont="1" applyFill="1" applyNumberFormat="1">
      <alignment horizontal="center" vertical="center"/>
    </xf>
    <xf numFmtId="0" fontId="23" fillId="37" borderId="0" xfId="0" applyFont="1" applyFill="1" applyNumberFormat="1"/>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0" fontId="69" fillId="0" borderId="0" xfId="0" applyFont="1" applyNumberFormat="1"/>
    <xf numFmtId="0" fontId="23" fillId="0" borderId="14" xfId="0" applyFont="1" applyBorder="1" applyNumberFormat="1">
      <alignment horizontal="center" vertical="center" wrapText="1"/>
    </xf>
    <xf numFmtId="0" fontId="23" fillId="37" borderId="19" xfId="0" applyFont="1" applyFill="1" applyBorder="1" applyNumberFormat="1">
      <alignment horizontal="center" vertical="center"/>
    </xf>
    <xf numFmtId="49" fontId="23" fillId="0" borderId="19" xfId="0" applyFont="1" applyBorder="1" applyNumberFormat="1">
      <alignment horizontal="left"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49" fontId="53" fillId="0" borderId="0" xfId="0" applyFont="1" applyNumberFormat="1">
      <alignment horizontal="right" vertical="top"/>
    </xf>
    <xf numFmtId="49" fontId="23" fillId="0" borderId="0" xfId="0" applyFont="1" applyNumberFormat="1">
      <alignment horizontal="left" vertical="top" wrapText="1"/>
    </xf>
    <xf numFmtId="49" fontId="53" fillId="0" borderId="0" xfId="0" applyFont="1" applyNumberFormat="1">
      <alignment vertical="top"/>
    </xf>
    <xf numFmtId="0" fontId="23" fillId="0" borderId="0" xfId="0" applyFont="1" applyNumberFormat="1"/>
    <xf numFmtId="0" fontId="45" fillId="0" borderId="0" xfId="0" applyFont="1" applyNumberFormat="1">
      <alignment horizontal="center" vertical="center"/>
    </xf>
    <xf numFmtId="0" fontId="23" fillId="0" borderId="0" xfId="0" applyFont="1" applyNumberFormat="1"/>
    <xf numFmtId="49" fontId="23" fillId="0" borderId="14" xfId="0" applyFont="1" applyBorder="1" applyNumberFormat="1">
      <alignment horizontal="left" vertical="center" wrapText="1"/>
    </xf>
    <xf numFmtId="49" fontId="48" fillId="40" borderId="15" xfId="0" applyFont="1" applyFill="1" applyBorder="1" applyNumberFormat="1">
      <alignment horizontal="left" vertical="center"/>
    </xf>
    <xf numFmtId="49" fontId="0" fillId="0" borderId="17" xfId="0" applyFont="1" applyBorder="1" applyNumberFormat="1">
      <alignment horizontal="left" vertical="center" indent="1"/>
    </xf>
    <xf numFmtId="49" fontId="70" fillId="0" borderId="0" xfId="0" applyFont="1" applyNumberFormat="1">
      <alignment vertical="top"/>
    </xf>
    <xf numFmtId="49" fontId="0" fillId="0" borderId="27" xfId="0" applyFont="1" applyBorder="1" applyNumberFormat="1">
      <alignment horizontal="center" vertical="center"/>
    </xf>
    <xf numFmtId="49" fontId="0" fillId="0" borderId="0" xfId="0" applyFont="1" applyNumberFormat="1">
      <alignment vertical="top"/>
    </xf>
    <xf numFmtId="49" fontId="0" fillId="41" borderId="0" xfId="0" applyFont="1" applyFill="1" applyNumberFormat="1">
      <alignment vertical="top"/>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49" fontId="23" fillId="39" borderId="14" xfId="0" applyFont="1" applyFill="1" applyBorder="1" applyNumberFormat="1">
      <alignment horizontal="left" vertical="center" wrapText="1"/>
      <protection locked="0"/>
    </xf>
    <xf numFmtId="0" fontId="50" fillId="0" borderId="0" xfId="0" applyFont="1" applyNumberFormat="1">
      <alignment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54" fillId="0" borderId="0" xfId="0" applyFont="1" applyNumberFormat="1">
      <alignment horizontal="center" vertical="center" wrapText="1"/>
    </xf>
    <xf numFmtId="0" fontId="54" fillId="0" borderId="14" xfId="0" applyFont="1" applyBorder="1" applyNumberFormat="1">
      <alignment horizontal="center" vertical="center" wrapText="1"/>
    </xf>
    <xf numFmtId="14" fontId="23" fillId="43" borderId="14" xfId="0" applyFont="1" applyFill="1" applyBorder="1" applyNumberFormat="1">
      <alignment horizontal="left" vertical="center" wrapText="1" indent="1"/>
    </xf>
    <xf numFmtId="49" fontId="23" fillId="38" borderId="14" xfId="0" applyFont="1" applyFill="1" applyBorder="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0" fillId="0" borderId="0" xfId="0" applyFont="1" applyNumberFormat="1">
      <alignment vertical="center"/>
    </xf>
    <xf numFmtId="0" fontId="44" fillId="0" borderId="26" xfId="0" applyFont="1" applyBorder="1" applyNumberFormat="1">
      <alignment horizontal="center" vertical="center" wrapText="1"/>
    </xf>
    <xf numFmtId="14" fontId="86" fillId="0" borderId="19" xfId="0" applyFont="1" applyBorder="1" applyNumberFormat="1">
      <alignment horizontal="center" vertical="center" wrapText="1"/>
    </xf>
    <xf numFmtId="0" fontId="80" fillId="0" borderId="14" xfId="0" applyFont="1" applyBorder="1" applyNumberFormat="1">
      <alignment horizontal="left" vertical="center" wrapText="1" indent="1"/>
    </xf>
    <xf numFmtId="0" fontId="86"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0" fontId="79" fillId="0" borderId="0" xfId="0" applyFont="1" applyNumberFormat="1">
      <alignment vertical="center"/>
    </xf>
    <xf numFmtId="14" fontId="86" fillId="0" borderId="38" xfId="0" applyFont="1" applyBorder="1" applyNumberFormat="1">
      <alignment horizontal="center" vertical="center" wrapText="1"/>
    </xf>
    <xf numFmtId="0" fontId="80" fillId="0" borderId="14" xfId="0" applyFont="1" applyBorder="1" applyNumberFormat="1">
      <alignment horizontal="left" vertical="top" indent="1"/>
    </xf>
    <xf numFmtId="49" fontId="0" fillId="0" borderId="14" xfId="0" applyFont="1" applyBorder="1" applyNumberFormat="1">
      <alignment vertical="top"/>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0" fontId="44" fillId="0" borderId="14" xfId="0" applyFont="1" applyBorder="1" applyNumberFormat="1">
      <alignment horizontal="center" vertical="center" wrapText="1"/>
    </xf>
    <xf numFmtId="49" fontId="23" fillId="0" borderId="15"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23" fillId="43" borderId="16" xfId="0" applyFont="1" applyFill="1" applyBorder="1" applyNumberFormat="1">
      <alignment horizontal="left" vertical="center" wrapText="1"/>
    </xf>
    <xf numFmtId="49" fontId="0" fillId="0" borderId="14" xfId="0" applyFont="1" applyBorder="1" applyNumberFormat="1">
      <alignment vertical="top"/>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0" fillId="0" borderId="0" xfId="0" applyFont="1" applyNumberFormat="1">
      <alignment vertical="top"/>
    </xf>
    <xf numFmtId="49" fontId="23" fillId="0" borderId="0" xfId="0" applyFont="1" applyNumberFormat="1">
      <alignment vertical="top"/>
    </xf>
    <xf numFmtId="0" fontId="45" fillId="37" borderId="0" xfId="0" applyFont="1" applyFill="1" applyNumberFormat="1">
      <alignment vertical="top" wrapText="1"/>
    </xf>
    <xf numFmtId="0" fontId="23" fillId="37" borderId="16" xfId="0" applyFont="1" applyFill="1" applyBorder="1" applyNumberFormat="1">
      <alignment horizontal="center" vertical="center" wrapText="1"/>
    </xf>
    <xf numFmtId="0" fontId="55" fillId="37" borderId="14" xfId="0" applyFont="1" applyFill="1" applyBorder="1" applyNumberFormat="1">
      <alignment horizontal="center" vertical="center" wrapText="1"/>
    </xf>
    <xf numFmtId="14" fontId="23" fillId="43" borderId="31" xfId="0" applyFont="1" applyFill="1" applyBorder="1" applyNumberFormat="1">
      <alignment horizontal="left" vertical="center" wrapText="1"/>
    </xf>
    <xf numFmtId="49" fontId="127" fillId="42" borderId="14" xfId="0" applyFont="1" applyFill="1" applyBorder="1" applyNumberFormat="1">
      <alignment horizontal="left" vertical="center" wrapText="1"/>
      <protection locked="0"/>
    </xf>
    <xf numFmtId="49" fontId="0" fillId="0" borderId="14" xfId="0" applyFont="1" applyBorder="1" applyNumberFormat="1">
      <alignment horizontal="center" vertical="center" wrapText="1"/>
    </xf>
    <xf numFmtId="0" fontId="23" fillId="43" borderId="16" xfId="0" applyFont="1" applyFill="1" applyBorder="1" applyNumberFormat="1">
      <alignment horizontal="left" vertical="center" wrapText="1"/>
    </xf>
    <xf numFmtId="0" fontId="0" fillId="0" borderId="25" xfId="0" applyFont="1" applyBorder="1" applyNumberFormat="1">
      <alignment horizontal="center" vertical="center" wrapText="1"/>
    </xf>
    <xf numFmtId="49" fontId="23" fillId="0" borderId="0" xfId="0" applyFont="1" applyNumberFormat="1">
      <alignment vertical="top"/>
    </xf>
    <xf numFmtId="49" fontId="45" fillId="0" borderId="0" xfId="0" applyFont="1" applyNumberFormat="1">
      <alignment horizontal="center" vertical="center" wrapText="1"/>
    </xf>
    <xf numFmtId="167"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49"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45" fillId="0" borderId="26" xfId="0" applyFont="1" applyBorder="1" applyNumberFormat="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167" fontId="0" fillId="42" borderId="14" xfId="0" applyFont="1" applyFill="1" applyBorder="1" applyNumberFormat="1">
      <alignment horizontal="center" vertical="top" wrapText="1"/>
      <protection locked="0"/>
    </xf>
    <xf numFmtId="167"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0" fontId="23" fillId="39" borderId="14" xfId="0" applyFont="1" applyFill="1" applyBorder="1" applyNumberFormat="1">
      <alignment horizontal="left" vertical="top" wrapText="1"/>
      <protection locked="0"/>
    </xf>
    <xf numFmtId="49" fontId="23" fillId="43" borderId="14" xfId="0" applyFont="1" applyFill="1" applyBorder="1" applyNumberFormat="1">
      <alignment horizontal="center" vertical="top" wrapText="1"/>
    </xf>
    <xf numFmtId="0" fontId="23" fillId="0" borderId="38" xfId="0" applyFont="1" applyBorder="1" applyNumberFormat="1">
      <alignment horizontal="center" vertical="center" wrapText="1"/>
    </xf>
    <xf numFmtId="0" fontId="23" fillId="0" borderId="14" xfId="0" applyFont="1" applyBorder="1" applyNumberFormat="1">
      <alignment horizontal="center" vertical="center" wrapText="1"/>
    </xf>
    <xf numFmtId="49" fontId="23" fillId="42" borderId="19" xfId="0" applyFont="1" applyFill="1" applyBorder="1" applyNumberFormat="1">
      <alignment horizontal="left" vertical="center" wrapText="1" indent="1"/>
      <protection locked="0"/>
    </xf>
    <xf numFmtId="0" fontId="23" fillId="0" borderId="26" xfId="0" applyFont="1" applyBorder="1" applyNumberFormat="1">
      <alignment vertical="top" wrapText="1"/>
    </xf>
    <xf numFmtId="49" fontId="23" fillId="43" borderId="25" xfId="0" applyFont="1" applyFill="1" applyBorder="1" applyNumberFormat="1">
      <alignment horizontal="center" vertical="top" wrapText="1"/>
    </xf>
    <xf numFmtId="49" fontId="0" fillId="42"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6" xfId="0" applyFont="1" applyFill="1" applyBorder="1" applyNumberFormat="1">
      <alignment horizontal="center" vertical="top" wrapText="1"/>
    </xf>
    <xf numFmtId="49" fontId="23" fillId="0" borderId="38" xfId="0" applyFont="1" applyBorder="1" applyNumberFormat="1">
      <alignment horizontal="center" vertical="top" wrapText="1"/>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6" xfId="0" applyFont="1" applyBorder="1" applyNumberFormat="1">
      <alignment vertical="center" wrapText="1"/>
    </xf>
    <xf numFmtId="0" fontId="23" fillId="0" borderId="57" xfId="0" applyFont="1" applyBorder="1" applyNumberFormat="1">
      <alignment vertical="center" wrapText="1"/>
    </xf>
    <xf numFmtId="0" fontId="23" fillId="0" borderId="40" xfId="0" applyFont="1" applyBorder="1" applyNumberFormat="1">
      <alignment vertical="center" wrapText="1"/>
    </xf>
    <xf numFmtId="49" fontId="23" fillId="38" borderId="14" xfId="0" applyFont="1" applyFill="1" applyBorder="1" applyNumberFormat="1">
      <alignment horizontal="center"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23" fillId="43" borderId="16" xfId="0" applyFont="1" applyFill="1" applyBorder="1" applyNumberFormat="1">
      <alignment horizontal="center" vertical="center" wrapText="1"/>
    </xf>
    <xf numFmtId="49" fontId="110" fillId="40" borderId="45" xfId="0" applyFont="1" applyFill="1" applyBorder="1" applyNumberFormat="1">
      <alignment horizontal="left" vertical="center" indent="1"/>
    </xf>
    <xf numFmtId="49" fontId="99" fillId="40" borderId="45" xfId="0" applyFont="1" applyFill="1" applyBorder="1" applyNumberFormat="1">
      <alignment horizontal="center" vertical="center"/>
    </xf>
    <xf numFmtId="3" fontId="23" fillId="42" borderId="14" xfId="0" applyFont="1" applyFill="1" applyBorder="1" applyNumberFormat="1">
      <alignment horizontal="center" vertical="center" wrapText="1"/>
      <protection locked="0"/>
    </xf>
    <xf numFmtId="49" fontId="128" fillId="0" borderId="15" xfId="0" applyFont="1" applyBorder="1" applyNumberFormat="1">
      <alignment horizontal="center" vertical="center" wrapText="1"/>
    </xf>
    <xf numFmtId="0" fontId="53" fillId="0" borderId="14" xfId="0" applyFont="1" applyBorder="1" applyNumberFormat="1">
      <alignment horizontal="center" vertical="center"/>
    </xf>
    <xf numFmtId="49" fontId="23" fillId="43" borderId="19"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23" fillId="43" borderId="38" xfId="0" applyFont="1" applyFill="1" applyBorder="1" applyNumberFormat="1">
      <alignment horizontal="left" vertical="center" wrapText="1" indent="1"/>
    </xf>
    <xf numFmtId="49" fontId="23" fillId="38" borderId="14" xfId="0" applyFont="1" applyFill="1" applyBorder="1" applyNumberFormat="1">
      <alignment horizontal="left" vertical="center" wrapText="1"/>
    </xf>
    <xf numFmtId="49" fontId="128" fillId="0" borderId="0" xfId="0" applyFont="1" applyNumberFormat="1">
      <alignment horizontal="center" vertical="top" wrapText="1"/>
    </xf>
    <xf numFmtId="0" fontId="53" fillId="0" borderId="14" xfId="0" applyFont="1" applyBorder="1" applyNumberFormat="1">
      <alignment horizontal="center" vertical="center"/>
    </xf>
    <xf numFmtId="0" fontId="53" fillId="43" borderId="14" xfId="0" applyFont="1" applyFill="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43" borderId="25" xfId="0" applyFont="1" applyFill="1" applyBorder="1" applyNumberFormat="1">
      <alignment horizontal="left" vertical="center" wrapText="1" indent="1"/>
    </xf>
    <xf numFmtId="49" fontId="48" fillId="40" borderId="17" xfId="0" applyFont="1" applyFill="1" applyBorder="1" applyNumberFormat="1">
      <alignment horizontal="left" vertical="center" inden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49" fontId="23" fillId="38" borderId="77" xfId="0" applyFont="1" applyFill="1" applyBorder="1" applyNumberFormat="1">
      <alignment horizontal="center" vertical="center" wrapText="1"/>
    </xf>
    <xf numFmtId="0" fontId="0" fillId="40" borderId="52" xfId="0" applyFont="1" applyFill="1" applyBorder="1" applyNumberFormat="1">
      <alignment horizontal="left" vertical="center"/>
    </xf>
    <xf numFmtId="49" fontId="48" fillId="40" borderId="53" xfId="0" applyFont="1" applyFill="1" applyBorder="1" applyNumberFormat="1">
      <alignment horizontal="left" vertical="center" inden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0" fontId="23" fillId="40" borderId="55" xfId="0" applyFont="1" applyFill="1" applyBorder="1" applyNumberFormat="1">
      <alignment vertical="center" wrapText="1"/>
    </xf>
    <xf numFmtId="49" fontId="0" fillId="38" borderId="38" xfId="0" applyFont="1" applyFill="1" applyBorder="1" applyNumberFormat="1">
      <alignment vertical="top"/>
    </xf>
    <xf numFmtId="49" fontId="23" fillId="43" borderId="19" xfId="0" applyFont="1" applyFill="1" applyBorder="1" applyNumberFormat="1">
      <alignment vertical="center" wrapText="1"/>
    </xf>
    <xf numFmtId="49" fontId="0" fillId="42" borderId="38" xfId="0" applyFont="1" applyFill="1" applyBorder="1" applyNumberFormat="1">
      <alignment vertical="top"/>
      <protection locked="0"/>
    </xf>
    <xf numFmtId="49" fontId="128" fillId="0" borderId="14" xfId="0" applyFont="1" applyBorder="1" applyNumberFormat="1">
      <alignment horizontal="center" vertical="center" wrapText="1"/>
    </xf>
    <xf numFmtId="49" fontId="0" fillId="42" borderId="19" xfId="0" applyFont="1" applyFill="1" applyBorder="1" applyNumberFormat="1">
      <alignment vertical="top"/>
      <protection locked="0"/>
    </xf>
    <xf numFmtId="14" fontId="23" fillId="43" borderId="38" xfId="0" applyFont="1" applyFill="1" applyBorder="1" applyNumberFormat="1">
      <alignment horizontal="left" vertical="center" wrapText="1" inden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0" fontId="53" fillId="0" borderId="15" xfId="0" applyFont="1" applyBorder="1" applyNumberFormat="1">
      <alignment horizontal="center" vertical="center"/>
    </xf>
    <xf numFmtId="0" fontId="108" fillId="0" borderId="49" xfId="0" applyFont="1" applyBorder="1" applyNumberFormat="1">
      <alignment horizontal="left" vertical="center" indent="1"/>
    </xf>
    <xf numFmtId="49" fontId="23" fillId="0" borderId="58" xfId="0" applyFont="1" applyBorder="1" applyNumberFormat="1">
      <alignment horizontal="center" vertical="center"/>
    </xf>
    <xf numFmtId="0" fontId="23" fillId="0" borderId="58" xfId="0" applyFont="1" applyBorder="1" applyNumberFormat="1">
      <alignment horizontal="right" vertical="center"/>
    </xf>
    <xf numFmtId="0" fontId="23" fillId="0" borderId="58"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49" fontId="0" fillId="0" borderId="0" xfId="0" applyFont="1" applyNumberFormat="1">
      <alignment vertical="top"/>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39" borderId="14" xfId="0" applyFont="1" applyFill="1" applyBorder="1" applyNumberFormat="1">
      <alignment horizontal="left" vertical="center"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9"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48" fillId="0" borderId="14" xfId="0" applyFont="1" applyBorder="1" applyNumberFormat="1">
      <alignment horizontal="left" vertical="center" indent="1"/>
    </xf>
    <xf numFmtId="0" fontId="54" fillId="0" borderId="0" xfId="0" applyFont="1" applyNumberFormat="1">
      <alignment horizontal="center" vertical="top"/>
    </xf>
    <xf numFmtId="49" fontId="23" fillId="0" borderId="25" xfId="0" applyFont="1" applyBorder="1" applyNumberFormat="1">
      <alignment horizontal="center" vertical="center" wrapText="1"/>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49" fontId="55" fillId="0" borderId="15" xfId="0" applyFont="1" applyBorder="1" applyNumberFormat="1">
      <alignment horizontal="left" vertical="center" indent="1"/>
    </xf>
    <xf numFmtId="0" fontId="55" fillId="0" borderId="14" xfId="0" applyFont="1" applyBorder="1" applyNumberFormat="1">
      <alignment horizontal="left" vertical="center" indent="1"/>
    </xf>
    <xf numFmtId="49" fontId="0" fillId="0" borderId="21" xfId="0" applyFont="1" applyBorder="1" applyNumberFormat="1">
      <alignment vertical="top"/>
    </xf>
    <xf numFmtId="49" fontId="45" fillId="0" borderId="19"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0" fillId="0" borderId="15" xfId="0" applyFont="1" applyBorder="1" applyNumberFormat="1">
      <alignment horizontal="center" vertical="center" wrapText="1"/>
    </xf>
    <xf numFmtId="0" fontId="0" fillId="0" borderId="14" xfId="0" applyFont="1" applyBorder="1" applyNumberFormat="1">
      <alignment horizontal="left" vertical="center" wrapText="1"/>
    </xf>
    <xf numFmtId="49" fontId="0" fillId="0" borderId="14" xfId="0" applyFont="1" applyBorder="1" applyNumberFormat="1">
      <alignment horizontal="center" vertical="center"/>
    </xf>
    <xf numFmtId="0" fontId="0" fillId="0" borderId="14" xfId="0" applyFont="1" applyBorder="1" applyNumberFormat="1">
      <alignment horizontal="center" vertical="center" wrapText="1"/>
    </xf>
    <xf numFmtId="4" fontId="0" fillId="38" borderId="14" xfId="0" applyFont="1" applyFill="1" applyBorder="1" applyNumberFormat="1">
      <alignment horizontal="right" vertical="center" wrapText="1"/>
    </xf>
    <xf numFmtId="49" fontId="23" fillId="0" borderId="38" xfId="0" applyFont="1" applyBorder="1" applyNumberFormat="1">
      <alignment horizontal="center" vertical="top" wrapText="1"/>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2" borderId="14" xfId="0" applyFont="1" applyFill="1" applyBorder="1" applyNumberFormat="1">
      <alignment horizontal="left" vertical="center" wrapText="1"/>
      <protection locked="0"/>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23" fillId="0" borderId="25" xfId="0" applyFont="1" applyBorder="1" applyNumberFormat="1">
      <alignment horizontal="center" vertical="top" wrapText="1"/>
    </xf>
    <xf numFmtId="49" fontId="23" fillId="42" borderId="14" xfId="0" applyFont="1" applyFill="1" applyBorder="1" applyNumberFormat="1">
      <alignment horizontal="left" vertical="center" wrapText="1" indent="1"/>
      <protection locked="0"/>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0" fontId="23" fillId="43" borderId="14" xfId="0" applyFont="1" applyFill="1" applyBorder="1" applyNumberFormat="1">
      <alignment horizontal="left" vertical="top" wrapText="1"/>
    </xf>
    <xf numFmtId="0" fontId="0" fillId="43" borderId="14" xfId="0" applyFont="1" applyFill="1" applyBorder="1" applyNumberFormat="1">
      <alignment horizontal="left" vertical="center" wrapText="1"/>
      <protection locked="0"/>
    </xf>
    <xf numFmtId="49" fontId="23"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49" fontId="0" fillId="0" borderId="14" xfId="0" applyFont="1" applyBorder="1" applyNumberFormat="1">
      <alignment horizontal="left" vertical="top"/>
    </xf>
    <xf numFmtId="49" fontId="0" fillId="43" borderId="14" xfId="0" applyFont="1" applyFill="1" applyBorder="1" applyNumberFormat="1">
      <alignment horizontal="left" vertical="top"/>
    </xf>
    <xf numFmtId="49" fontId="0" fillId="43" borderId="14" xfId="0" applyFont="1" applyFill="1" applyBorder="1" applyNumberFormat="1">
      <alignment horizontal="left" vertical="center" wrapText="1"/>
      <protection locked="0"/>
    </xf>
    <xf numFmtId="49" fontId="0" fillId="39" borderId="38" xfId="0" applyFont="1" applyFill="1" applyBorder="1" applyNumberFormat="1">
      <alignment horizontal="left" vertical="top"/>
      <protection locked="0"/>
    </xf>
    <xf numFmtId="49" fontId="23" fillId="43" borderId="0" xfId="0" applyFont="1" applyFill="1" applyNumberFormat="1">
      <alignment horizontal="center" vertical="center" wrapText="1"/>
    </xf>
    <xf numFmtId="0" fontId="48" fillId="0" borderId="38" xfId="0" applyFont="1" applyBorder="1" applyNumberFormat="1">
      <alignment horizontal="left" vertical="center"/>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49" fontId="0" fillId="0" borderId="0" xfId="0" applyFont="1" applyNumberFormat="1">
      <alignment vertical="top"/>
    </xf>
    <xf numFmtId="0" fontId="0" fillId="0" borderId="0" xfId="0" applyFont="1" applyNumberFormat="1">
      <alignment vertical="center"/>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0" fillId="0" borderId="24"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0" fontId="0" fillId="0" borderId="29" xfId="0" applyFont="1" applyBorder="1" applyNumberFormat="1">
      <alignment vertical="center"/>
    </xf>
    <xf numFmtId="49" fontId="23" fillId="0" borderId="38" xfId="0" applyFont="1" applyBorder="1" applyNumberFormat="1">
      <alignment horizontal="center" vertical="center"/>
    </xf>
    <xf numFmtId="49" fontId="23" fillId="0" borderId="38" xfId="0" applyFont="1" applyBorder="1" applyNumberFormat="1">
      <alignment vertical="center" wrapText="1"/>
    </xf>
    <xf numFmtId="0" fontId="23" fillId="0" borderId="26" xfId="0" applyFont="1" applyBorder="1" applyNumberFormat="1">
      <alignment horizontal="center" vertical="center"/>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45" fillId="0" borderId="38" xfId="0" applyFont="1" applyBorder="1" applyNumberFormat="1">
      <alignment vertical="center" wrapText="1"/>
    </xf>
    <xf numFmtId="0" fontId="23" fillId="43" borderId="19" xfId="0" applyFont="1" applyFill="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horizontal="left" vertical="center" wrapText="1"/>
    </xf>
    <xf numFmtId="0"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vertical="center" wrapText="1"/>
    </xf>
    <xf numFmtId="0" fontId="23" fillId="0" borderId="38" xfId="0" applyFont="1" applyBorder="1" applyNumberFormat="1">
      <alignment horizontal="left" vertical="center" wrapText="1"/>
    </xf>
    <xf numFmtId="49" fontId="23" fillId="0" borderId="38" xfId="0" applyFont="1" applyBorder="1" applyNumberFormat="1">
      <alignment horizontal="left" vertical="center" wrapText="1"/>
    </xf>
    <xf numFmtId="0" fontId="23" fillId="43" borderId="38" xfId="0" applyFont="1" applyFill="1" applyBorder="1" applyNumberFormat="1">
      <alignment horizontal="left" vertical="center" wrapText="1"/>
    </xf>
    <xf numFmtId="49" fontId="23" fillId="0" borderId="38" xfId="0" applyFont="1" applyBorder="1" applyNumberFormat="1">
      <alignment horizontal="center"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23" fillId="0" borderId="38" xfId="0" applyFont="1" applyBorder="1" applyNumberFormat="1">
      <alignment horizontal="center" vertical="center" wrapText="1"/>
    </xf>
    <xf numFmtId="0" fontId="48" fillId="40" borderId="39"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45" fillId="0" borderId="38" xfId="0" applyFont="1" applyBorder="1" applyNumberFormat="1">
      <alignment horizontal="center" vertical="center" wrapText="1"/>
    </xf>
    <xf numFmtId="0" fontId="48" fillId="40" borderId="39" xfId="0" applyFont="1" applyFill="1" applyBorder="1" applyNumberFormat="1">
      <alignment vertical="center"/>
    </xf>
    <xf numFmtId="0" fontId="48" fillId="0" borderId="38" xfId="0" applyFont="1" applyBorder="1" applyNumberFormat="1">
      <alignment horizontal="left" vertical="center"/>
    </xf>
    <xf numFmtId="49" fontId="23" fillId="39" borderId="19" xfId="0" applyFont="1" applyFill="1" applyBorder="1" applyNumberFormat="1">
      <alignment horizontal="left" vertical="center" wrapText="1"/>
      <protection locked="0"/>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0" borderId="21" xfId="0" applyFont="1" applyBorder="1" applyNumberFormat="1">
      <alignment horizontal="lef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49" fontId="100" fillId="0" borderId="14" xfId="0" applyFont="1" applyBorder="1" applyNumberFormat="1">
      <alignment vertical="top" wrapText="1"/>
    </xf>
    <xf numFmtId="49" fontId="96" fillId="0" borderId="14" xfId="0" applyFont="1" applyBorder="1" applyNumberFormat="1">
      <alignment horizontal="center" vertical="top" wrapText="1"/>
    </xf>
    <xf numFmtId="49" fontId="96" fillId="34" borderId="14" xfId="0" applyFont="1" applyFill="1" applyBorder="1" applyNumberFormat="1">
      <alignment horizontal="center" vertical="top"/>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0" fontId="100" fillId="0" borderId="14" xfId="0" applyFont="1" applyBorder="1" applyNumberFormat="1">
      <alignment vertical="top" wrapText="1"/>
    </xf>
    <xf numFmtId="49" fontId="100" fillId="0" borderId="0" xfId="0" applyFont="1" applyNumberFormat="1">
      <alignment vertical="top" wrapText="1"/>
    </xf>
    <xf numFmtId="49" fontId="100" fillId="0" borderId="0" xfId="0" applyFont="1" applyNumberFormat="1">
      <alignment vertical="top"/>
    </xf>
    <xf numFmtId="49" fontId="100" fillId="0" borderId="0" xfId="0" applyFont="1" applyNumberFormat="1">
      <alignment horizontal="center" vertical="top" wrapText="1"/>
    </xf>
    <xf numFmtId="49" fontId="100" fillId="0" borderId="14" xfId="0" applyFont="1" applyBorder="1" applyNumberFormat="1">
      <alignment horizontal="center" vertical="top" wrapText="1"/>
    </xf>
    <xf numFmtId="49" fontId="100" fillId="0" borderId="14" xfId="0" applyFont="1" applyBorder="1" applyNumberFormat="1">
      <alignment horizontal="center" vertical="top" wrapText="1"/>
    </xf>
    <xf numFmtId="49" fontId="100" fillId="34" borderId="14" xfId="0" applyFont="1" applyFill="1" applyBorder="1" applyNumberFormat="1">
      <alignment horizontal="center" vertical="top" wrapText="1"/>
    </xf>
    <xf numFmtId="49" fontId="96" fillId="34" borderId="14" xfId="0" applyFont="1" applyFill="1" applyBorder="1" applyNumberFormat="1">
      <alignment horizontal="center" vertical="top" wrapText="1"/>
    </xf>
    <xf numFmtId="49" fontId="100" fillId="0" borderId="14" xfId="0" applyFont="1" applyBorder="1" applyNumberFormat="1">
      <alignment horizontal="left" vertical="top" wrapText="1"/>
    </xf>
    <xf numFmtId="0" fontId="96" fillId="34" borderId="14" xfId="0" applyFont="1" applyFill="1" applyBorder="1" applyNumberFormat="1">
      <alignment horizontal="center" vertical="top" wrapText="1"/>
    </xf>
    <xf numFmtId="0" fontId="100" fillId="34" borderId="14" xfId="0" applyFont="1" applyFill="1" applyBorder="1" applyNumberFormat="1">
      <alignment horizontal="right" vertical="center"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0" fontId="100" fillId="0" borderId="14" xfId="0" applyFont="1" applyBorder="1" applyNumberFormat="1">
      <alignment horizontal="left" vertical="top" wrapText="1"/>
    </xf>
    <xf numFmtId="49" fontId="100" fillId="34" borderId="14" xfId="0" applyFont="1" applyFill="1" applyBorder="1" applyNumberFormat="1">
      <alignment horizontal="left" vertical="top" wrapText="1"/>
    </xf>
    <xf numFmtId="0" fontId="100" fillId="34" borderId="14" xfId="0" applyFont="1" applyFill="1" applyBorder="1" applyNumberFormat="1">
      <alignment horizontal="center" vertical="center" wrapText="1"/>
    </xf>
    <xf numFmtId="0" fontId="100" fillId="34" borderId="14" xfId="0" applyFont="1" applyFill="1" applyBorder="1" applyNumberFormat="1">
      <alignment horizontal="center" vertical="center"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19" xfId="0" applyFont="1" applyBorder="1" applyNumberFormat="1">
      <alignment horizontal="center" vertical="top" wrapText="1"/>
    </xf>
    <xf numFmtId="0" fontId="100" fillId="0" borderId="19" xfId="0" applyFont="1" applyBorder="1" applyNumberFormat="1">
      <alignment horizontal="left" vertical="top" wrapText="1"/>
    </xf>
    <xf numFmtId="49" fontId="100" fillId="0" borderId="39" xfId="0" applyFont="1" applyBorder="1" applyNumberFormat="1">
      <alignment horizontal="center" vertical="top" wrapText="1"/>
    </xf>
    <xf numFmtId="49" fontId="100" fillId="0" borderId="39" xfId="0" applyFont="1" applyBorder="1" applyNumberFormat="1">
      <alignment horizontal="center" vertical="top" wrapText="1"/>
    </xf>
    <xf numFmtId="0" fontId="100" fillId="0" borderId="15" xfId="0" applyFont="1" applyBorder="1" applyNumberFormat="1">
      <alignment horizontal="left" vertical="top" wrapText="1"/>
    </xf>
    <xf numFmtId="49" fontId="100" fillId="0" borderId="25"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24" xfId="0" applyFont="1" applyBorder="1" applyNumberFormat="1">
      <alignment horizontal="center" vertical="top" wrapText="1"/>
    </xf>
    <xf numFmtId="0" fontId="100" fillId="0" borderId="19" xfId="0" applyFont="1" applyBorder="1" applyNumberFormat="1">
      <alignment vertical="top" wrapText="1"/>
    </xf>
    <xf numFmtId="49" fontId="96" fillId="0" borderId="14" xfId="0" applyFont="1" applyBorder="1" applyNumberFormat="1">
      <alignment horizontal="left" vertical="top" wrapText="1"/>
    </xf>
    <xf numFmtId="0" fontId="96" fillId="0" borderId="16" xfId="0" applyFont="1" applyBorder="1" applyNumberFormat="1">
      <alignment horizontal="center" vertical="center" wrapText="1"/>
    </xf>
    <xf numFmtId="0" fontId="96" fillId="0" borderId="16" xfId="0" applyFont="1" applyBorder="1" applyNumberFormat="1">
      <alignment horizontal="center" vertical="center"/>
    </xf>
    <xf numFmtId="49" fontId="96" fillId="0" borderId="14" xfId="0" applyFont="1" applyBorder="1" applyNumberFormat="1">
      <alignment horizontal="center" vertical="center" wrapText="1"/>
    </xf>
    <xf numFmtId="0" fontId="96" fillId="0" borderId="14" xfId="0" applyFont="1" applyBorder="1" applyNumberFormat="1">
      <alignment vertical="center" wrapText="1"/>
    </xf>
    <xf numFmtId="49" fontId="100" fillId="0" borderId="16" xfId="0" applyFont="1" applyBorder="1" applyNumberFormat="1">
      <alignment horizontal="left" vertical="top" wrapText="1"/>
    </xf>
    <xf numFmtId="0" fontId="96" fillId="0" borderId="14" xfId="0" applyFont="1" applyBorder="1" applyNumberFormat="1">
      <alignment horizontal="center"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100" fillId="0" borderId="32" xfId="0" applyFont="1" applyBorder="1" applyNumberFormat="1">
      <alignment horizontal="left" vertical="top" wrapText="1"/>
    </xf>
    <xf numFmtId="49" fontId="100" fillId="0" borderId="15" xfId="0" applyFont="1" applyBorder="1" applyNumberFormat="1">
      <alignment horizontal="left" vertical="top"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38" xfId="0" applyFont="1" applyBorder="1" applyNumberFormat="1">
      <alignment horizontal="left" vertical="top" wrapText="1"/>
    </xf>
    <xf numFmtId="0" fontId="100" fillId="0" borderId="38" xfId="0" applyFont="1" applyBorder="1" applyNumberFormat="1">
      <alignment horizontal="left" vertical="top" wrapText="1"/>
    </xf>
    <xf numFmtId="49" fontId="100" fillId="0" borderId="0" xfId="0" applyFont="1" applyNumberFormat="1">
      <alignment horizontal="left" vertical="top" wrapText="1"/>
    </xf>
    <xf numFmtId="49" fontId="100" fillId="34" borderId="0" xfId="0" applyFont="1" applyFill="1" applyNumberFormat="1">
      <alignment horizontal="left" vertical="top" wrapText="1"/>
    </xf>
    <xf numFmtId="0" fontId="100" fillId="0" borderId="0" xfId="0" applyFont="1" applyNumberFormat="1">
      <alignment vertical="top" wrapText="1"/>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0" fontId="0" fillId="0" borderId="0" xfId="0" applyFont="1" applyNumberFormat="1">
      <alignment horizontal="left" vertical="center"/>
    </xf>
    <xf numFmtId="0" fontId="0" fillId="37" borderId="14" xfId="0" applyFont="1" applyFill="1" applyBorder="1" applyNumberFormat="1">
      <alignment horizontal="right" vertical="center" wrapText="1" indent="1"/>
    </xf>
    <xf numFmtId="0" fontId="0" fillId="0" borderId="16" xfId="0" applyFont="1" applyBorder="1" applyNumberFormat="1">
      <alignment vertical="center"/>
    </xf>
    <xf numFmtId="0" fontId="23" fillId="0" borderId="0" xfId="0" applyFont="1" applyNumberFormat="1">
      <alignment horizontal="left" vertical="center" wrapText="1"/>
    </xf>
    <xf numFmtId="0" fontId="23" fillId="0" borderId="0" xfId="0" applyFont="1" applyNumberFormat="1">
      <alignment horizontal="righ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 fontId="23" fillId="38" borderId="14" xfId="0" applyFont="1" applyFill="1" applyBorder="1" applyNumberFormat="1">
      <alignment horizontal="left"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indent="6"/>
      <protection locked="0"/>
    </xf>
    <xf numFmtId="167" fontId="0" fillId="42" borderId="14" xfId="0" applyFont="1" applyFill="1" applyBorder="1" applyNumberFormat="1">
      <alignment horizontal="center" vertical="center" wrapText="1"/>
      <protection locked="0"/>
    </xf>
    <xf numFmtId="49" fontId="23" fillId="0" borderId="14" xfId="0" applyFont="1" applyBorder="1" applyNumberFormat="1">
      <alignment horizontal="left" vertical="center" wrapText="1"/>
    </xf>
    <xf numFmtId="49" fontId="106" fillId="40" borderId="16" xfId="0" applyFont="1" applyFill="1" applyBorder="1" applyNumberFormat="1">
      <alignment horizontal="left" vertical="center"/>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54" fillId="0" borderId="0" xfId="0" applyFont="1" applyNumberFormat="1">
      <alignment horizontal="left" vertical="center"/>
    </xf>
    <xf numFmtId="49" fontId="40" fillId="0" borderId="0" xfId="0" applyFont="1" applyNumberFormat="1">
      <alignment vertical="top"/>
    </xf>
    <xf numFmtId="49" fontId="0" fillId="0" borderId="26" xfId="0" applyFont="1" applyBorder="1" applyNumberFormat="1">
      <alignment vertical="top"/>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0" fillId="0" borderId="0" xfId="0" applyFont="1" applyNumberFormat="1">
      <alignment vertical="top"/>
    </xf>
    <xf numFmtId="49" fontId="54" fillId="0" borderId="0" xfId="0" applyFont="1" applyNumberFormat="1">
      <alignment horizontal="left" vertical="center"/>
    </xf>
    <xf numFmtId="49" fontId="54" fillId="0" borderId="0" xfId="0" applyFont="1" applyNumberFormat="1">
      <alignment horizontal="left" vertical="top"/>
    </xf>
    <xf numFmtId="49" fontId="72" fillId="40" borderId="16" xfId="0" applyFont="1" applyFill="1" applyBorder="1" applyNumberFormat="1">
      <alignment horizontal="left" vertical="top"/>
    </xf>
    <xf numFmtId="49" fontId="114" fillId="40" borderId="17" xfId="0" applyFont="1" applyFill="1" applyBorder="1" applyNumberFormat="1">
      <alignment horizontal="left" vertical="center"/>
    </xf>
    <xf numFmtId="49" fontId="55" fillId="0" borderId="0" xfId="0" applyFont="1" applyNumberFormat="1">
      <alignment vertical="top"/>
    </xf>
    <xf numFmtId="0" fontId="23" fillId="0" borderId="0" xfId="0" applyFont="1" applyNumberFormat="1">
      <alignment horizontal="left" vertical="top" wrapText="1"/>
    </xf>
    <xf numFmtId="49" fontId="23" fillId="0" borderId="0" xfId="0" applyFont="1" applyNumberFormat="1">
      <alignment vertical="center" wrapText="1"/>
    </xf>
    <xf numFmtId="49" fontId="0" fillId="0" borderId="0" xfId="0" applyFont="1" applyNumberFormat="1">
      <alignment vertical="top"/>
    </xf>
    <xf numFmtId="49" fontId="0" fillId="0" borderId="14" xfId="0" applyFont="1" applyBorder="1" applyNumberFormat="1">
      <alignment vertical="top"/>
    </xf>
    <xf numFmtId="49" fontId="0" fillId="0" borderId="16" xfId="0" applyFont="1" applyBorder="1" applyNumberFormat="1">
      <alignment vertical="top"/>
    </xf>
    <xf numFmtId="49" fontId="0" fillId="0" borderId="14" xfId="0" applyFont="1" applyBorder="1" applyNumberFormat="1">
      <alignment horizontal="center"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45" borderId="19" xfId="0" applyFont="1" applyFill="1" applyBorder="1" applyNumberFormat="1">
      <alignment vertical="top"/>
    </xf>
    <xf numFmtId="49" fontId="0" fillId="0" borderId="16" xfId="0" applyFont="1" applyBorder="1" applyNumberFormat="1">
      <alignment horizontal="center" vertical="top"/>
    </xf>
    <xf numFmtId="49" fontId="0" fillId="46" borderId="14" xfId="0" applyFont="1" applyFill="1" applyBorder="1" applyNumberFormat="1">
      <alignment vertical="top"/>
    </xf>
    <xf numFmtId="49" fontId="0" fillId="0" borderId="17" xfId="0" applyFont="1" applyBorder="1" applyNumberFormat="1">
      <alignment horizontal="center" vertical="top"/>
    </xf>
    <xf numFmtId="49" fontId="0" fillId="3" borderId="14" xfId="0" applyFont="1" applyFill="1" applyBorder="1" applyNumberFormat="1">
      <alignment vertical="top"/>
    </xf>
    <xf numFmtId="49" fontId="0" fillId="47" borderId="14" xfId="0" applyFont="1" applyFill="1" applyBorder="1" applyNumberFormat="1">
      <alignment vertical="top"/>
    </xf>
    <xf numFmtId="49" fontId="0" fillId="16" borderId="19" xfId="0" applyFont="1" applyFill="1" applyBorder="1" applyNumberFormat="1">
      <alignment vertical="top"/>
    </xf>
    <xf numFmtId="49" fontId="0" fillId="5" borderId="16" xfId="0" applyFont="1" applyFill="1" applyBorder="1" applyNumberFormat="1">
      <alignment vertical="top"/>
    </xf>
    <xf numFmtId="49" fontId="0" fillId="5" borderId="14" xfId="0" applyFont="1" applyFill="1" applyBorder="1" applyNumberFormat="1">
      <alignment vertical="top"/>
    </xf>
    <xf numFmtId="49" fontId="0" fillId="16" borderId="14"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xf numFmtId="0" fontId="1" fillId="0" borderId="0" xfId="0" applyFont="1" applyNumberFormat="1"/>
    <xf numFmtId="0" fontId="38" fillId="0" borderId="0" xfId="0" applyFont="1" applyNumberFormat="1"/>
    <xf numFmtId="0" fontId="38" fillId="0" borderId="0" xfId="0" applyFont="1" applyNumberFormat="1"/>
    <xf numFmtId="49" fontId="23" fillId="38" borderId="12" xfId="0" applyFont="1" applyFill="1" applyBorder="1" applyNumberFormat="1">
      <alignment horizontal="center" vertical="top"/>
    </xf>
    <xf numFmtId="49" fontId="0" fillId="0" borderId="0" xfId="0" applyFont="1" applyNumberFormat="1">
      <alignment vertical="top"/>
    </xf>
    <xf numFmtId="49" fontId="46" fillId="0" borderId="13" xfId="0" applyFont="1" applyBorder="1" applyNumberFormat="1">
      <alignment vertical="top" wrapText="1"/>
    </xf>
    <xf numFmtId="0" fontId="0" fillId="0" borderId="13" xfId="0" applyFont="1" applyBorder="1" applyNumberFormat="1">
      <alignment vertical="top" wrapText="1"/>
    </xf>
    <xf numFmtId="0" fontId="22" fillId="0" borderId="20" xfId="0" applyFont="1" applyBorder="1" applyNumberFormat="1">
      <alignment vertical="top" wrapText="1"/>
    </xf>
    <xf numFmtId="0" fontId="0" fillId="0" borderId="0" xfId="0" applyFont="1" applyNumberFormat="1">
      <alignment vertical="top"/>
    </xf>
    <xf numFmtId="0" fontId="0" fillId="0" borderId="14" xfId="0" applyFont="1" applyBorder="1" applyNumberFormat="1">
      <alignment vertical="top" wrapText="1"/>
    </xf>
    <xf numFmtId="49" fontId="0" fillId="0" borderId="14" xfId="0" applyFont="1" applyBorder="1" applyNumberFormat="1">
      <alignment vertical="top" wrapText="1"/>
    </xf>
    <xf numFmtId="49" fontId="0" fillId="0" borderId="19" xfId="0" applyFont="1" applyBorder="1" applyNumberFormat="1">
      <alignment vertical="top"/>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xf numFmtId="49" fontId="0" fillId="0" borderId="0" xfId="0" applyFont="1" applyNumberFormat="1">
      <alignment vertical="top"/>
    </xf>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107" fillId="0" borderId="0" xfId="0" applyFont="1" applyNumberFormat="1">
      <alignment vertical="center" wrapText="1"/>
    </xf>
    <xf numFmtId="0" fontId="107" fillId="0" borderId="0" xfId="0" applyFont="1" applyNumberFormat="1">
      <alignment horizontal="left" vertical="center" wrapText="1"/>
    </xf>
    <xf numFmtId="49" fontId="122" fillId="0" borderId="0" xfId="0" applyFont="1" applyNumberFormat="1">
      <alignment wrapText="1"/>
    </xf>
    <xf numFmtId="0" fontId="107" fillId="0" borderId="0" xfId="0" applyFont="1" applyNumberFormat="1">
      <alignment vertical="center"/>
    </xf>
    <xf numFmtId="0" fontId="22" fillId="0" borderId="0" xfId="0" applyFont="1" applyNumberFormat="1">
      <alignment horizontal="left" vertical="top" wrapText="1"/>
    </xf>
    <xf numFmtId="49" fontId="23" fillId="0" borderId="0" xfId="0" applyFont="1" applyNumberFormat="1">
      <alignment vertical="top" wrapText="1"/>
    </xf>
    <xf numFmtId="0" fontId="22" fillId="57" borderId="68" xfId="0" applyFont="1" applyFill="1" applyBorder="1" applyNumberFormat="1">
      <alignment horizontal="center" vertical="center" wrapText="1"/>
    </xf>
    <xf numFmtId="0" fontId="22" fillId="57" borderId="69" xfId="0" applyFont="1" applyFill="1" applyBorder="1" applyNumberFormat="1">
      <alignment horizontal="center" vertical="center" wrapText="1"/>
    </xf>
    <xf numFmtId="0" fontId="22" fillId="57" borderId="70" xfId="0" applyFont="1" applyFill="1" applyBorder="1" applyNumberFormat="1">
      <alignment horizontal="center" vertical="center" wrapText="1"/>
    </xf>
    <xf numFmtId="0" fontId="71" fillId="0" borderId="0" xfId="0" applyFont="1" applyNumberFormat="1">
      <alignment wrapText="1"/>
    </xf>
    <xf numFmtId="0" fontId="22" fillId="48" borderId="40" xfId="0" applyFont="1" applyFill="1" applyBorder="1" applyNumberFormat="1">
      <alignment horizontal="right" vertical="center" wrapText="1" indent="1"/>
    </xf>
    <xf numFmtId="0" fontId="22" fillId="48" borderId="67" xfId="0" applyFont="1" applyFill="1" applyBorder="1" applyNumberFormat="1">
      <alignment horizontal="right" vertical="center" wrapText="1" inden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3" xfId="0" applyFont="1" applyFill="1" applyBorder="1" applyNumberFormat="1">
      <alignment horizontal="center" vertical="center" wrapText="1"/>
    </xf>
    <xf numFmtId="0" fontId="125" fillId="0" borderId="40" xfId="0" applyFont="1" applyBorder="1" applyNumberFormat="1">
      <alignment vertical="center" wrapText="1"/>
    </xf>
    <xf numFmtId="0" fontId="125" fillId="0" borderId="0" xfId="0" applyFont="1" applyNumberFormat="1">
      <alignment vertical="center" wrapText="1"/>
    </xf>
    <xf numFmtId="0" fontId="0" fillId="55" borderId="63" xfId="0" applyFont="1" applyFill="1" applyBorder="1" applyNumberFormat="1">
      <alignment horizontal="center"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0" fillId="38" borderId="63" xfId="0" applyFont="1" applyFill="1" applyBorder="1" applyNumberFormat="1">
      <alignment horizontal="center" vertical="center" wrapText="1"/>
    </xf>
    <xf numFmtId="0" fontId="0" fillId="42" borderId="63" xfId="0" applyFont="1" applyFill="1" applyBorder="1" applyNumberFormat="1">
      <alignment horizontal="center" vertical="center" wrapText="1"/>
    </xf>
    <xf numFmtId="0" fontId="22" fillId="48" borderId="0" xfId="0" applyFont="1" applyFill="1" applyNumberFormat="1">
      <alignment horizontal="right" vertical="center" wrapText="1" indent="1"/>
    </xf>
    <xf numFmtId="0" fontId="123" fillId="0" borderId="40" xfId="0" applyFont="1" applyBorder="1" applyNumberFormat="1">
      <alignment horizontal="left" vertical="center" wrapText="1"/>
    </xf>
    <xf numFmtId="0" fontId="123" fillId="0" borderId="64" xfId="0" applyFont="1" applyBorder="1" applyNumberFormat="1">
      <alignment horizontal="left" vertical="center" wrapText="1"/>
    </xf>
    <xf numFmtId="0" fontId="22" fillId="48" borderId="63" xfId="0" applyFont="1" applyFill="1" applyBorder="1" applyNumberFormat="1">
      <alignment horizontal="right" vertical="center" wrapText="1" indent="1"/>
    </xf>
    <xf numFmtId="0" fontId="22" fillId="48" borderId="66" xfId="0" applyFont="1" applyFill="1" applyBorder="1" applyNumberFormat="1">
      <alignment horizontal="right" vertical="center" wrapText="1" indent="1"/>
    </xf>
    <xf numFmtId="0" fontId="125" fillId="0" borderId="0" xfId="0" applyFont="1" applyNumberFormat="1"/>
    <xf numFmtId="0" fontId="125" fillId="0" borderId="40" xfId="0" applyFont="1" applyBorder="1" applyNumberFormat="1">
      <alignment wrapText="1"/>
    </xf>
    <xf numFmtId="0" fontId="125" fillId="0" borderId="0" xfId="0" applyFont="1" applyNumberFormat="1">
      <alignment vertical="top" wrapText="1"/>
    </xf>
    <xf numFmtId="0" fontId="22" fillId="48" borderId="65"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71" fillId="0" borderId="65"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49" fontId="71" fillId="0" borderId="0" xfId="0" applyFont="1" applyNumberFormat="1">
      <alignment vertical="top" wrapText="1"/>
    </xf>
    <xf numFmtId="0" fontId="38" fillId="0" borderId="0" xfId="0" applyFont="1" applyNumberFormat="1"/>
    <xf numFmtId="0" fontId="68" fillId="0" borderId="0" xfId="0" applyFont="1" applyNumberFormat="1">
      <alignment vertical="center" wrapText="1"/>
    </xf>
    <xf numFmtId="0" fontId="96" fillId="0" borderId="0" xfId="0" applyFont="1" applyNumberFormat="1">
      <alignment horizontal="left" vertical="center" wrapText="1"/>
    </xf>
    <xf numFmtId="0" fontId="68" fillId="0" borderId="0" xfId="0" applyFont="1" applyNumberFormat="1">
      <alignment horizontal="left" vertical="center" wrapText="1"/>
    </xf>
    <xf numFmtId="0" fontId="68" fillId="0" borderId="0" xfId="0" applyFont="1" applyNumberFormat="1">
      <alignment vertical="center" wrapText="1"/>
    </xf>
    <xf numFmtId="0" fontId="40" fillId="0" borderId="0" xfId="0" applyFont="1" applyNumberFormat="1">
      <alignment horizontal="center" vertical="center" wrapText="1"/>
    </xf>
    <xf numFmtId="0" fontId="40"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horizontal="left" vertical="center" wrapText="1"/>
    </xf>
    <xf numFmtId="0" fontId="23" fillId="0" borderId="0" xfId="0" applyFont="1" applyNumberFormat="1">
      <alignment horizontal="left" vertical="top" indent="1"/>
    </xf>
    <xf numFmtId="49" fontId="71" fillId="0" borderId="0" xfId="0" applyFont="1" applyNumberFormat="1">
      <alignment vertical="top"/>
    </xf>
    <xf numFmtId="49" fontId="23" fillId="0" borderId="0" xfId="0" applyFont="1" applyNumberFormat="1">
      <alignment vertical="center" wrapText="1"/>
    </xf>
    <xf numFmtId="49" fontId="54"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54" fillId="0" borderId="0" xfId="0" applyFont="1" applyNumberFormat="1">
      <alignment vertical="top"/>
    </xf>
    <xf numFmtId="49" fontId="0" fillId="0" borderId="0" xfId="0" applyFont="1" applyNumberFormat="1">
      <alignment vertical="top"/>
    </xf>
    <xf numFmtId="0" fontId="65" fillId="0" borderId="0" xfId="0" applyFont="1" applyNumberFormat="1">
      <alignment vertical="center" wrapText="1"/>
    </xf>
    <xf numFmtId="0" fontId="96" fillId="0" borderId="0" xfId="0" applyFont="1" applyNumberFormat="1">
      <alignment horizontal="lef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3" fillId="0" borderId="0" xfId="0" applyFont="1" applyNumberFormat="1">
      <alignment vertical="center" wrapText="1"/>
    </xf>
    <xf numFmtId="0" fontId="42" fillId="37" borderId="0" xfId="0" applyFont="1" applyFill="1" applyNumberFormat="1">
      <alignment vertical="center"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36" fillId="37" borderId="0" xfId="0" applyFont="1" applyFill="1" applyNumberFormat="1">
      <alignment vertical="center" wrapText="1"/>
    </xf>
    <xf numFmtId="0" fontId="101"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23" fillId="37" borderId="28" xfId="0" applyFont="1" applyFill="1" applyBorder="1" applyNumberFormat="1">
      <alignment horizontal="right" vertical="center" wrapText="1" indent="1"/>
    </xf>
    <xf numFmtId="0" fontId="0" fillId="38" borderId="14" xfId="0" applyFont="1" applyFill="1" applyBorder="1" applyNumberFormat="1">
      <alignment horizontal="left" vertical="center" wrapText="1" indent="1"/>
    </xf>
    <xf numFmtId="14" fontId="96" fillId="37" borderId="0" xfId="0" applyFont="1" applyFill="1" applyNumberFormat="1">
      <alignment horizontal="left"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23" fillId="37" borderId="0" xfId="0" applyFont="1" applyFill="1" applyNumberFormat="1">
      <alignment horizontal="center" vertical="center" wrapText="1"/>
    </xf>
    <xf numFmtId="0" fontId="93" fillId="0" borderId="0" xfId="0" applyFont="1" applyNumberFormat="1">
      <alignment horizontal="center" vertical="center" wrapText="1"/>
    </xf>
    <xf numFmtId="0" fontId="23" fillId="0" borderId="0" xfId="0" applyFont="1" applyNumberFormat="1">
      <alignment vertical="center" wrapText="1"/>
    </xf>
    <xf numFmtId="0" fontId="41" fillId="0" borderId="0" xfId="0" applyFont="1" applyNumberFormat="1">
      <alignment vertical="center" wrapText="1"/>
    </xf>
    <xf numFmtId="0" fontId="42" fillId="37" borderId="0" xfId="0" applyFont="1" applyFill="1" applyNumberFormat="1">
      <alignment vertical="center" wrapText="1"/>
    </xf>
    <xf numFmtId="0" fontId="23" fillId="37" borderId="28" xfId="0" applyFont="1" applyFill="1" applyBorder="1" applyNumberFormat="1">
      <alignment horizontal="right" vertical="center" wrapText="1" indent="1"/>
    </xf>
    <xf numFmtId="0" fontId="23" fillId="42" borderId="14" xfId="0" applyFont="1" applyFill="1" applyBorder="1" applyNumberFormat="1">
      <alignment horizontal="left" vertical="top" wrapText="1" indent="1"/>
      <protection locked="0"/>
    </xf>
    <xf numFmtId="0" fontId="23" fillId="0" borderId="0" xfId="0" applyFont="1" applyNumberFormat="1">
      <alignment horizontal="left" vertical="center" wrapText="1"/>
    </xf>
    <xf numFmtId="0" fontId="54" fillId="0" borderId="0" xfId="0" applyFont="1" applyNumberFormat="1">
      <alignment vertical="center" wrapText="1"/>
    </xf>
    <xf numFmtId="0" fontId="65"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14" fontId="98" fillId="0" borderId="14" xfId="0" applyFont="1" applyBorder="1" applyNumberFormat="1">
      <alignment horizontal="center" vertical="center" wrapText="1"/>
    </xf>
    <xf numFmtId="167" fontId="0" fillId="42" borderId="14" xfId="0" applyFont="1" applyFill="1" applyBorder="1" applyNumberFormat="1">
      <alignment horizontal="left" vertical="center" wrapText="1" indent="1"/>
      <protection locked="0"/>
    </xf>
    <xf numFmtId="0" fontId="34" fillId="0" borderId="0" xfId="0" applyFont="1" applyNumberFormat="1">
      <alignment horizontal="left" vertical="center" indent="1"/>
    </xf>
    <xf numFmtId="0" fontId="23" fillId="37" borderId="0" xfId="0" applyFont="1" applyFill="1" applyNumberFormat="1">
      <alignment vertical="center" wrapText="1"/>
    </xf>
    <xf numFmtId="14" fontId="98" fillId="0" borderId="14" xfId="0" applyFont="1" applyBorder="1" applyNumberFormat="1">
      <alignment horizontal="left" vertical="center" wrapText="1"/>
    </xf>
    <xf numFmtId="49" fontId="23" fillId="37" borderId="28" xfId="0" applyFont="1" applyFill="1" applyBorder="1" applyNumberFormat="1">
      <alignment horizontal="right" vertical="center" wrapText="1" indent="1"/>
    </xf>
    <xf numFmtId="167" fontId="0" fillId="42" borderId="14" xfId="0" applyFont="1" applyFill="1" applyBorder="1" applyNumberFormat="1">
      <alignment horizontal="left" vertical="center" wrapText="1" indent="1"/>
      <protection locked="0"/>
    </xf>
    <xf numFmtId="49" fontId="54" fillId="0" borderId="0" xfId="0" applyFont="1" applyNumberFormat="1">
      <alignment vertical="center" wrapText="1"/>
    </xf>
    <xf numFmtId="0" fontId="0" fillId="42" borderId="14"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167" fontId="0" fillId="0" borderId="14" xfId="0" applyFont="1" applyBorder="1" applyNumberFormat="1">
      <alignment horizontal="left" vertical="center" wrapText="1" indent="1"/>
    </xf>
    <xf numFmtId="0" fontId="0" fillId="37" borderId="0" xfId="0" applyFont="1" applyFill="1" applyNumberFormat="1">
      <alignment horizontal="right" vertical="center" wrapText="1" indent="1"/>
    </xf>
    <xf numFmtId="0" fontId="101" fillId="0" borderId="0" xfId="0" applyFont="1" applyNumberFormat="1">
      <alignment horizontal="left" vertical="center" wrapText="1"/>
    </xf>
    <xf numFmtId="0" fontId="23" fillId="37" borderId="0" xfId="0" applyFont="1" applyFill="1" applyNumberFormat="1">
      <alignment horizontal="right" vertical="center" wrapText="1" indent="1"/>
    </xf>
    <xf numFmtId="0" fontId="23" fillId="0" borderId="0" xfId="0" applyFont="1" applyNumberFormat="1">
      <alignment horizontal="center" vertical="center" wrapText="1"/>
    </xf>
    <xf numFmtId="0" fontId="23" fillId="37" borderId="0" xfId="0" applyFont="1" applyFill="1" applyNumberFormat="1">
      <alignment horizontal="center" vertical="center" wrapText="1"/>
    </xf>
    <xf numFmtId="167" fontId="0" fillId="42" borderId="14" xfId="0" applyFont="1" applyFill="1" applyBorder="1" applyNumberFormat="1">
      <alignment horizontal="left" vertical="center" wrapText="1" indent="1"/>
      <protection locked="0"/>
    </xf>
    <xf numFmtId="0" fontId="0" fillId="37" borderId="0" xfId="0" applyFont="1" applyFill="1" applyNumberFormat="1">
      <alignment horizontal="left" vertical="center" wrapText="1" indent="1"/>
    </xf>
    <xf numFmtId="49" fontId="23" fillId="0" borderId="14" xfId="0" applyFont="1" applyBorder="1" applyNumberFormat="1">
      <alignment horizontal="left" vertical="center" wrapText="1" indent="1"/>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49" fontId="23" fillId="38" borderId="14" xfId="0" applyFont="1" applyFill="1" applyBorder="1" applyNumberFormat="1">
      <alignment horizontal="left" vertical="center" wrapText="1" indent="1"/>
    </xf>
    <xf numFmtId="14" fontId="23" fillId="37" borderId="0" xfId="0" applyFont="1" applyFill="1" applyNumberFormat="1">
      <alignment horizontal="center" vertical="center" wrapText="1"/>
    </xf>
    <xf numFmtId="0" fontId="0" fillId="37" borderId="28" xfId="0" applyFont="1" applyFill="1" applyBorder="1" applyNumberFormat="1">
      <alignment horizontal="right" vertical="center" wrapText="1" indent="1"/>
    </xf>
    <xf numFmtId="0" fontId="23" fillId="0" borderId="0" xfId="0" applyFont="1" applyNumberFormat="1">
      <alignment vertical="center"/>
    </xf>
    <xf numFmtId="14" fontId="23" fillId="37" borderId="0" xfId="0" applyFont="1" applyFill="1" applyNumberFormat="1">
      <alignment horizontal="left" vertical="center" wrapText="1"/>
    </xf>
    <xf numFmtId="0" fontId="23" fillId="42" borderId="14" xfId="0" applyFont="1" applyFill="1" applyBorder="1" applyNumberFormat="1">
      <alignment horizontal="left" vertical="center" wrapText="1" indent="1"/>
      <protection locked="0"/>
    </xf>
    <xf numFmtId="0" fontId="23" fillId="42" borderId="14" xfId="0" applyFont="1" applyFill="1" applyBorder="1" applyNumberFormat="1">
      <alignment horizontal="left" vertical="center" wrapText="1" indent="1"/>
      <protection locked="0"/>
    </xf>
    <xf numFmtId="0" fontId="66" fillId="37" borderId="0" xfId="0" applyFont="1" applyFill="1" applyNumberFormat="1">
      <alignment horizontal="right" vertical="center" wrapText="1" indent="1"/>
    </xf>
    <xf numFmtId="0" fontId="66" fillId="37" borderId="0" xfId="0" applyFont="1" applyFill="1" applyNumberFormat="1">
      <alignment horizontal="left" vertical="center" wrapText="1" indent="1"/>
    </xf>
    <xf numFmtId="49" fontId="23" fillId="43" borderId="14" xfId="0" applyFont="1" applyFill="1" applyBorder="1" applyNumberFormat="1">
      <alignment horizontal="left" vertical="center" wrapText="1" inden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40" fillId="0" borderId="0" xfId="0" applyFont="1" applyNumberFormat="1">
      <alignment horizontal="left" vertical="center" wrapText="1"/>
    </xf>
    <xf numFmtId="49" fontId="32" fillId="0" borderId="14" xfId="0" applyFont="1" applyBorder="1" applyNumberFormat="1">
      <alignment horizontal="left" vertical="center" wrapText="1" indent="1"/>
    </xf>
    <xf numFmtId="0" fontId="40" fillId="0" borderId="0" xfId="0" applyFont="1" applyNumberFormat="1">
      <alignment horizontal="left" vertical="center" wrapText="1"/>
    </xf>
    <xf numFmtId="0" fontId="23" fillId="0" borderId="0" xfId="0" applyFont="1" applyNumberFormat="1">
      <alignment vertical="center" wrapText="1"/>
    </xf>
    <xf numFmtId="14" fontId="97" fillId="0" borderId="0" xfId="0" applyFont="1" applyNumberFormat="1">
      <alignment horizontal="center" vertical="center" wrapText="1"/>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4" fillId="0" borderId="0" xfId="0" applyFont="1" applyNumberFormat="1">
      <alignment vertical="center" wrapText="1"/>
    </xf>
    <xf numFmtId="0" fontId="88" fillId="0" borderId="0" xfId="0" applyFont="1" applyNumberFormat="1">
      <alignment vertical="center" wrapText="1"/>
    </xf>
    <xf numFmtId="0" fontId="23" fillId="43" borderId="14" xfId="0" applyFont="1" applyFill="1" applyBorder="1" applyNumberFormat="1">
      <alignment horizontal="left" vertical="center" wrapText="1" indent="1"/>
    </xf>
    <xf numFmtId="167" fontId="0" fillId="0" borderId="13" xfId="0" applyFont="1" applyBorder="1" applyNumberFormat="1">
      <alignment horizontal="left" vertical="center" wrapText="1" indent="1"/>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xf>
    <xf numFmtId="0" fontId="96" fillId="0" borderId="0" xfId="0" applyFont="1" applyNumberFormat="1">
      <alignment horizontal="left" vertical="center" wrapText="1"/>
    </xf>
    <xf numFmtId="49" fontId="40" fillId="0" borderId="0" xfId="0" applyFont="1" applyNumberFormat="1">
      <alignment horizontal="left" vertical="center" wrapText="1"/>
    </xf>
    <xf numFmtId="49" fontId="42" fillId="37" borderId="0" xfId="0" applyFont="1" applyFill="1" applyNumberFormat="1">
      <alignment horizontal="center" vertical="center" wrapText="1"/>
    </xf>
    <xf numFmtId="0" fontId="23" fillId="0" borderId="0" xfId="0" applyFont="1" applyNumberFormat="1">
      <alignment horizontal="left" vertical="center" wrapText="1" indent="4"/>
    </xf>
    <xf numFmtId="0" fontId="23" fillId="0" borderId="0" xfId="0" applyFont="1" applyNumberFormat="1">
      <alignment horizontal="left" vertical="center" wrapText="1" indent="1"/>
    </xf>
    <xf numFmtId="49" fontId="23" fillId="42" borderId="14"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3" fillId="37" borderId="0" xfId="0" applyFont="1" applyFill="1" applyNumberFormat="1">
      <alignment horizontal="right" vertical="center" wrapText="1" indent="1"/>
    </xf>
    <xf numFmtId="49" fontId="23" fillId="0" borderId="0" xfId="0" applyFont="1" applyNumberFormat="1">
      <alignment horizontal="center" vertical="center" wrapText="1"/>
    </xf>
    <xf numFmtId="49" fontId="0" fillId="37" borderId="0" xfId="0" applyFont="1" applyFill="1" applyNumberFormat="1">
      <alignment horizontal="right" vertical="center" wrapText="1" indent="1"/>
    </xf>
    <xf numFmtId="0" fontId="36" fillId="0" borderId="0" xfId="0" applyFont="1" applyNumberFormat="1">
      <alignment vertical="top" wrapText="1"/>
    </xf>
    <xf numFmtId="0" fontId="96" fillId="0" borderId="0" xfId="0" applyFont="1" applyNumberFormat="1">
      <alignment horizontal="left" vertical="center" wrapText="1"/>
    </xf>
    <xf numFmtId="0" fontId="40" fillId="0" borderId="0" xfId="0" applyFont="1" applyNumberFormat="1">
      <alignment horizontal="left" vertical="center" wrapText="1"/>
    </xf>
    <xf numFmtId="0" fontId="41"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center" vertical="center" wrapText="1"/>
    </xf>
    <xf numFmtId="0" fontId="40" fillId="0" borderId="0" xfId="0" applyFont="1" applyNumberFormat="1">
      <alignment horizontal="center" vertical="center" wrapText="1"/>
    </xf>
    <xf numFmtId="0" fontId="54" fillId="0" borderId="0" xfId="0" applyFont="1" applyNumberFormat="1">
      <alignment vertical="center" wrapText="1"/>
    </xf>
    <xf numFmtId="0" fontId="55" fillId="0" borderId="0" xfId="0" applyFont="1" applyNumberFormat="1">
      <alignment vertical="center" wrapText="1"/>
    </xf>
    <xf numFmtId="0" fontId="77" fillId="0" borderId="0" xfId="0" applyFont="1" applyNumberFormat="1">
      <alignment vertical="center" wrapText="1"/>
    </xf>
    <xf numFmtId="0" fontId="55"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center" vertical="center" wrapText="1"/>
    </xf>
    <xf numFmtId="0" fontId="55" fillId="0" borderId="0" xfId="0" applyFont="1" applyNumberFormat="1">
      <alignment horizontal="left" vertical="center" wrapText="1" indent="1"/>
    </xf>
    <xf numFmtId="0" fontId="55" fillId="0" borderId="0" xfId="0" applyFont="1" applyNumberFormat="1">
      <alignment horizontal="left" vertical="center" indent="1"/>
    </xf>
    <xf numFmtId="0" fontId="61" fillId="0" borderId="0" xfId="0" applyFont="1" applyNumberFormat="1">
      <alignment vertical="center" wrapText="1"/>
    </xf>
    <xf numFmtId="0" fontId="23"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50" fillId="0" borderId="0" xfId="0" applyFont="1" applyNumberFormat="1">
      <alignment vertical="center" wrapText="1"/>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17" xfId="0" applyFont="1" applyBorder="1" applyNumberFormat="1">
      <alignment horizontal="left" vertical="center" wrapText="1" inden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23" fillId="0" borderId="0" xfId="0" applyFont="1" applyNumberFormat="1">
      <alignment horizontal="center" vertical="center" wrapText="1"/>
    </xf>
    <xf numFmtId="4" fontId="23"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4" xfId="0" applyFont="1" applyBorder="1" applyNumberFormat="1">
      <alignment horizontal="center" vertical="center" wrapText="1"/>
    </xf>
    <xf numFmtId="0" fontId="44" fillId="0" borderId="0" xfId="0" applyFont="1" applyNumberFormat="1">
      <alignment horizontal="center" vertical="center" wrapText="1"/>
    </xf>
    <xf numFmtId="49" fontId="44" fillId="0" borderId="17" xfId="0" applyFont="1" applyBorder="1" applyNumberFormat="1">
      <alignment horizontal="center" vertical="center" wrapText="1"/>
    </xf>
    <xf numFmtId="49" fontId="44" fillId="0" borderId="17" xfId="0" applyFont="1" applyBorder="1" applyNumberFormat="1">
      <alignment horizontal="center" vertical="center" wrapText="1"/>
    </xf>
    <xf numFmtId="0" fontId="54" fillId="0" borderId="0" xfId="0" applyFont="1" applyNumberFormat="1">
      <alignment vertical="center"/>
    </xf>
    <xf numFmtId="0" fontId="54" fillId="0" borderId="0" xfId="0" applyFont="1" applyNumberFormat="1">
      <alignment vertical="center"/>
    </xf>
    <xf numFmtId="0" fontId="59" fillId="0" borderId="0" xfId="0" applyFont="1" applyNumberFormat="1">
      <alignment vertical="center"/>
    </xf>
    <xf numFmtId="49" fontId="23" fillId="40" borderId="21" xfId="0" applyFont="1" applyFill="1" applyBorder="1" applyNumberFormat="1">
      <alignment horizontal="center" vertical="center" wrapText="1"/>
    </xf>
    <xf numFmtId="49" fontId="54" fillId="40" borderId="21" xfId="0" applyFont="1" applyFill="1" applyBorder="1" applyNumberFormat="1">
      <alignment horizontal="left" vertical="center" wrapText="1"/>
    </xf>
    <xf numFmtId="49" fontId="54" fillId="40" borderId="22" xfId="0" applyFont="1" applyFill="1" applyBorder="1" applyNumberFormat="1">
      <alignment horizontal="left" vertical="center" wrapText="1"/>
    </xf>
    <xf numFmtId="0" fontId="55" fillId="0" borderId="24" xfId="0" applyFont="1" applyBorder="1" applyNumberFormat="1">
      <alignment vertical="center"/>
    </xf>
    <xf numFmtId="0" fontId="50" fillId="0" borderId="0" xfId="0" applyFont="1" applyNumberFormat="1">
      <alignment vertical="center" wrapText="1"/>
    </xf>
    <xf numFmtId="0" fontId="23" fillId="0" borderId="0" xfId="0" applyFont="1" applyNumberFormat="1">
      <alignment horizontal="center"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9" fontId="54" fillId="0" borderId="14" xfId="0" applyFont="1" applyBorder="1" applyNumberFormat="1">
      <alignment horizontal="left" vertical="center" wrapText="1"/>
    </xf>
    <xf numFmtId="0" fontId="55" fillId="0" borderId="0" xfId="0" applyFont="1" applyNumberFormat="1">
      <alignment vertical="center"/>
    </xf>
    <xf numFmtId="0" fontId="55" fillId="0" borderId="0" xfId="0" applyFont="1" applyNumberFormat="1">
      <alignment vertical="center"/>
    </xf>
    <xf numFmtId="49" fontId="0" fillId="0" borderId="0" xfId="0" applyFont="1" applyNumberFormat="1">
      <alignment vertical="top"/>
    </xf>
    <xf numFmtId="0" fontId="44" fillId="0" borderId="26" xfId="0" applyFont="1" applyBorder="1" applyNumberFormat="1">
      <alignment vertical="top" wrapText="1"/>
    </xf>
    <xf numFmtId="0" fontId="23" fillId="0" borderId="25" xfId="0" applyFont="1" applyBorder="1" applyNumberFormat="1">
      <alignment horizontal="center" vertical="center" wrapText="1"/>
    </xf>
    <xf numFmtId="0" fontId="55" fillId="0" borderId="25" xfId="0" applyFont="1" applyBorder="1" applyNumberFormat="1">
      <alignment horizontal="center" vertical="center" wrapText="1"/>
    </xf>
    <xf numFmtId="14" fontId="23" fillId="43" borderId="25" xfId="0" applyFont="1" applyFill="1" applyBorder="1" applyNumberFormat="1">
      <alignment horizontal="left" vertical="center" wrapText="1" indent="1"/>
    </xf>
    <xf numFmtId="49" fontId="23" fillId="38" borderId="25" xfId="0" applyFont="1" applyFill="1" applyBorder="1" applyNumberFormat="1">
      <alignment horizontal="center" vertical="center" wrapText="1"/>
    </xf>
    <xf numFmtId="0" fontId="79" fillId="0" borderId="0" xfId="0" applyFont="1" applyNumberFormat="1">
      <alignment vertical="center" wrapText="1"/>
    </xf>
    <xf numFmtId="49" fontId="54" fillId="0" borderId="0" xfId="0" applyFont="1" applyNumberFormat="1">
      <alignment vertical="top"/>
    </xf>
    <xf numFmtId="49" fontId="55" fillId="0" borderId="0" xfId="0" applyFont="1" applyNumberFormat="1">
      <alignment vertical="top"/>
    </xf>
    <xf numFmtId="0" fontId="0" fillId="0" borderId="0" xfId="0" applyFont="1" applyNumberFormat="1">
      <alignment vertical="center" wrapText="1"/>
    </xf>
    <xf numFmtId="0" fontId="44" fillId="0" borderId="0" xfId="0" applyFont="1" applyNumberFormat="1">
      <alignment vertical="top" wrapText="1"/>
    </xf>
    <xf numFmtId="49" fontId="36" fillId="40" borderId="16" xfId="0" applyFont="1" applyFill="1" applyBorder="1" applyNumberFormat="1">
      <alignment horizontal="right" vertical="center" wrapText="1"/>
    </xf>
    <xf numFmtId="49" fontId="36" fillId="40" borderId="17"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0" fillId="40" borderId="17" xfId="0" applyFont="1" applyFill="1" applyBorder="1" applyNumberFormat="1">
      <alignment horizontal="right" vertical="center" wrapText="1"/>
    </xf>
    <xf numFmtId="49" fontId="0" fillId="40" borderId="15" xfId="0" applyFont="1" applyFill="1" applyBorder="1" applyNumberFormat="1">
      <alignment horizontal="right" vertical="center" wrapText="1"/>
    </xf>
    <xf numFmtId="49" fontId="23" fillId="40" borderId="16"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48" fillId="40" borderId="17" xfId="0" applyFont="1" applyFill="1" applyBorder="1" applyNumberFormat="1">
      <alignment horizontal="left" vertical="center"/>
    </xf>
    <xf numFmtId="49" fontId="23" fillId="40" borderId="15" xfId="0" applyFont="1" applyFill="1" applyBorder="1" applyNumberFormat="1">
      <alignment horizontal="right" vertical="center" wrapText="1"/>
    </xf>
    <xf numFmtId="0" fontId="45" fillId="0" borderId="0" xfId="0" applyFont="1" applyNumberFormat="1">
      <alignment horizontal="center" vertical="center" wrapText="1"/>
    </xf>
    <xf numFmtId="0" fontId="23" fillId="0" borderId="23" xfId="0" applyFont="1" applyBorder="1" applyNumberFormat="1">
      <alignment vertical="center" wrapText="1"/>
    </xf>
    <xf numFmtId="0" fontId="23" fillId="0" borderId="0" xfId="0" applyFont="1" applyNumberFormat="1">
      <alignment vertical="center" wrapText="1"/>
    </xf>
    <xf numFmtId="0" fontId="53" fillId="0" borderId="0" xfId="0" applyFont="1" applyNumberFormat="1">
      <alignment vertical="center" wrapText="1"/>
    </xf>
    <xf numFmtId="0" fontId="99" fillId="0" borderId="0" xfId="0" applyFont="1" applyNumberFormat="1">
      <alignment vertical="center" wrapText="1"/>
    </xf>
    <xf numFmtId="0" fontId="57" fillId="0" borderId="0" xfId="0" applyFont="1" applyNumberFormat="1">
      <alignment horizontal="center" vertical="center" wrapText="1"/>
    </xf>
    <xf numFmtId="49" fontId="0"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0" xfId="0" applyFont="1" applyNumberFormat="1">
      <alignment vertical="center"/>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54" fillId="0" borderId="0" xfId="0" applyFont="1" applyNumberFormat="1">
      <alignment vertical="center"/>
    </xf>
    <xf numFmtId="0" fontId="49" fillId="0" borderId="0" xfId="0" applyFont="1" applyNumberFormat="1">
      <alignment vertical="center"/>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49" fillId="0" borderId="0" xfId="0" applyFont="1" applyNumberFormat="1">
      <alignmen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7" fillId="0" borderId="0" xfId="0" applyFont="1" applyNumberFormat="1">
      <alignment vertical="center"/>
    </xf>
    <xf numFmtId="0" fontId="49" fillId="0" borderId="0" xfId="0" applyFont="1" applyNumberFormat="1">
      <alignment vertical="center"/>
    </xf>
    <xf numFmtId="0" fontId="23" fillId="44" borderId="0" xfId="0" applyFont="1" applyFill="1" applyNumberFormat="1">
      <alignment horizontal="center" vertical="center" wrapText="1"/>
    </xf>
    <xf numFmtId="0" fontId="23" fillId="0" borderId="0" xfId="0" applyFont="1" applyNumberFormat="1">
      <alignment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80" fillId="0" borderId="14" xfId="0" applyFont="1" applyBorder="1" applyNumberFormat="1">
      <alignment horizontal="center" vertical="center" wrapText="1"/>
    </xf>
    <xf numFmtId="0" fontId="23" fillId="0" borderId="0" xfId="0" applyFont="1" applyNumberFormat="1">
      <alignment horizontal="center" vertical="center" wrapText="1"/>
    </xf>
    <xf numFmtId="0" fontId="87"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54" fillId="0" borderId="24" xfId="0" applyFont="1" applyBorder="1" applyNumberFormat="1">
      <alignment vertical="center"/>
    </xf>
    <xf numFmtId="0" fontId="0" fillId="0" borderId="0" xfId="0" applyFont="1" applyNumberFormat="1">
      <alignment vertical="center"/>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54" fillId="0" borderId="24" xfId="0" applyFont="1" applyBorder="1" applyNumberFormat="1">
      <alignment vertical="center"/>
    </xf>
    <xf numFmtId="0" fontId="55"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43" xfId="0" applyFont="1" applyFill="1" applyBorder="1" applyNumberFormat="1">
      <alignment horizontal="center" vertical="center" wrapText="1"/>
    </xf>
    <xf numFmtId="49" fontId="0" fillId="40" borderId="17" xfId="0" applyFont="1" applyFill="1" applyBorder="1" applyNumberFormat="1">
      <alignment horizontal="left" vertical="center"/>
    </xf>
    <xf numFmtId="0" fontId="0" fillId="40" borderId="15"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5" xfId="0" applyFont="1" applyBorder="1" applyNumberFormat="1">
      <alignment horizontal="center" vertical="center" wrapText="1"/>
    </xf>
    <xf numFmtId="0" fontId="23" fillId="0" borderId="75"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0" borderId="14" xfId="0" applyFont="1" applyBorder="1" applyNumberFormat="1">
      <alignment horizontal="left" vertical="center" wrapText="1" indent="1"/>
    </xf>
    <xf numFmtId="0" fontId="54" fillId="0" borderId="24" xfId="0" applyFont="1" applyBorder="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1"/>
      <protection locked="0"/>
    </xf>
    <xf numFmtId="49" fontId="48" fillId="40" borderId="15" xfId="0" applyFont="1" applyFill="1" applyBorder="1" applyNumberFormat="1">
      <alignment horizontal="left" vertical="center" indent="1"/>
    </xf>
    <xf numFmtId="0" fontId="23" fillId="43" borderId="25" xfId="0" applyFont="1" applyFill="1" applyBorder="1" applyNumberFormat="1">
      <alignment horizontal="left" vertical="center" wrapText="1" indent="2"/>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0" fontId="80" fillId="44" borderId="0" xfId="0" applyFont="1" applyFill="1" applyNumberFormat="1">
      <alignment vertical="top"/>
    </xf>
    <xf numFmtId="49" fontId="23" fillId="0" borderId="0" xfId="0" applyFont="1" applyNumberFormat="1">
      <alignment vertical="center" wrapText="1"/>
    </xf>
    <xf numFmtId="49" fontId="23" fillId="0" borderId="0" xfId="0" applyFont="1" applyNumberFormat="1">
      <alignment horizontal="center" vertical="center" wrapText="1"/>
    </xf>
    <xf numFmtId="49" fontId="48" fillId="40" borderId="17" xfId="0" applyFont="1" applyFill="1" applyBorder="1" applyNumberFormat="1">
      <alignment horizontal="left" vertical="center" indent="2"/>
    </xf>
    <xf numFmtId="0" fontId="0" fillId="0" borderId="0" xfId="0" applyFont="1" applyNumberFormat="1">
      <alignment vertical="center"/>
    </xf>
    <xf numFmtId="0" fontId="54"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5" fillId="0" borderId="0" xfId="0" applyFont="1" applyNumberFormat="1">
      <alignment vertical="center"/>
    </xf>
    <xf numFmtId="0" fontId="49" fillId="0" borderId="0" xfId="0" applyFont="1" applyNumberFormat="1">
      <alignment vertical="center"/>
    </xf>
    <xf numFmtId="0" fontId="56" fillId="0" borderId="0" xfId="0" applyFont="1" applyNumberFormat="1">
      <alignment vertical="center"/>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69"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113" fillId="0" borderId="0" xfId="0" applyFont="1" applyNumberFormat="1">
      <alignment vertical="center"/>
    </xf>
    <xf numFmtId="0" fontId="23" fillId="0" borderId="29" xfId="0" applyFont="1" applyBorder="1" applyNumberFormat="1">
      <alignment horizontal="left" vertical="center" indent="1"/>
    </xf>
    <xf numFmtId="0" fontId="72" fillId="0" borderId="0" xfId="0" applyFont="1" applyNumberFormat="1">
      <alignment vertical="center"/>
    </xf>
    <xf numFmtId="0" fontId="55" fillId="0" borderId="0" xfId="0" applyFont="1" applyNumberFormat="1">
      <alignment vertical="center"/>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72" fillId="0" borderId="0" xfId="0" applyFont="1" applyNumberFormat="1">
      <alignment vertical="center"/>
    </xf>
    <xf numFmtId="0" fontId="23" fillId="0" borderId="0" xfId="0" applyFont="1" applyNumberFormat="1">
      <alignment vertical="center"/>
    </xf>
    <xf numFmtId="0" fontId="37" fillId="0" borderId="0" xfId="0" applyFont="1" applyNumberFormat="1">
      <alignment vertical="center"/>
    </xf>
    <xf numFmtId="0" fontId="49" fillId="0" borderId="0" xfId="0" applyFont="1" applyNumberFormat="1">
      <alignment vertical="center"/>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xf>
    <xf numFmtId="0" fontId="55" fillId="0" borderId="0" xfId="0" applyFont="1" applyNumberFormat="1">
      <alignment vertical="center"/>
    </xf>
    <xf numFmtId="49" fontId="55" fillId="37" borderId="0" xfId="0" applyFont="1" applyFill="1" applyNumberFormat="1">
      <alignment horizontal="center" vertical="center" wrapText="1"/>
    </xf>
    <xf numFmtId="49" fontId="55" fillId="37" borderId="29" xfId="0" applyFont="1" applyFill="1" applyBorder="1" applyNumberFormat="1">
      <alignment horizontal="center" vertical="center" wrapText="1"/>
    </xf>
    <xf numFmtId="0" fontId="45" fillId="0" borderId="0" xfId="0" applyFont="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4" xfId="0" applyFont="1" applyBorder="1" applyNumberFormat="1">
      <alignment horizontal="center" vertical="top"/>
    </xf>
    <xf numFmtId="0" fontId="23" fillId="0" borderId="14" xfId="0" applyFont="1" applyBorder="1" applyNumberFormat="1">
      <alignment horizontal="left" vertical="top" wrapText="1"/>
    </xf>
    <xf numFmtId="0" fontId="23" fillId="43" borderId="19"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22" xfId="0" applyFont="1" applyBorder="1" applyNumberFormat="1">
      <alignment horizontal="left" vertical="center" wrapText="1"/>
    </xf>
    <xf numFmtId="0" fontId="23" fillId="0" borderId="0" xfId="0" applyFont="1" applyNumberFormat="1">
      <alignment horizontal="left" vertical="center" indent="1"/>
    </xf>
    <xf numFmtId="0" fontId="0" fillId="0" borderId="0" xfId="0" applyFont="1" applyNumberFormat="1">
      <alignment vertical="center"/>
    </xf>
    <xf numFmtId="0" fontId="23" fillId="43" borderId="38" xfId="0" applyFont="1" applyFill="1" applyBorder="1" applyNumberFormat="1">
      <alignment horizontal="center" vertical="top" wrapText="1"/>
    </xf>
    <xf numFmtId="0" fontId="0" fillId="0" borderId="24" xfId="0" applyFont="1" applyBorder="1" applyNumberFormat="1">
      <alignment horizontal="center" vertical="center"/>
    </xf>
    <xf numFmtId="0" fontId="0" fillId="0" borderId="0" xfId="0" applyFont="1" applyNumberFormat="1">
      <alignment horizontal="center" vertical="center"/>
    </xf>
    <xf numFmtId="49" fontId="23" fillId="0" borderId="0" xfId="0" applyFont="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horizontal="left" vertical="top"/>
    </xf>
    <xf numFmtId="0" fontId="23" fillId="43" borderId="25" xfId="0" applyFont="1" applyFill="1" applyBorder="1" applyNumberFormat="1">
      <alignment horizontal="center" vertical="top" wrapText="1"/>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0" fontId="0" fillId="0" borderId="0" xfId="0" applyFont="1" applyNumberFormat="1">
      <alignment vertical="center"/>
    </xf>
    <xf numFmtId="49" fontId="23"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9" xfId="0" applyFont="1" applyBorder="1" applyNumberFormat="1">
      <alignment horizontal="center" vertical="top"/>
    </xf>
    <xf numFmtId="0" fontId="23" fillId="0" borderId="19" xfId="0" applyFont="1" applyBorder="1" applyNumberFormat="1">
      <alignment horizontal="left" vertical="top" wrapText="1"/>
    </xf>
    <xf numFmtId="0" fontId="0" fillId="0" borderId="38" xfId="0" applyFont="1" applyBorder="1" applyNumberFormat="1">
      <alignment horizontal="center" vertical="top"/>
    </xf>
    <xf numFmtId="0" fontId="23" fillId="0" borderId="38" xfId="0" applyFont="1" applyBorder="1" applyNumberFormat="1">
      <alignment horizontal="left" vertical="top" wrapText="1"/>
    </xf>
    <xf numFmtId="0" fontId="0" fillId="0" borderId="25" xfId="0" applyFont="1" applyBorder="1" applyNumberFormat="1">
      <alignment horizontal="center" vertical="top"/>
    </xf>
    <xf numFmtId="0" fontId="23" fillId="0" borderId="25" xfId="0" applyFont="1" applyBorder="1" applyNumberFormat="1">
      <alignment horizontal="left" vertical="top"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43" borderId="14" xfId="0" applyFont="1" applyFill="1" applyBorder="1" applyNumberFormat="1">
      <alignment horizontal="left" vertical="top" wrapText="1"/>
    </xf>
    <xf numFmtId="0" fontId="0"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49" fontId="23" fillId="43" borderId="19"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0" fillId="37" borderId="14" xfId="0" applyFont="1" applyFill="1" applyBorder="1" applyNumberFormat="1">
      <alignment horizontal="left" vertical="center" wrapText="1"/>
    </xf>
    <xf numFmtId="49" fontId="0" fillId="37" borderId="14" xfId="0" applyFont="1" applyFill="1" applyBorder="1" applyNumberFormat="1">
      <alignment horizontal="left" vertical="center" wrapText="1"/>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49" fontId="23" fillId="43" borderId="38" xfId="0" applyFont="1" applyFill="1" applyBorder="1" applyNumberFormat="1">
      <alignment horizontal="center"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49" fontId="0" fillId="0" borderId="14" xfId="0" applyFont="1" applyBorder="1" applyNumberFormat="1">
      <alignment vertical="top"/>
    </xf>
    <xf numFmtId="49" fontId="0" fillId="39" borderId="14" xfId="0" applyFont="1" applyFill="1" applyBorder="1" applyNumberFormat="1">
      <alignment horizontal="left" vertical="top"/>
      <protection locked="0"/>
    </xf>
    <xf numFmtId="49" fontId="23" fillId="43" borderId="25" xfId="0" applyFont="1" applyFill="1" applyBorder="1" applyNumberFormat="1">
      <alignment horizontal="center" vertical="center" wrapText="1"/>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31" xfId="0" applyFont="1" applyFill="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15" xfId="0" applyFont="1" applyFill="1" applyBorder="1" applyNumberFormat="1">
      <alignment horizontal="left" vertical="center"/>
    </xf>
    <xf numFmtId="49" fontId="0" fillId="43" borderId="14" xfId="0" applyFont="1" applyFill="1" applyBorder="1" applyNumberFormat="1">
      <alignment horizontal="left" vertical="top"/>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15" xfId="0" applyFont="1" applyFill="1" applyBorder="1" applyNumberFormat="1">
      <alignment horizontal="left" vertical="center"/>
    </xf>
    <xf numFmtId="0" fontId="23" fillId="37" borderId="14" xfId="0" applyFont="1" applyFill="1" applyBorder="1" applyNumberFormat="1">
      <alignment horizontal="left" vertical="top" wrapText="1"/>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2" xfId="0" applyFont="1" applyBorder="1" applyNumberFormat="1">
      <alignment horizontal="left" vertical="center" wrapText="1"/>
    </xf>
    <xf numFmtId="0" fontId="0" fillId="0" borderId="24" xfId="0" applyFont="1" applyBorder="1" applyNumberFormat="1">
      <alignment horizontal="center" vertical="center"/>
    </xf>
    <xf numFmtId="0" fontId="0" fillId="0" borderId="0" xfId="0" applyFont="1" applyNumberFormat="1">
      <alignment horizontal="center" vertical="center"/>
    </xf>
    <xf numFmtId="49" fontId="23" fillId="0" borderId="0" xfId="0" applyFont="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0" fillId="37" borderId="14" xfId="0" applyFont="1" applyFill="1" applyBorder="1" applyNumberFormat="1">
      <alignment horizontal="left" vertical="top"/>
    </xf>
    <xf numFmtId="49" fontId="0" fillId="0" borderId="0" xfId="0" applyFont="1" applyNumberFormat="1">
      <alignment horizontal="left" vertical="top"/>
    </xf>
    <xf numFmtId="0" fontId="0" fillId="0" borderId="0" xfId="0" applyFont="1" applyNumberFormat="1">
      <alignment vertical="center"/>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0" fontId="0"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0" fontId="23" fillId="0" borderId="0" xfId="0" applyFont="1" applyNumberFormat="1">
      <alignment vertical="center"/>
    </xf>
    <xf numFmtId="49" fontId="55" fillId="0" borderId="0" xfId="0" applyFont="1" applyNumberFormat="1">
      <alignment vertical="top"/>
    </xf>
    <xf numFmtId="49" fontId="55" fillId="0" borderId="0" xfId="0" applyFont="1" applyNumberFormat="1">
      <alignment horizontal="center" vertical="center"/>
    </xf>
    <xf numFmtId="49" fontId="55" fillId="0" borderId="0" xfId="0" applyFont="1" applyNumberFormat="1">
      <alignment horizontal="center" vertical="center"/>
    </xf>
    <xf numFmtId="49" fontId="54" fillId="0" borderId="0" xfId="0" applyFont="1" applyNumberFormat="1">
      <alignment horizontal="center" vertical="center"/>
    </xf>
    <xf numFmtId="49" fontId="72"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21" xfId="0" applyFont="1" applyBorder="1" applyNumberFormat="1">
      <alignment horizontal="left" vertical="center" wrapText="1" indent="1"/>
    </xf>
    <xf numFmtId="0" fontId="22" fillId="0" borderId="0" xfId="0" applyFont="1" applyNumberFormat="1">
      <alignment horizontal="left" vertical="center" wrapText="1" indent="1"/>
    </xf>
    <xf numFmtId="0" fontId="50" fillId="0" borderId="0" xfId="0" applyFont="1" applyNumberFormat="1">
      <alignment vertical="center"/>
    </xf>
    <xf numFmtId="0" fontId="118" fillId="0" borderId="0" xfId="0" applyFont="1" applyNumberFormat="1">
      <alignment vertical="center" wrapText="1"/>
    </xf>
    <xf numFmtId="0" fontId="119" fillId="0" borderId="0" xfId="0" applyFont="1" applyNumberFormat="1">
      <alignment vertical="center" wrapText="1"/>
    </xf>
    <xf numFmtId="0" fontId="5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49" fontId="23" fillId="0" borderId="0" xfId="0" applyFont="1" applyNumberFormat="1">
      <alignment vertical="top"/>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xf>
    <xf numFmtId="49" fontId="23" fillId="43" borderId="19" xfId="0" applyFont="1" applyFill="1" applyBorder="1" applyNumberFormat="1">
      <alignment horizontal="center" vertical="center" wrapText="1"/>
    </xf>
    <xf numFmtId="49" fontId="23" fillId="0" borderId="39" xfId="0" applyFont="1" applyBorder="1" applyNumberFormat="1">
      <alignment vertical="center" wrapText="1"/>
    </xf>
    <xf numFmtId="0" fontId="23"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23" fillId="0" borderId="21" xfId="0" applyFont="1" applyBorder="1" applyNumberFormat="1">
      <alignment vertical="center" wrapText="1"/>
    </xf>
    <xf numFmtId="49" fontId="23" fillId="43" borderId="38" xfId="0" applyFont="1" applyFill="1" applyBorder="1" applyNumberFormat="1">
      <alignment horizontal="center" vertical="center" wrapText="1"/>
    </xf>
    <xf numFmtId="49" fontId="23" fillId="0" borderId="24" xfId="0" applyFont="1" applyBorder="1" applyNumberFormat="1">
      <alignment vertical="center" wrapText="1"/>
    </xf>
    <xf numFmtId="0" fontId="23" fillId="0" borderId="0" xfId="0" applyFont="1" applyNumberFormat="1">
      <alignment horizontal="center" vertical="center"/>
    </xf>
    <xf numFmtId="0" fontId="23"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49" fontId="45" fillId="0" borderId="0" xfId="0" applyFont="1" applyNumberFormat="1">
      <alignment horizontal="center" vertical="center" wrapText="1"/>
    </xf>
    <xf numFmtId="0" fontId="48" fillId="0" borderId="0" xfId="0" applyFont="1" applyNumberFormat="1">
      <alignment vertical="center"/>
    </xf>
    <xf numFmtId="0" fontId="48" fillId="0" borderId="24" xfId="0" applyFont="1" applyBorder="1" applyNumberFormat="1">
      <alignment horizontal="left" vertical="center"/>
    </xf>
    <xf numFmtId="49" fontId="23" fillId="0" borderId="19" xfId="0" applyFont="1" applyBorder="1" applyNumberFormat="1">
      <alignment horizontal="center" vertical="center"/>
    </xf>
    <xf numFmtId="0" fontId="23" fillId="0" borderId="19" xfId="0" applyFont="1" applyBorder="1" applyNumberFormat="1">
      <alignment horizontal="left" vertical="center" wrapText="1"/>
    </xf>
    <xf numFmtId="0" fontId="23" fillId="0" borderId="39" xfId="0" applyFont="1" applyBorder="1" applyNumberFormat="1">
      <alignment horizontal="left" vertical="center" wrapText="1"/>
    </xf>
    <xf numFmtId="49" fontId="72" fillId="0" borderId="32" xfId="0" applyFont="1" applyBorder="1" applyNumberFormat="1">
      <alignment vertical="top"/>
    </xf>
    <xf numFmtId="49" fontId="72" fillId="0" borderId="29" xfId="0" applyFont="1" applyBorder="1" applyNumberFormat="1">
      <alignment vertical="top"/>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0" borderId="0" xfId="0" applyFont="1" applyNumberFormat="1">
      <alignment horizontal="left" vertical="center" wrapText="1"/>
    </xf>
    <xf numFmtId="0" fontId="23" fillId="0" borderId="16" xfId="0" applyFont="1" applyBorder="1" applyNumberFormat="1">
      <alignment horizontal="left" vertical="center" wrapText="1"/>
    </xf>
    <xf numFmtId="49" fontId="0"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23" fillId="37" borderId="0" xfId="0" applyFont="1" applyFill="1" applyNumberFormat="1"/>
    <xf numFmtId="0" fontId="66" fillId="37" borderId="0" xfId="0" applyFont="1" applyFill="1" applyNumberFormat="1"/>
    <xf numFmtId="0" fontId="55" fillId="37" borderId="0" xfId="0" applyFont="1" applyFill="1" applyNumberFormat="1"/>
    <xf numFmtId="0" fontId="66" fillId="37" borderId="0" xfId="0" applyFont="1" applyFill="1" applyNumberFormat="1">
      <alignment horizontal="center"/>
    </xf>
    <xf numFmtId="0" fontId="95" fillId="0" borderId="0" xfId="0" applyFont="1" applyNumberFormat="1">
      <alignment vertical="center"/>
    </xf>
    <xf numFmtId="0" fontId="94" fillId="0" borderId="0" xfId="0" applyFont="1" applyNumberFormat="1">
      <alignment vertical="center"/>
    </xf>
    <xf numFmtId="0" fontId="78" fillId="37" borderId="0" xfId="0" applyFont="1" applyFill="1" applyNumberFormat="1">
      <alignment horizontal="right" vertical="center"/>
    </xf>
    <xf numFmtId="0" fontId="23" fillId="37" borderId="0" xfId="0" applyFont="1" applyFill="1" applyNumberFormat="1">
      <alignment vertical="center" wrapText="1"/>
    </xf>
    <xf numFmtId="0" fontId="55" fillId="37" borderId="0" xfId="0" applyFont="1" applyFill="1" applyNumberFormat="1">
      <alignment vertical="center" wrapText="1"/>
    </xf>
    <xf numFmtId="0" fontId="23" fillId="37" borderId="0" xfId="0" applyFont="1" applyFill="1" applyNumberFormat="1">
      <alignment horizontal="center" vertical="center" wrapText="1"/>
    </xf>
    <xf numFmtId="0" fontId="98" fillId="37" borderId="0" xfId="0" applyFont="1" applyFill="1" applyNumberFormat="1">
      <alignment horizontal="left" vertical="center"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44" fillId="37" borderId="0" xfId="0" applyFont="1" applyFill="1" applyNumberFormat="1">
      <alignment horizontal="center" vertical="center"/>
    </xf>
    <xf numFmtId="49" fontId="55" fillId="0" borderId="14" xfId="0" applyFont="1" applyBorder="1" applyNumberFormat="1">
      <alignment horizontal="center" vertical="center"/>
    </xf>
    <xf numFmtId="0" fontId="55" fillId="0" borderId="14" xfId="0" applyFont="1" applyBorder="1" applyNumberFormat="1">
      <alignment vertical="center" wrapText="1"/>
    </xf>
    <xf numFmtId="0" fontId="55" fillId="0" borderId="14" xfId="0" applyFont="1" applyBorder="1" applyNumberFormat="1">
      <alignment horizontal="left" vertical="center" wrapText="1"/>
    </xf>
    <xf numFmtId="0" fontId="70" fillId="37" borderId="0" xfId="0" applyFont="1" applyFill="1" applyNumberFormat="1"/>
    <xf numFmtId="49" fontId="0" fillId="37" borderId="14" xfId="0" applyFont="1" applyFill="1" applyBorder="1" applyNumberFormat="1">
      <alignment horizontal="center" vertical="center"/>
    </xf>
    <xf numFmtId="0" fontId="0" fillId="37" borderId="14" xfId="0" applyFont="1" applyFill="1" applyBorder="1" applyNumberFormat="1">
      <alignment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vertical="center" wrapText="1"/>
    </xf>
    <xf numFmtId="0" fontId="0" fillId="37" borderId="14" xfId="0" applyFont="1" applyFill="1" applyBorder="1" applyNumberFormat="1">
      <alignment horizontal="left" vertical="center" wrapText="1" indent="1"/>
    </xf>
    <xf numFmtId="49" fontId="0" fillId="42" borderId="14" xfId="0" applyFont="1" applyFill="1" applyBorder="1" applyNumberFormat="1">
      <alignment horizontal="left" vertical="center" wrapText="1"/>
      <protection locked="0"/>
    </xf>
    <xf numFmtId="0" fontId="55" fillId="0" borderId="14" xfId="0" applyFont="1" applyBorder="1" applyNumberFormat="1">
      <alignment horizontal="left" vertical="center" wrapText="1" indent="1"/>
    </xf>
    <xf numFmtId="49" fontId="23"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95" fillId="0" borderId="0" xfId="0" applyFont="1" applyNumberFormat="1">
      <alignment vertical="center" wrapText="1"/>
    </xf>
    <xf numFmtId="0" fontId="0" fillId="37" borderId="14" xfId="0" applyFont="1" applyFill="1" applyBorder="1" applyNumberFormat="1">
      <alignment horizontal="center" vertical="center"/>
    </xf>
    <xf numFmtId="0" fontId="0" fillId="37" borderId="14" xfId="0" applyFont="1" applyFill="1" applyBorder="1" applyNumberFormat="1">
      <alignment horizontal="left" vertical="center" wrapText="1" indent="2"/>
    </xf>
    <xf numFmtId="49" fontId="0" fillId="0" borderId="14" xfId="0" applyFont="1" applyBorder="1" applyNumberFormat="1">
      <alignment horizontal="left" vertical="center" wrapText="1"/>
    </xf>
    <xf numFmtId="49" fontId="23" fillId="37" borderId="0" xfId="0" applyFont="1" applyFill="1" applyNumberFormat="1">
      <alignment vertical="center" wrapText="1"/>
    </xf>
    <xf numFmtId="0" fontId="23" fillId="37" borderId="26" xfId="0" applyFont="1" applyFill="1" applyBorder="1" applyNumberFormat="1">
      <alignment vertical="center" wrapText="1"/>
    </xf>
    <xf numFmtId="0" fontId="23" fillId="40" borderId="16" xfId="0" applyFont="1" applyFill="1" applyBorder="1" applyNumberFormat="1">
      <alignment horizontal="center"/>
    </xf>
    <xf numFmtId="49" fontId="48" fillId="40" borderId="17" xfId="0" applyFont="1" applyFill="1" applyBorder="1" applyNumberFormat="1">
      <alignment horizontal="left" vertical="center" indent="1"/>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0" fontId="55" fillId="37" borderId="0" xfId="0" applyFont="1" applyFill="1" applyNumberFormat="1"/>
    <xf numFmtId="49" fontId="55" fillId="37" borderId="14" xfId="0" applyFont="1" applyFill="1" applyBorder="1" applyNumberFormat="1">
      <alignment horizontal="center" vertical="center"/>
    </xf>
    <xf numFmtId="0" fontId="55" fillId="37" borderId="14" xfId="0" applyFont="1" applyFill="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0" fontId="0" fillId="37" borderId="14" xfId="0" applyFont="1" applyFill="1" applyBorder="1" applyNumberFormat="1">
      <alignment horizontal="left" vertical="center" wrapText="1"/>
    </xf>
    <xf numFmtId="49" fontId="0" fillId="39" borderId="14" xfId="0" applyFont="1" applyFill="1" applyBorder="1" applyNumberFormat="1">
      <alignment horizontal="left" vertical="center" wrapText="1"/>
      <protection locked="0"/>
    </xf>
    <xf numFmtId="0" fontId="0" fillId="37" borderId="19" xfId="0" applyFont="1" applyFill="1" applyBorder="1" applyNumberFormat="1">
      <alignment horizontal="left" vertical="center" wrapText="1"/>
    </xf>
    <xf numFmtId="0" fontId="23" fillId="37" borderId="19" xfId="0" applyFont="1" applyFill="1" applyBorder="1" applyNumberFormat="1">
      <alignment horizontal="left" vertical="top" wrapText="1"/>
    </xf>
    <xf numFmtId="49" fontId="0" fillId="0" borderId="14" xfId="0" applyFont="1" applyBorder="1" applyNumberFormat="1">
      <alignment horizontal="left" vertical="center" wrapText="1" indent="1"/>
    </xf>
    <xf numFmtId="0" fontId="23" fillId="37" borderId="38" xfId="0" applyFont="1" applyFill="1" applyBorder="1" applyNumberFormat="1">
      <alignment horizontal="left" vertical="top" wrapText="1"/>
    </xf>
    <xf numFmtId="0" fontId="45" fillId="37" borderId="0" xfId="0" applyFont="1" applyFill="1" applyNumberFormat="1">
      <alignment horizontal="center" vertical="center"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37" borderId="25" xfId="0" applyFont="1" applyFill="1" applyBorder="1" applyNumberFormat="1">
      <alignment horizontal="left" vertical="top" wrapText="1"/>
    </xf>
    <xf numFmtId="0" fontId="58" fillId="37" borderId="0" xfId="0" applyFont="1" applyFill="1" applyNumberFormat="1"/>
    <xf numFmtId="49" fontId="23" fillId="42" borderId="14" xfId="0" applyFont="1" applyFill="1" applyBorder="1" applyNumberFormat="1" quotePrefix="1">
      <alignment horizontal="left" vertical="center" wrapText="1"/>
      <protection locked="0"/>
    </xf>
    <xf numFmtId="49" fontId="23" fillId="39"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0" fillId="37" borderId="16" xfId="0" applyFont="1" applyFill="1" applyBorder="1" applyNumberFormat="1">
      <alignment horizontal="left" vertical="center" wrapText="1" indent="1"/>
    </xf>
    <xf numFmtId="49" fontId="23" fillId="43" borderId="16" xfId="0" applyFont="1" applyFill="1" applyBorder="1" applyNumberFormat="1">
      <alignment horizontal="left" vertical="center" wrapText="1"/>
    </xf>
    <xf numFmtId="0" fontId="0" fillId="37" borderId="14" xfId="0" applyFont="1" applyFill="1" applyBorder="1" applyNumberFormat="1">
      <alignment vertical="top" wrapText="1"/>
    </xf>
    <xf numFmtId="49" fontId="23" fillId="37" borderId="0" xfId="0" applyFont="1" applyFill="1" applyNumberFormat="1">
      <alignment horizontal="center" vertical="center" wrapText="1"/>
    </xf>
    <xf numFmtId="0" fontId="0" fillId="37" borderId="16" xfId="0" applyFont="1" applyFill="1" applyBorder="1" applyNumberFormat="1">
      <alignment horizontal="left" vertical="center" wrapText="1"/>
    </xf>
    <xf numFmtId="0" fontId="0" fillId="37" borderId="25" xfId="0" applyFont="1" applyFill="1" applyBorder="1" applyNumberFormat="1">
      <alignment vertical="center" wrapText="1"/>
    </xf>
    <xf numFmtId="0" fontId="81" fillId="37" borderId="0" xfId="0" applyFont="1" applyFill="1" applyNumberFormat="1"/>
    <xf numFmtId="0" fontId="23" fillId="0" borderId="0" xfId="0" applyFont="1" applyNumberFormat="1">
      <alignment vertical="top" wrapText="1"/>
    </xf>
    <xf numFmtId="0" fontId="55" fillId="0" borderId="0" xfId="0" applyFont="1" applyNumberFormat="1">
      <alignment vertical="center" wrapText="1"/>
    </xf>
    <xf numFmtId="0" fontId="53" fillId="0" borderId="0" xfId="0" applyFont="1" applyNumberFormat="1">
      <alignment horizontal="right" vertical="top" wrapText="1"/>
    </xf>
    <xf numFmtId="0" fontId="53" fillId="0" borderId="0" xfId="0" applyFont="1" applyNumberFormat="1">
      <alignment horizontal="left" vertical="top" wrapText="1" indent="1"/>
    </xf>
    <xf numFmtId="0" fontId="53" fillId="0" borderId="0" xfId="0" applyFont="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2" fillId="37" borderId="0" xfId="0" applyFont="1" applyFill="1" applyNumberFormat="1">
      <alignment horizontal="right" vertical="center"/>
    </xf>
    <xf numFmtId="0" fontId="83" fillId="37" borderId="0" xfId="0" applyFont="1" applyFill="1" applyNumberFormat="1">
      <alignment vertical="center"/>
    </xf>
    <xf numFmtId="0" fontId="82" fillId="37" borderId="0" xfId="0" applyFont="1" applyFill="1" applyNumberFormat="1">
      <alignment horizontal="right" vertical="top"/>
    </xf>
    <xf numFmtId="0" fontId="83" fillId="37" borderId="0" xfId="0" applyFont="1" applyFill="1" applyNumberFormat="1">
      <alignment vertical="center" wrapText="1"/>
    </xf>
    <xf numFmtId="0" fontId="23" fillId="37" borderId="0" xfId="0" applyFont="1" applyFill="1" applyNumberFormat="1"/>
    <xf numFmtId="0" fontId="0" fillId="37" borderId="0" xfId="0" applyFont="1" applyFill="1" applyNumberFormat="1"/>
    <xf numFmtId="0" fontId="0" fillId="37" borderId="0" xfId="0" applyFont="1" applyFill="1" applyNumberFormat="1">
      <alignment horizontal="center"/>
    </xf>
    <xf numFmtId="0" fontId="54" fillId="0" borderId="0" xfId="0" applyFont="1" applyNumberFormat="1">
      <alignment horizontal="center" vertical="center" wrapTex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45" fillId="37" borderId="0" xfId="0" applyFont="1" applyFill="1" applyNumberFormat="1">
      <alignment horizontal="center" vertical="center" wrapText="1"/>
    </xf>
    <xf numFmtId="0" fontId="22" fillId="0" borderId="0" xfId="0" applyFont="1" applyNumberFormat="1">
      <alignment horizontal="left" vertical="center" wrapText="1" indent="3"/>
    </xf>
    <xf numFmtId="0" fontId="69" fillId="0" borderId="0" xfId="0" applyFont="1" applyNumberFormat="1">
      <alignment horizontal="center" vertical="center" wrapText="1"/>
    </xf>
    <xf numFmtId="0" fontId="69" fillId="0" borderId="0" xfId="0" applyFont="1" applyNumberFormat="1">
      <alignment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65" fillId="0" borderId="0" xfId="0" applyFont="1" applyNumberFormat="1">
      <alignment vertical="center" wrapText="1"/>
    </xf>
    <xf numFmtId="0" fontId="63" fillId="0" borderId="0" xfId="0" applyFont="1" applyNumberFormat="1">
      <alignment vertical="center" wrapText="1"/>
    </xf>
    <xf numFmtId="0" fontId="84" fillId="37" borderId="0" xfId="0" applyFont="1" applyFill="1" applyNumberFormat="1">
      <alignment horizontal="center" vertical="center" wrapText="1"/>
    </xf>
    <xf numFmtId="0" fontId="65" fillId="0" borderId="0" xfId="0" applyFont="1" applyNumberFormat="1">
      <alignment horizontal="left" vertical="center" wrapText="1" indent="1"/>
    </xf>
    <xf numFmtId="0" fontId="23" fillId="0" borderId="0" xfId="0" applyFont="1" applyNumberFormat="1">
      <alignment horizontal="right" vertical="center"/>
    </xf>
    <xf numFmtId="0" fontId="55" fillId="0" borderId="0" xfId="0" applyFont="1" applyNumberFormat="1">
      <alignment vertical="center" wrapText="1"/>
    </xf>
    <xf numFmtId="0" fontId="0" fillId="0" borderId="16"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44" fillId="37" borderId="0" xfId="0" applyFont="1" applyFill="1" applyNumberFormat="1">
      <alignment horizontal="center" vertical="center" wrapText="1"/>
    </xf>
    <xf numFmtId="49" fontId="44" fillId="37" borderId="0" xfId="0" applyFont="1" applyFill="1" applyNumberFormat="1">
      <alignment horizontal="center" vertical="center" wrapText="1"/>
    </xf>
    <xf numFmtId="0" fontId="23" fillId="0" borderId="0" xfId="0" applyFont="1" applyNumberFormat="1">
      <alignment vertical="center" wrapText="1"/>
    </xf>
    <xf numFmtId="0" fontId="77" fillId="0" borderId="0" xfId="0" applyFont="1" applyNumberFormat="1">
      <alignmen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49" fontId="77" fillId="0" borderId="14" xfId="0" applyFont="1" applyBorder="1" applyNumberFormat="1">
      <alignment horizontal="left" vertical="center" wrapText="1"/>
    </xf>
    <xf numFmtId="49" fontId="0" fillId="0" borderId="14" xfId="0" applyFont="1" applyBorder="1" applyNumberFormat="1">
      <alignment vertical="top" wrapText="1"/>
    </xf>
    <xf numFmtId="49" fontId="0" fillId="0" borderId="14" xfId="0" applyFont="1" applyBorder="1" applyNumberFormat="1">
      <alignment horizontal="center" vertical="center" wrapText="1"/>
    </xf>
    <xf numFmtId="49" fontId="0" fillId="39"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 fontId="0" fillId="42"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 fontId="0" fillId="42" borderId="15" xfId="0" applyFont="1" applyFill="1" applyBorder="1" applyNumberFormat="1">
      <alignment horizontal="right" vertical="center" wrapText="1"/>
      <protection locked="0"/>
    </xf>
    <xf numFmtId="0" fontId="0" fillId="39" borderId="14" xfId="0" applyFont="1" applyFill="1" applyBorder="1" applyNumberFormat="1">
      <alignment horizontal="right" vertical="center" wrapText="1"/>
      <protection locked="0"/>
    </xf>
    <xf numFmtId="3" fontId="0" fillId="0" borderId="15" xfId="0" applyFont="1" applyBorder="1" applyNumberFormat="1">
      <alignment horizontal="right" vertical="center" wrapText="1"/>
    </xf>
    <xf numFmtId="0" fontId="0" fillId="0" borderId="19" xfId="0" applyFont="1" applyBorder="1" applyNumberFormat="1">
      <alignment horizontal="left" vertical="top" wrapText="1"/>
    </xf>
    <xf numFmtId="49" fontId="36" fillId="40" borderId="16" xfId="0" applyFont="1" applyFill="1" applyBorder="1" applyNumberFormat="1">
      <alignment horizontal="center" vertical="center"/>
    </xf>
    <xf numFmtId="0" fontId="48" fillId="40" borderId="17" xfId="0" applyFont="1" applyFill="1" applyBorder="1" applyNumberFormat="1">
      <alignment vertical="center"/>
    </xf>
    <xf numFmtId="49" fontId="48" fillId="40" borderId="17" xfId="0" applyFont="1" applyFill="1" applyBorder="1" applyNumberFormat="1">
      <alignment vertical="center"/>
    </xf>
    <xf numFmtId="49" fontId="78" fillId="40" borderId="17" xfId="0" applyFont="1" applyFill="1" applyBorder="1" applyNumberFormat="1">
      <alignment vertical="center"/>
    </xf>
    <xf numFmtId="49" fontId="78" fillId="40" borderId="15" xfId="0" applyFont="1" applyFill="1" applyBorder="1" applyNumberFormat="1">
      <alignment vertical="center"/>
    </xf>
    <xf numFmtId="0" fontId="0" fillId="0" borderId="25" xfId="0" applyFont="1" applyBorder="1" applyNumberFormat="1">
      <alignment horizontal="left" vertical="top" wrapText="1"/>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50" fillId="0" borderId="0" xfId="0" applyFont="1" applyNumberFormat="1">
      <alignment vertical="center" wrapText="1"/>
    </xf>
    <xf numFmtId="0" fontId="55" fillId="0" borderId="0" xfId="0" applyFont="1" applyNumberFormat="1">
      <alignment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49" fontId="0" fillId="0" borderId="39" xfId="0" applyFont="1" applyBorder="1" applyNumberFormat="1">
      <alignment horizontal="center" vertical="center" wrapText="1"/>
    </xf>
    <xf numFmtId="0" fontId="23" fillId="43" borderId="21" xfId="0" applyFont="1" applyFill="1" applyBorder="1" applyNumberFormat="1">
      <alignment horizontal="lef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0" fontId="55" fillId="0" borderId="0" xfId="0" applyFont="1" applyNumberFormat="1">
      <alignment vertical="center"/>
    </xf>
    <xf numFmtId="49" fontId="0" fillId="0" borderId="32" xfId="0" applyFont="1" applyBorder="1" applyNumberFormat="1">
      <alignment horizontal="center" vertical="center" wrapText="1"/>
    </xf>
    <xf numFmtId="0" fontId="23" fillId="43" borderId="29" xfId="0" applyFont="1" applyFill="1" applyBorder="1" applyNumberFormat="1">
      <alignment horizontal="left" vertical="center" wrapText="1"/>
    </xf>
    <xf numFmtId="0" fontId="93" fillId="0" borderId="0" xfId="0" applyFont="1" applyNumberFormat="1">
      <alignment vertical="center" wrapText="1"/>
    </xf>
    <xf numFmtId="0" fontId="55" fillId="0" borderId="0" xfId="0" applyFont="1" applyNumberFormat="1">
      <alignment vertical="center" wrapText="1"/>
    </xf>
    <xf numFmtId="0" fontId="45" fillId="37" borderId="0" xfId="0" applyFont="1" applyFill="1" applyNumberFormat="1">
      <alignment horizontal="center" vertical="center" wrapText="1"/>
    </xf>
    <xf numFmtId="0" fontId="23" fillId="0" borderId="21" xfId="0" applyFont="1" applyBorder="1" applyNumberFormat="1">
      <alignment horizontal="left" vertical="top" wrapText="1" indent="1"/>
    </xf>
    <xf numFmtId="0" fontId="69" fillId="0" borderId="0" xfId="0" applyFont="1" applyNumberFormat="1">
      <alignment vertical="center" wrapText="1"/>
    </xf>
    <xf numFmtId="0" fontId="65" fillId="0" borderId="0" xfId="0" applyFont="1" applyNumberFormat="1">
      <alignment vertical="center" wrapText="1"/>
    </xf>
    <xf numFmtId="0" fontId="63" fillId="0" borderId="0" xfId="0" applyFont="1" applyNumberFormat="1">
      <alignment vertical="center" wrapText="1"/>
    </xf>
    <xf numFmtId="0" fontId="23" fillId="0" borderId="25" xfId="0" applyFont="1" applyBorder="1" applyNumberFormat="1">
      <alignment horizontal="center" vertical="center" wrapText="1"/>
    </xf>
    <xf numFmtId="0" fontId="23" fillId="0" borderId="0" xfId="0" applyFont="1" applyNumberFormat="1">
      <alignmen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40" fillId="0" borderId="0" xfId="0" applyFont="1" applyNumberFormat="1">
      <alignment vertical="center" wrapText="1"/>
    </xf>
    <xf numFmtId="0" fontId="23" fillId="0" borderId="0" xfId="0" applyFont="1" applyNumberFormat="1">
      <alignment vertical="center" wrapText="1"/>
    </xf>
    <xf numFmtId="0" fontId="55" fillId="0" borderId="0" xfId="0" applyFont="1" applyNumberFormat="1">
      <alignment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2" fillId="0" borderId="0" xfId="0" applyFont="1" applyNumberFormat="1">
      <alignment horizontal="center" vertical="center" wrapText="1"/>
    </xf>
    <xf numFmtId="0" fontId="50" fillId="0" borderId="0" xfId="0" applyFont="1" applyNumberFormat="1">
      <alignment vertical="center" wrapText="1"/>
    </xf>
    <xf numFmtId="4" fontId="65" fillId="0" borderId="0" xfId="0" applyFont="1" applyNumberFormat="1">
      <alignment horizontal="right"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44" fillId="37" borderId="17" xfId="0" applyFont="1" applyFill="1" applyBorder="1" applyNumberFormat="1">
      <alignment horizontal="center" vertical="center" wrapText="1"/>
    </xf>
    <xf numFmtId="49" fontId="44" fillId="37" borderId="17" xfId="0" applyFont="1" applyFill="1" applyBorder="1" applyNumberFormat="1">
      <alignment horizontal="center"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top"/>
    </xf>
    <xf numFmtId="0" fontId="45" fillId="37" borderId="26" xfId="0" applyFont="1" applyFill="1" applyBorder="1" applyNumberFormat="1">
      <alignment vertical="top"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49" fontId="34" fillId="40" borderId="15" xfId="0" applyFont="1" applyFill="1" applyBorder="1" applyNumberFormat="1">
      <alignment horizontal="left" vertical="center" wrapText="1"/>
    </xf>
    <xf numFmtId="0" fontId="0" fillId="0" borderId="38" xfId="0" applyFont="1" applyBorder="1" applyNumberFormat="1">
      <alignment horizontal="left" vertical="top"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45" fillId="37" borderId="0" xfId="0" applyFont="1" applyFill="1" applyNumberFormat="1">
      <alignment vertical="top" wrapText="1"/>
    </xf>
    <xf numFmtId="0" fontId="55" fillId="37" borderId="25" xfId="0" applyFont="1" applyFill="1" applyBorder="1" applyNumberFormat="1">
      <alignment horizontal="center" vertical="center" wrapText="1"/>
    </xf>
    <xf numFmtId="14" fontId="23" fillId="43" borderId="25" xfId="0" applyFont="1" applyFill="1" applyBorder="1" applyNumberFormat="1">
      <alignment horizontal="left" vertical="center" wrapText="1"/>
    </xf>
    <xf numFmtId="14" fontId="23" fillId="43" borderId="14" xfId="0" applyFont="1" applyFill="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6" fillId="40" borderId="17" xfId="0" applyFont="1" applyFill="1" applyBorder="1" applyNumberFormat="1">
      <alignment horizontal="center" vertical="center"/>
    </xf>
    <xf numFmtId="49" fontId="78" fillId="40" borderId="17" xfId="0" applyFont="1" applyFill="1" applyBorder="1" applyNumberFormat="1">
      <alignment horizontal="left" vertical="center" indent="1"/>
    </xf>
    <xf numFmtId="49" fontId="78" fillId="40" borderId="15" xfId="0" applyFont="1" applyFill="1" applyBorder="1" applyNumberFormat="1">
      <alignment horizontal="left" vertical="center" indent="1"/>
    </xf>
    <xf numFmtId="0" fontId="65" fillId="0" borderId="0" xfId="0" applyFont="1" applyNumberFormat="1">
      <alignment vertical="center" wrapText="1"/>
    </xf>
    <xf numFmtId="0" fontId="84" fillId="0" borderId="0" xfId="0" applyFont="1" applyNumberFormat="1">
      <alignment horizontal="center" vertical="center" wrapText="1"/>
    </xf>
    <xf numFmtId="0" fontId="53" fillId="0" borderId="0" xfId="0" applyFont="1" applyNumberFormat="1">
      <alignment vertical="top" wrapText="1"/>
    </xf>
    <xf numFmtId="0" fontId="23" fillId="0" borderId="0" xfId="0" applyFont="1" applyNumberFormat="1">
      <alignment horizontal="right" vertical="top" wrapText="1"/>
    </xf>
    <xf numFmtId="0" fontId="53"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horizontal="left" vertical="center" indent="1"/>
    </xf>
    <xf numFmtId="0" fontId="54" fillId="0" borderId="14" xfId="0" applyFont="1" applyBorder="1" applyNumberFormat="1">
      <alignment horizontal="center" vertical="center"/>
    </xf>
    <xf numFmtId="0" fontId="54" fillId="0" borderId="0" xfId="0" applyFont="1" applyNumberFormat="1">
      <alignment horizontal="center" vertical="center"/>
    </xf>
    <xf numFmtId="0" fontId="54"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4" xfId="0" applyFont="1" applyBorder="1" applyNumberFormat="1">
      <alignment horizontal="left" vertical="center" wrapText="1" indent="6"/>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53" fillId="0" borderId="14" xfId="0" applyFont="1" applyBorder="1" applyNumberFormat="1">
      <alignment vertical="top" wrapText="1"/>
    </xf>
    <xf numFmtId="0" fontId="54" fillId="0" borderId="16" xfId="0" applyFont="1" applyBorder="1" applyNumberFormat="1">
      <alignment horizontal="center" vertical="center"/>
    </xf>
    <xf numFmtId="0" fontId="23" fillId="0" borderId="0" xfId="0" applyFont="1" applyNumberFormat="1">
      <alignment horizontal="center"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23" fillId="37" borderId="14" xfId="0" applyFont="1" applyFill="1" applyBorder="1" applyNumberFormat="1">
      <alignment horizontal="left" vertical="center" wrapText="1" indent="1"/>
    </xf>
    <xf numFmtId="0" fontId="45" fillId="0" borderId="0" xfId="0" applyFont="1" applyNumberFormat="1">
      <alignment vertical="center" wrapTex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54" fillId="0" borderId="14" xfId="0" applyFont="1" applyBorder="1" applyNumberFormat="1">
      <alignment horizontal="center" vertical="center" wrapText="1"/>
    </xf>
    <xf numFmtId="0" fontId="54"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54" fillId="0" borderId="16" xfId="0" applyFont="1" applyBorder="1" applyNumberFormat="1">
      <alignment horizontal="center" vertical="center" wrapText="1"/>
    </xf>
    <xf numFmtId="0" fontId="54" fillId="0" borderId="0" xfId="0" applyFont="1" applyNumberFormat="1">
      <alignment vertical="center" wrapText="1"/>
    </xf>
    <xf numFmtId="0" fontId="55" fillId="0" borderId="26" xfId="0" applyFont="1" applyBorder="1" applyNumberFormat="1">
      <alignment vertical="center" wrapText="1"/>
    </xf>
    <xf numFmtId="0" fontId="23" fillId="37" borderId="14" xfId="0" applyFont="1" applyFill="1" applyBorder="1" applyNumberFormat="1">
      <alignment horizontal="left" vertical="center" wrapText="1" indent="5"/>
    </xf>
    <xf numFmtId="0" fontId="23" fillId="43" borderId="14" xfId="0" applyFont="1" applyFill="1" applyBorder="1" applyNumberFormat="1">
      <alignment horizontal="left" vertical="center" wrapText="1" indent="6"/>
    </xf>
    <xf numFmtId="4" fontId="23" fillId="39" borderId="14" xfId="0" applyFont="1" applyFill="1" applyBorder="1" applyNumberFormat="1">
      <alignment horizontal="right" vertical="center" wrapText="1"/>
      <protection locked="0"/>
    </xf>
    <xf numFmtId="4" fontId="23" fillId="0" borderId="14" xfId="0" applyFont="1" applyBorder="1" applyNumberFormat="1">
      <alignment horizontal="right" vertical="center" wrapText="1"/>
    </xf>
    <xf numFmtId="164" fontId="23" fillId="39" borderId="14" xfId="0" applyFont="1" applyFill="1" applyBorder="1" applyNumberFormat="1">
      <alignment horizontal="right" vertical="center" wrapText="1"/>
      <protection locked="0"/>
    </xf>
    <xf numFmtId="167" fontId="0" fillId="42" borderId="14" xfId="0" applyFont="1" applyFill="1" applyBorder="1" applyNumberFormat="1">
      <alignment horizontal="center" vertical="center" wrapText="1"/>
      <protection locked="0"/>
    </xf>
    <xf numFmtId="0" fontId="53" fillId="0" borderId="19" xfId="0" applyFont="1" applyBorder="1" applyNumberFormat="1">
      <alignment horizontal="left" vertical="top" wrapText="1"/>
    </xf>
    <xf numFmtId="49" fontId="23" fillId="0" borderId="14" xfId="0" applyFont="1" applyBorder="1" applyNumberFormat="1">
      <alignment horizontal="left" vertical="center" wrapText="1"/>
    </xf>
    <xf numFmtId="4" fontId="55" fillId="0" borderId="14" xfId="0" applyFont="1" applyBorder="1" applyNumberFormat="1">
      <alignment horizontal="center" vertical="center" wrapText="1"/>
    </xf>
    <xf numFmtId="49" fontId="0" fillId="42" borderId="14" xfId="0" applyFont="1" applyFill="1" applyBorder="1" applyNumberFormat="1">
      <alignment horizontal="center" vertical="center" wrapText="1"/>
      <protection locked="0"/>
    </xf>
    <xf numFmtId="0" fontId="53" fillId="0" borderId="38" xfId="0" applyFont="1" applyBorder="1" applyNumberFormat="1">
      <alignment horizontal="left" vertical="top"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6"/>
    </xf>
    <xf numFmtId="49" fontId="23" fillId="40" borderId="15" xfId="0" applyFont="1" applyFill="1" applyBorder="1" applyNumberFormat="1">
      <alignment horizontal="center" vertical="center" wrapText="1"/>
    </xf>
    <xf numFmtId="0" fontId="53" fillId="0" borderId="25" xfId="0" applyFont="1" applyBorder="1" applyNumberFormat="1">
      <alignment horizontal="left" vertical="top" wrapText="1"/>
    </xf>
    <xf numFmtId="49" fontId="48" fillId="40" borderId="17" xfId="0" applyFont="1" applyFill="1" applyBorder="1" applyNumberFormat="1">
      <alignment horizontal="left" vertical="center" indent="5"/>
    </xf>
    <xf numFmtId="49" fontId="0" fillId="40" borderId="17" xfId="0" applyFont="1" applyFill="1" applyBorder="1" applyNumberFormat="1">
      <alignment horizontal="center" vertical="center" wrapText="1"/>
    </xf>
    <xf numFmtId="49" fontId="0" fillId="40" borderId="15" xfId="0" applyFont="1" applyFill="1" applyBorder="1" applyNumberFormat="1">
      <alignment horizontal="center" vertical="center" wrapText="1"/>
    </xf>
    <xf numFmtId="49" fontId="47" fillId="0" borderId="0" xfId="0" applyFont="1" applyNumberFormat="1">
      <alignment vertical="top"/>
    </xf>
    <xf numFmtId="49" fontId="48" fillId="40" borderId="17" xfId="0" applyFont="1" applyFill="1" applyBorder="1" applyNumberFormat="1">
      <alignment horizontal="left" vertical="center" indent="4"/>
    </xf>
    <xf numFmtId="0" fontId="55" fillId="0" borderId="0" xfId="0" applyFont="1" applyNumberFormat="1">
      <alignmen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49" fontId="23" fillId="0" borderId="0" xfId="0" applyFont="1" applyNumberFormat="1">
      <alignment vertical="center" wrapText="1"/>
    </xf>
    <xf numFmtId="4" fontId="54" fillId="0" borderId="14" xfId="0" applyFont="1" applyBorder="1" applyNumberFormat="1">
      <alignment horizontal="right" vertical="center" wrapText="1"/>
    </xf>
    <xf numFmtId="164" fontId="54" fillId="0" borderId="14" xfId="0" applyFont="1" applyBorder="1" applyNumberFormat="1">
      <alignment horizontal="right" vertical="center" wrapText="1"/>
    </xf>
    <xf numFmtId="167"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54"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54" fillId="0" borderId="14" xfId="0" applyFont="1" applyBorder="1" applyNumberFormat="1">
      <alignment vertical="center" wrapText="1"/>
    </xf>
    <xf numFmtId="0" fontId="74" fillId="0" borderId="0" xfId="0" applyFont="1" applyNumberFormat="1">
      <alignment vertical="center" wrapText="1"/>
    </xf>
    <xf numFmtId="0" fontId="54" fillId="0" borderId="0" xfId="0" applyFont="1" applyNumberFormat="1">
      <alignment horizontal="left" vertical="center" wrapText="1"/>
    </xf>
    <xf numFmtId="0" fontId="54" fillId="0" borderId="0" xfId="0" applyFont="1" applyNumberFormat="1">
      <alignment vertical="center" wrapText="1"/>
    </xf>
    <xf numFmtId="0" fontId="47" fillId="37" borderId="0" xfId="0" applyFont="1" applyFill="1" applyNumberFormat="1">
      <alignment vertical="center" wrapText="1"/>
    </xf>
    <xf numFmtId="0" fontId="23" fillId="37" borderId="0" xfId="0" applyFont="1" applyFill="1" applyNumberFormat="1">
      <alignment horizontal="left" vertical="center" wrapText="1"/>
    </xf>
    <xf numFmtId="0" fontId="23" fillId="37" borderId="0" xfId="0" applyFont="1" applyFill="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0" fillId="0" borderId="0" xfId="0" applyFont="1" applyNumberFormat="1">
      <alignment vertical="center"/>
    </xf>
    <xf numFmtId="0" fontId="54" fillId="0" borderId="0" xfId="0" applyFont="1" applyNumberFormat="1">
      <alignment vertical="center"/>
    </xf>
    <xf numFmtId="0" fontId="54" fillId="0" borderId="0" xfId="0" applyFont="1" applyNumberFormat="1">
      <alignment horizontal="center" vertical="center"/>
    </xf>
    <xf numFmtId="0" fontId="0" fillId="37" borderId="14" xfId="0" applyFont="1" applyFill="1" applyBorder="1" applyNumberFormat="1">
      <alignment horizontal="right" vertical="center" wrapText="1" indent="1"/>
    </xf>
    <xf numFmtId="0" fontId="0" fillId="0" borderId="17" xfId="0" applyFont="1" applyBorder="1" applyNumberFormat="1">
      <alignment vertical="center"/>
    </xf>
    <xf numFmtId="0" fontId="23" fillId="38" borderId="14" xfId="0" applyFont="1" applyFill="1" applyBorder="1" applyNumberFormat="1">
      <alignment horizontal="left" vertical="center" wrapText="1" indent="1"/>
    </xf>
    <xf numFmtId="0" fontId="23" fillId="0" borderId="0" xfId="0" applyFont="1" applyNumberFormat="1">
      <alignment vertical="center" wrapText="1"/>
    </xf>
    <xf numFmtId="0" fontId="73" fillId="0" borderId="0" xfId="0" applyFont="1" applyNumberFormat="1">
      <alignment vertical="center"/>
    </xf>
    <xf numFmtId="0" fontId="55" fillId="0" borderId="0" xfId="0" applyFont="1" applyNumberFormat="1">
      <alignment vertical="center"/>
    </xf>
    <xf numFmtId="167" fontId="23" fillId="38" borderId="14" xfId="0" applyFont="1" applyFill="1" applyBorder="1" applyNumberFormat="1">
      <alignment horizontal="left" vertical="center" wrapText="1" indent="1"/>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wrapText="1"/>
    </xf>
    <xf numFmtId="0" fontId="23" fillId="37" borderId="29" xfId="0" applyFont="1" applyFill="1" applyBorder="1" applyNumberFormat="1">
      <alignment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19" xfId="0" applyFont="1" applyBorder="1" applyNumberFormat="1">
      <alignmen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0" fontId="23" fillId="0" borderId="38" xfId="0" applyFont="1" applyBorder="1" applyNumberFormat="1">
      <alignment vertical="center" wrapText="1"/>
    </xf>
    <xf numFmtId="0" fontId="23" fillId="0" borderId="19" xfId="0" applyFont="1" applyBorder="1" applyNumberFormat="1">
      <alignment horizontal="center" vertical="center" wrapText="1"/>
    </xf>
    <xf numFmtId="0" fontId="54"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7" xfId="0" applyFont="1" applyBorder="1" applyNumberFormat="1">
      <alignment horizontal="center" vertical="center" wrapText="1"/>
    </xf>
    <xf numFmtId="0" fontId="23" fillId="37" borderId="38" xfId="0" applyFont="1" applyFill="1" applyBorder="1" applyNumberFormat="1">
      <alignment horizontal="center" vertical="center" wrapText="1"/>
    </xf>
    <xf numFmtId="49" fontId="48" fillId="40" borderId="38" xfId="0" applyFont="1" applyFill="1" applyBorder="1" applyNumberFormat="1">
      <alignment horizontal="center" vertical="center" textRotation="90" wrapText="1"/>
    </xf>
    <xf numFmtId="0" fontId="54" fillId="0" borderId="0" xfId="0" applyFont="1" applyNumberFormat="1">
      <alignment vertical="center"/>
    </xf>
    <xf numFmtId="0" fontId="23" fillId="0" borderId="25" xfId="0" applyFont="1" applyBorder="1" applyNumberFormat="1">
      <alignment vertical="center" wrapText="1"/>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8" fillId="40" borderId="25" xfId="0" applyFont="1" applyFill="1" applyBorder="1" applyNumberFormat="1">
      <alignment horizontal="center" vertical="center" textRotation="90" wrapText="1"/>
    </xf>
    <xf numFmtId="49" fontId="77" fillId="0" borderId="0" xfId="0" applyFont="1" applyNumberFormat="1">
      <alignment vertical="center" wrapText="1"/>
    </xf>
    <xf numFmtId="0" fontId="111" fillId="37" borderId="0" xfId="0" applyFont="1" applyFill="1" applyNumberFormat="1">
      <alignment vertical="center" wrapText="1"/>
    </xf>
    <xf numFmtId="0" fontId="112" fillId="37" borderId="0" xfId="0" applyFont="1" applyFill="1" applyNumberFormat="1">
      <alignment vertical="center" wrapText="1"/>
    </xf>
    <xf numFmtId="49" fontId="85" fillId="37" borderId="21" xfId="0" applyFont="1" applyFill="1" applyBorder="1" applyNumberFormat="1">
      <alignment horizontal="left" vertical="center" wrapText="1"/>
    </xf>
    <xf numFmtId="49" fontId="85" fillId="37" borderId="21" xfId="0" applyFont="1" applyFill="1" applyBorder="1" applyNumberFormat="1">
      <alignment horizontal="center" vertical="center" wrapText="1"/>
    </xf>
    <xf numFmtId="0" fontId="5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167" fontId="0" fillId="42" borderId="19" xfId="0" applyFont="1" applyFill="1" applyBorder="1" applyNumberFormat="1">
      <alignment horizontal="center" vertical="center" wrapText="1"/>
      <protection locked="0"/>
    </xf>
    <xf numFmtId="4" fontId="23" fillId="0" borderId="19" xfId="0" applyFont="1" applyBorder="1" applyNumberFormat="1">
      <alignment horizontal="right" vertical="center" wrapText="1"/>
    </xf>
    <xf numFmtId="49" fontId="23" fillId="0" borderId="14" xfId="0" applyFont="1" applyBorder="1" applyNumberFormat="1">
      <alignment horizontal="left" vertical="center" wrapText="1"/>
    </xf>
    <xf numFmtId="49" fontId="0" fillId="42" borderId="25" xfId="0" applyFont="1" applyFill="1" applyBorder="1" applyNumberFormat="1">
      <alignment horizontal="center" vertical="center" wrapText="1"/>
      <protection locked="0"/>
    </xf>
    <xf numFmtId="4" fontId="23" fillId="0" borderId="25" xfId="0" applyFont="1" applyBorder="1" applyNumberFormat="1">
      <alignment horizontal="right" vertical="center" wrapText="1"/>
    </xf>
    <xf numFmtId="0" fontId="55" fillId="0" borderId="0" xfId="0" applyFont="1" applyNumberFormat="1">
      <alignment horizontal="left" vertical="center" indent="1"/>
    </xf>
    <xf numFmtId="0" fontId="55" fillId="0" borderId="0" xfId="0" applyFont="1" applyNumberFormat="1">
      <alignment vertical="center" wrapText="1"/>
    </xf>
    <xf numFmtId="0" fontId="55" fillId="0" borderId="0" xfId="0" applyFont="1" applyNumberFormat="1">
      <alignment horizontal="center" vertical="center"/>
    </xf>
    <xf numFmtId="0" fontId="55" fillId="0" borderId="0" xfId="0" applyFont="1" applyNumberFormat="1">
      <alignment vertical="center" wrapText="1"/>
    </xf>
    <xf numFmtId="49" fontId="55" fillId="0" borderId="0" xfId="0" applyFont="1" applyNumberFormat="1">
      <alignment vertical="top"/>
    </xf>
    <xf numFmtId="49" fontId="112" fillId="0" borderId="0" xfId="0" applyFont="1" applyNumberFormat="1">
      <alignment vertical="top"/>
    </xf>
    <xf numFmtId="0" fontId="23" fillId="0" borderId="0" xfId="0" applyFont="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23" fillId="0" borderId="0" xfId="0" applyFont="1" applyNumberFormat="1">
      <alignment vertical="center" wrapText="1"/>
    </xf>
    <xf numFmtId="0" fontId="47" fillId="0" borderId="0" xfId="0" applyFont="1" applyNumberFormat="1">
      <alignment vertical="center" wrapText="1"/>
    </xf>
    <xf numFmtId="0" fontId="23" fillId="0" borderId="0" xfId="0" applyFont="1" applyNumberFormat="1">
      <alignment horizontal="left" vertical="center" wrapText="1"/>
    </xf>
    <xf numFmtId="0" fontId="23"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49" fontId="23" fillId="0" borderId="0" xfId="0" applyFont="1" applyNumberFormat="1">
      <alignment vertical="center" wrapText="1"/>
    </xf>
    <xf numFmtId="0" fontId="23" fillId="0" borderId="14" xfId="0" applyFont="1" applyBorder="1" applyNumberFormat="1">
      <alignment horizontal="center" vertical="center"/>
    </xf>
    <xf numFmtId="0" fontId="23" fillId="0" borderId="0" xfId="0" applyFont="1" applyNumberFormat="1">
      <alignment horizontal="center" vertical="center"/>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0" fontId="23" fillId="37" borderId="14" xfId="0" applyFont="1" applyFill="1" applyBorder="1" applyNumberFormat="1">
      <alignment horizontal="left" vertical="center" wrapText="1" indent="1"/>
    </xf>
    <xf numFmtId="0" fontId="23"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vertical="center" wrapText="1"/>
    </xf>
    <xf numFmtId="49" fontId="23" fillId="0" borderId="14" xfId="0" applyFont="1" applyBorder="1" applyNumberFormat="1">
      <alignment horizontal="left" vertical="center" wrapText="1"/>
    </xf>
    <xf numFmtId="0" fontId="55" fillId="0" borderId="0" xfId="0" applyFont="1" applyNumberFormat="1">
      <alignment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77" fillId="0" borderId="0" xfId="0" applyFont="1" applyNumberFormat="1">
      <alignment horizontal="left" vertical="center" wrapText="1"/>
    </xf>
    <xf numFmtId="0" fontId="77" fillId="0" borderId="0" xfId="0" applyFont="1" applyNumberFormat="1">
      <alignment vertical="center" wrapText="1"/>
    </xf>
    <xf numFmtId="0" fontId="55" fillId="0" borderId="0" xfId="0" applyFont="1" applyNumberFormat="1">
      <alignment vertical="center"/>
    </xf>
    <xf numFmtId="49" fontId="77" fillId="0" borderId="0" xfId="0" applyFont="1" applyNumberFormat="1">
      <alignment horizontal="left" vertical="center"/>
    </xf>
    <xf numFmtId="0" fontId="54" fillId="0" borderId="0" xfId="0" applyFont="1" applyNumberFormat="1">
      <alignment vertical="center" wrapText="1"/>
    </xf>
    <xf numFmtId="0" fontId="23" fillId="0" borderId="0" xfId="0" applyFont="1" applyNumberFormat="1">
      <alignment horizontal="center" vertical="center" wrapText="1"/>
    </xf>
    <xf numFmtId="49" fontId="23" fillId="0" borderId="0" xfId="0" applyFont="1" applyNumberFormat="1">
      <alignment vertical="center" wrapText="1"/>
    </xf>
    <xf numFmtId="49" fontId="23" fillId="0" borderId="14" xfId="0" applyFont="1" applyBorder="1" applyNumberFormat="1">
      <alignment vertical="center" wrapText="1"/>
    </xf>
    <xf numFmtId="0" fontId="23" fillId="0" borderId="0" xfId="0" applyFont="1" applyNumberFormat="1">
      <alignment vertical="center"/>
    </xf>
    <xf numFmtId="0" fontId="23" fillId="0" borderId="0" xfId="0" applyFont="1" applyNumberFormat="1">
      <alignment horizontal="center" vertical="center"/>
    </xf>
    <xf numFmtId="0" fontId="23" fillId="0" borderId="0" xfId="0" applyFont="1" applyNumberFormat="1">
      <alignment horizontal="right" vertical="center" wrapText="1"/>
    </xf>
    <xf numFmtId="0" fontId="55" fillId="0" borderId="0" xfId="0" applyFont="1" applyNumberFormat="1">
      <alignment vertical="center" wrapText="1"/>
    </xf>
    <xf numFmtId="0" fontId="23" fillId="0" borderId="19" xfId="0" applyFont="1" applyBorder="1" applyNumberFormat="1">
      <alignment vertical="center" wrapText="1"/>
    </xf>
    <xf numFmtId="0" fontId="0" fillId="0" borderId="14" xfId="0" applyFont="1" applyBorder="1" applyNumberFormat="1">
      <alignment horizontal="center" vertical="center" wrapText="1"/>
    </xf>
    <xf numFmtId="0" fontId="77" fillId="0" borderId="0" xfId="0" applyFont="1" applyNumberFormat="1">
      <alignment vertical="center" wrapText="1"/>
    </xf>
    <xf numFmtId="0" fontId="85" fillId="37" borderId="21" xfId="0" applyFont="1" applyFill="1" applyBorder="1" applyNumberFormat="1">
      <alignment horizontal="center" vertical="center" wrapText="1"/>
    </xf>
    <xf numFmtId="0" fontId="77" fillId="0" borderId="0" xfId="0" applyFont="1" applyNumberFormat="1">
      <alignment horizontal="left" vertical="center" indent="1"/>
    </xf>
    <xf numFmtId="0" fontId="55" fillId="0" borderId="0" xfId="0" applyFont="1" applyNumberFormat="1">
      <alignment vertical="center" wrapText="1"/>
    </xf>
    <xf numFmtId="0" fontId="77" fillId="0" borderId="0" xfId="0" applyFont="1" applyNumberFormat="1">
      <alignment horizontal="center" vertical="center"/>
    </xf>
    <xf numFmtId="0" fontId="23" fillId="0" borderId="0" xfId="0" applyFont="1" applyNumberFormat="1">
      <alignment vertical="center" wrapText="1"/>
    </xf>
    <xf numFmtId="0" fontId="23" fillId="0" borderId="0" xfId="0" applyFont="1" applyNumberFormat="1">
      <alignment horizontal="center" vertical="center" wrapText="1"/>
    </xf>
    <xf numFmtId="49" fontId="23" fillId="0" borderId="0" xfId="0" applyFont="1" applyNumberFormat="1">
      <alignment vertical="center" wrapText="1"/>
    </xf>
    <xf numFmtId="0" fontId="23" fillId="0" borderId="0" xfId="0" applyFont="1" applyNumberFormat="1">
      <alignment horizontal="left" vertical="center" indent="1"/>
    </xf>
    <xf numFmtId="49" fontId="23" fillId="0" borderId="0" xfId="0" applyFont="1" applyNumberFormat="1">
      <alignment horizontal="left" vertical="center"/>
    </xf>
    <xf numFmtId="164" fontId="23" fillId="0" borderId="14" xfId="0" applyFont="1" applyBorder="1" applyNumberFormat="1">
      <alignment horizontal="right" vertical="center" wrapText="1"/>
    </xf>
    <xf numFmtId="0" fontId="0" fillId="37" borderId="21" xfId="0" applyFont="1" applyFill="1" applyBorder="1" applyNumberFormat="1">
      <alignment horizontal="center" vertical="center" wrapText="1"/>
    </xf>
    <xf numFmtId="0" fontId="55"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55" fillId="0" borderId="14" xfId="0" applyFont="1" applyBorder="1" applyNumberFormat="1">
      <alignment vertical="center" wrapText="1"/>
    </xf>
    <xf numFmtId="0" fontId="23" fillId="0" borderId="0" xfId="0" applyFont="1" applyNumberFormat="1">
      <alignment vertical="center"/>
    </xf>
    <xf numFmtId="0" fontId="55" fillId="0" borderId="25" xfId="0" applyFont="1" applyBorder="1" applyNumberFormat="1">
      <alignment horizontal="center" vertical="center" wrapText="1"/>
    </xf>
    <xf numFmtId="0" fontId="23" fillId="0" borderId="32" xfId="0" applyFont="1" applyBorder="1" applyNumberFormat="1">
      <alignment horizontal="center" vertical="center" wrapText="1"/>
    </xf>
    <xf numFmtId="0" fontId="55"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0" xfId="0" applyFont="1" applyFill="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9" fontId="55" fillId="0" borderId="0" xfId="0" applyFont="1" applyNumberFormat="1">
      <alignment vertical="center" wrapText="1"/>
    </xf>
    <xf numFmtId="0" fontId="0" fillId="0" borderId="0" xfId="0" applyFont="1" applyNumberFormat="1">
      <alignment horizontal="left" vertical="top" wrapText="1"/>
    </xf>
    <xf numFmtId="0" fontId="54" fillId="0" borderId="0" xfId="0" applyFont="1" applyNumberFormat="1">
      <alignment vertical="top" wrapText="1"/>
    </xf>
    <xf numFmtId="0" fontId="23" fillId="0" borderId="21" xfId="0" applyFont="1" applyBorder="1" applyNumberFormat="1">
      <alignment horizontal="left" vertical="center" wrapText="1" indent="1"/>
    </xf>
    <xf numFmtId="0" fontId="23" fillId="0" borderId="0" xfId="0" applyFont="1" applyNumberFormat="1">
      <alignment horizontal="left" vertical="center" wrapText="1"/>
    </xf>
    <xf numFmtId="0" fontId="23" fillId="43" borderId="22" xfId="0" applyFont="1" applyFill="1" applyBorder="1" applyNumberFormat="1">
      <alignment horizontal="left" vertical="center" wrapText="1"/>
    </xf>
    <xf numFmtId="0" fontId="23" fillId="0" borderId="0" xfId="0" applyFont="1" applyNumberFormat="1">
      <alignment horizontal="center" vertical="center" wrapText="1"/>
    </xf>
    <xf numFmtId="164" fontId="23" fillId="39" borderId="16" xfId="0" applyFont="1" applyFill="1" applyBorder="1" applyNumberFormat="1">
      <alignment horizontal="right" vertical="center" wrapText="1"/>
      <protection locked="0"/>
    </xf>
    <xf numFmtId="4" fontId="23" fillId="39" borderId="15" xfId="0" applyFont="1" applyFill="1" applyBorder="1" applyNumberFormat="1">
      <alignment horizontal="right" vertical="center" wrapText="1"/>
      <protection locked="0"/>
    </xf>
    <xf numFmtId="0" fontId="53" fillId="0" borderId="19" xfId="0" applyFont="1" applyBorder="1" applyNumberFormat="1">
      <alignment vertical="top" wrapText="1"/>
    </xf>
    <xf numFmtId="0" fontId="23" fillId="39" borderId="14" xfId="0" applyFont="1" applyFill="1" applyBorder="1" applyNumberFormat="1">
      <alignment horizontal="left" vertical="center" wrapText="1" indent="7"/>
      <protection locked="0"/>
    </xf>
    <xf numFmtId="49" fontId="0" fillId="42" borderId="14" xfId="0" applyFont="1" applyFill="1" applyBorder="1" applyNumberFormat="1">
      <alignment horizontal="center" vertical="center" wrapText="1"/>
      <protection locked="0"/>
    </xf>
    <xf numFmtId="4" fontId="55" fillId="0" borderId="16" xfId="0" applyFont="1" applyBorder="1" applyNumberFormat="1">
      <alignment horizontal="center" vertical="center" wrapText="1"/>
    </xf>
    <xf numFmtId="4" fontId="23" fillId="0" borderId="15" xfId="0" applyFont="1" applyBorder="1" applyNumberFormat="1">
      <alignment horizontal="right" vertical="center" wrapText="1"/>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9" fontId="23" fillId="40" borderId="29"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7"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61" fillId="0" borderId="0" xfId="0" applyFont="1" applyNumberFormat="1">
      <alignment vertical="center" wrapText="1"/>
    </xf>
    <xf numFmtId="0" fontId="55" fillId="0" borderId="14" xfId="0" applyFont="1" applyBorder="1" applyNumberFormat="1">
      <alignment horizontal="left" vertical="center" wrapText="1" indent="5"/>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45"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23" fillId="0" borderId="14" xfId="0" applyFont="1" applyBorder="1" applyNumberFormat="1">
      <alignment horizontal="left" vertical="center" wrapText="1" indent="4"/>
    </xf>
    <xf numFmtId="49" fontId="23" fillId="37" borderId="14" xfId="0" applyFont="1" applyFill="1" applyBorder="1" applyNumberFormat="1">
      <alignment horizontal="center" vertical="center" wrapText="1"/>
    </xf>
    <xf numFmtId="0" fontId="23" fillId="43" borderId="14" xfId="0" applyFont="1" applyFill="1" applyBorder="1" applyNumberFormat="1">
      <alignment horizontal="left" vertical="center" wrapText="1" indent="1"/>
    </xf>
    <xf numFmtId="167"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23" fillId="37" borderId="38" xfId="0" applyFont="1" applyFill="1" applyBorder="1" applyNumberFormat="1">
      <alignment horizontal="left" vertical="center" wrapText="1"/>
    </xf>
    <xf numFmtId="49" fontId="23" fillId="42" borderId="38" xfId="0" applyFont="1" applyFill="1" applyBorder="1" applyNumberFormat="1">
      <alignment horizontal="left" vertical="center" wrapText="1" indent="6"/>
      <protection locked="0"/>
    </xf>
    <xf numFmtId="164" fontId="23" fillId="40" borderId="15" xfId="0" applyFont="1" applyFill="1" applyBorder="1" applyNumberFormat="1">
      <alignment horizontal="right" vertical="center" wrapText="1"/>
    </xf>
    <xf numFmtId="49" fontId="48" fillId="40" borderId="16" xfId="0" applyFont="1" applyFill="1" applyBorder="1" applyNumberFormat="1">
      <alignment horizontal="left" vertical="center"/>
    </xf>
    <xf numFmtId="164" fontId="23" fillId="40" borderId="17" xfId="0" applyFont="1" applyFill="1" applyBorder="1" applyNumberFormat="1">
      <alignment horizontal="right" vertical="center" wrapText="1"/>
    </xf>
    <xf numFmtId="4" fontId="23" fillId="0" borderId="38" xfId="0" applyFont="1" applyBorder="1" applyNumberFormat="1">
      <alignment horizontal="right" vertical="center" wrapText="1"/>
    </xf>
    <xf numFmtId="49" fontId="48" fillId="40" borderId="16" xfId="0" applyFont="1" applyFill="1" applyBorder="1" applyNumberFormat="1">
      <alignment horizontal="left" vertical="center" indent="1"/>
    </xf>
    <xf numFmtId="0" fontId="23" fillId="37" borderId="25" xfId="0" applyFont="1" applyFill="1" applyBorder="1" applyNumberFormat="1">
      <alignment horizontal="left" vertical="center" wrapText="1"/>
    </xf>
    <xf numFmtId="49" fontId="23" fillId="42" borderId="25" xfId="0" applyFont="1" applyFill="1" applyBorder="1" applyNumberFormat="1">
      <alignment horizontal="left" vertical="center" wrapText="1" indent="6"/>
      <protection locked="0"/>
    </xf>
    <xf numFmtId="4" fontId="55" fillId="40" borderId="15" xfId="0" applyFont="1" applyFill="1" applyBorder="1" applyNumberFormat="1">
      <alignment horizontal="center"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55" fillId="0" borderId="26" xfId="0" applyFont="1" applyBorder="1" applyNumberFormat="1">
      <alignment vertical="top"/>
    </xf>
    <xf numFmtId="0" fontId="116" fillId="0" borderId="0" xfId="0" applyFont="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26" xfId="0" applyFont="1" applyBorder="1" applyNumberFormat="1">
      <alignment horizontal="left" vertical="center" wrapText="1" indent="1"/>
    </xf>
    <xf numFmtId="4" fontId="55" fillId="0" borderId="14" xfId="0" applyFont="1" applyBorder="1" applyNumberFormat="1">
      <alignment horizontal="right" vertical="center" wrapText="1"/>
    </xf>
    <xf numFmtId="164" fontId="55" fillId="0" borderId="14" xfId="0" applyFont="1" applyBorder="1" applyNumberFormat="1">
      <alignment horizontal="right" vertical="center" wrapText="1"/>
    </xf>
    <xf numFmtId="167"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left" vertical="center"/>
    </xf>
    <xf numFmtId="49" fontId="54" fillId="0" borderId="0" xfId="0" applyFont="1" applyNumberFormat="1">
      <alignment horizontal="left" vertical="center"/>
    </xf>
    <xf numFmtId="0" fontId="54" fillId="0" borderId="0" xfId="0" applyFont="1" applyNumberFormat="1">
      <alignment horizontal="left" vertical="center"/>
    </xf>
    <xf numFmtId="0" fontId="74" fillId="0" borderId="0" xfId="0" applyFont="1" applyNumberFormat="1">
      <alignment horizontal="left" vertical="center"/>
    </xf>
    <xf numFmtId="0" fontId="54" fillId="0" borderId="0" xfId="0" applyFont="1" applyNumberFormat="1">
      <alignment horizontal="left" vertical="center"/>
    </xf>
    <xf numFmtId="0" fontId="55" fillId="0" borderId="0" xfId="0" applyFont="1" applyNumberFormat="1">
      <alignment horizontal="left" vertical="center"/>
    </xf>
    <xf numFmtId="0" fontId="74" fillId="37" borderId="0" xfId="0" applyFont="1" applyFill="1" applyNumberFormat="1">
      <alignment vertical="center" wrapText="1"/>
    </xf>
    <xf numFmtId="0" fontId="23" fillId="37" borderId="3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23" fillId="37" borderId="24"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26"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23" fillId="0" borderId="14" xfId="0" applyFont="1" applyBorder="1" applyNumberFormat="1">
      <alignment horizontal="left" vertical="center" wrapText="1" indent="1"/>
    </xf>
    <xf numFmtId="0" fontId="23" fillId="0" borderId="14" xfId="0" applyFont="1" applyBorder="1" applyNumberFormat="1">
      <alignment horizontal="left" vertical="center" wrapText="1" indent="1"/>
    </xf>
    <xf numFmtId="49" fontId="23" fillId="40" borderId="16" xfId="0" applyFont="1" applyFill="1" applyBorder="1" applyNumberFormat="1">
      <alignment horizontal="center" vertical="center" wrapText="1"/>
    </xf>
    <xf numFmtId="49" fontId="77" fillId="0" borderId="26" xfId="0" applyFont="1" applyBorder="1" applyNumberFormat="1">
      <alignment vertical="top"/>
    </xf>
    <xf numFmtId="0" fontId="23" fillId="0" borderId="0" xfId="0" applyFont="1" applyNumberFormat="1">
      <alignment horizontal="left" vertical="top" wrapText="1"/>
    </xf>
    <xf numFmtId="0" fontId="74"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pplyNumberFormat="1">
      <alignment horizontal="left" vertical="top" wrapText="1"/>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49" fontId="48" fillId="40" borderId="17" xfId="0" applyFont="1" applyFill="1" applyBorder="1" applyNumberFormat="1">
      <alignment horizontal="left" vertical="center" indent="3"/>
    </xf>
    <xf numFmtId="0" fontId="55" fillId="0" borderId="0" xfId="0" applyFont="1" applyNumberFormat="1">
      <alignment horizontal="center" vertical="center"/>
    </xf>
    <xf numFmtId="0" fontId="54" fillId="0" borderId="0" xfId="0" applyFont="1" applyNumberFormat="1">
      <alignment horizontal="center" vertical="center" wrapText="1"/>
    </xf>
    <xf numFmtId="0" fontId="115" fillId="0" borderId="0" xfId="0" applyFont="1" applyNumberFormat="1">
      <alignment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23" fillId="38" borderId="17" xfId="0" applyFont="1" applyFill="1" applyBorder="1" applyNumberFormat="1">
      <alignment horizontal="left" vertical="center" wrapText="1"/>
    </xf>
    <xf numFmtId="0" fontId="54" fillId="0" borderId="0" xfId="0" applyFont="1" applyNumberFormat="1">
      <alignment horizontal="center" vertical="center" wrapText="1"/>
    </xf>
    <xf numFmtId="0" fontId="55" fillId="0" borderId="17" xfId="0" applyFont="1" applyBorder="1" applyNumberFormat="1">
      <alignment horizontal="left" vertical="center" wrapText="1"/>
    </xf>
    <xf numFmtId="49" fontId="23" fillId="43" borderId="14" xfId="0" applyFont="1" applyFill="1" applyBorder="1" applyNumberFormat="1">
      <alignment horizontal="center" vertical="center" wrapText="1"/>
    </xf>
    <xf numFmtId="167" fontId="0" fillId="42" borderId="14" xfId="0" applyFont="1" applyFill="1" applyBorder="1" applyNumberFormat="1">
      <alignment horizontal="center" vertical="center" wrapText="1"/>
      <protection locked="0"/>
    </xf>
    <xf numFmtId="49" fontId="23" fillId="43" borderId="17"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77" fillId="0" borderId="0" xfId="0" applyFont="1" applyNumberFormat="1">
      <alignment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45" fillId="0" borderId="29" xfId="0" applyFont="1" applyBorder="1" applyNumberFormat="1">
      <alignment horizontal="center" vertical="center" wrapText="1"/>
    </xf>
    <xf numFmtId="0" fontId="23" fillId="42" borderId="15"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0" fontId="55" fillId="0" borderId="0" xfId="0" applyFont="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23" fillId="39" borderId="38" xfId="0" applyFont="1" applyFill="1" applyBorder="1" applyNumberFormat="1">
      <alignment horizontal="left" vertical="center" wrapText="1" indent="6"/>
      <protection locked="0"/>
    </xf>
    <xf numFmtId="49" fontId="23" fillId="43" borderId="31" xfId="0" applyFont="1" applyFill="1" applyBorder="1" applyNumberFormat="1">
      <alignment horizontal="center" vertical="center" wrapText="1"/>
    </xf>
    <xf numFmtId="49" fontId="48" fillId="40" borderId="29" xfId="0" applyFont="1" applyFill="1" applyBorder="1" applyNumberFormat="1">
      <alignment horizontal="left" vertical="center"/>
    </xf>
    <xf numFmtId="49" fontId="23" fillId="39" borderId="25" xfId="0" applyFont="1" applyFill="1" applyBorder="1" applyNumberFormat="1">
      <alignment horizontal="left" vertical="center" wrapText="1" indent="6"/>
      <protection locked="0"/>
    </xf>
    <xf numFmtId="0" fontId="55" fillId="0" borderId="0" xfId="0" applyFont="1" applyNumberFormat="1">
      <alignment horizontal="center" vertical="center"/>
    </xf>
    <xf numFmtId="0" fontId="55" fillId="0" borderId="0" xfId="0" applyFont="1" applyNumberFormat="1">
      <alignment horizontal="left" vertical="center" wrapText="1" indent="1"/>
    </xf>
    <xf numFmtId="0" fontId="23" fillId="37" borderId="14" xfId="0" applyFont="1" applyFill="1" applyBorder="1" applyNumberFormat="1">
      <alignment horizontal="center" vertical="center" wrapText="1"/>
    </xf>
    <xf numFmtId="0" fontId="55" fillId="0" borderId="21" xfId="0" applyFont="1" applyBorder="1" applyNumberFormat="1">
      <alignment horizontal="left" vertical="center" wrapText="1"/>
    </xf>
    <xf numFmtId="0" fontId="23" fillId="0" borderId="0" xfId="0" applyFont="1" applyNumberFormat="1">
      <alignment horizontal="left" vertical="top" wrapText="1"/>
    </xf>
    <xf numFmtId="0" fontId="54" fillId="0" borderId="0" xfId="0" applyFont="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49" fontId="23" fillId="43"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55" fillId="0" borderId="14"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center" wrapText="1"/>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4" fontId="23" fillId="39" borderId="14" xfId="0" applyFont="1" applyFill="1" applyBorder="1" applyNumberFormat="1">
      <alignment horizontal="right" vertical="center" wrapText="1"/>
      <protection locked="0"/>
    </xf>
    <xf numFmtId="167"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 fontId="23" fillId="0" borderId="14" xfId="0" applyFont="1" applyBorder="1" applyNumberFormat="1">
      <alignment horizontal="right" vertical="center" wrapText="1"/>
    </xf>
    <xf numFmtId="49" fontId="0" fillId="42" borderId="14" xfId="0" applyFont="1" applyFill="1" applyBorder="1" applyNumberFormat="1">
      <alignment horizontal="center" vertical="center" wrapText="1"/>
      <protection locked="0"/>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40" borderId="17" xfId="0" applyFont="1" applyFill="1" applyBorder="1" applyNumberFormat="1">
      <alignment horizontal="center" vertical="center" wrapText="1"/>
    </xf>
    <xf numFmtId="49" fontId="55" fillId="0" borderId="0" xfId="0" applyFont="1" applyNumberFormat="1">
      <alignment horizontal="center" vertical="center" wrapText="1"/>
    </xf>
    <xf numFmtId="0" fontId="54" fillId="0" borderId="0" xfId="0" applyFont="1" applyNumberFormat="1">
      <alignment vertical="center" wrapText="1"/>
    </xf>
    <xf numFmtId="49" fontId="54" fillId="0" borderId="14" xfId="0" applyFont="1" applyBorder="1" applyNumberFormat="1">
      <alignment vertical="center" wrapText="1"/>
    </xf>
    <xf numFmtId="0" fontId="54" fillId="0" borderId="0" xfId="0" applyFont="1" applyNumberFormat="1">
      <alignment vertical="center"/>
    </xf>
    <xf numFmtId="0" fontId="23" fillId="0" borderId="21" xfId="0" applyFont="1" applyBorder="1" applyNumberFormat="1">
      <alignment horizontal="left" vertical="top" wrapText="1" inden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23" fillId="38" borderId="14" xfId="0" applyFont="1" applyFill="1" applyBorder="1" applyNumberFormat="1">
      <alignment horizontal="left" vertical="center" wrapText="1" indent="1"/>
    </xf>
    <xf numFmtId="167" fontId="23" fillId="38" borderId="14" xfId="0" applyFont="1" applyFill="1" applyBorder="1" applyNumberFormat="1">
      <alignment horizontal="left" vertical="center" wrapText="1" indent="1"/>
    </xf>
    <xf numFmtId="0" fontId="55" fillId="0" borderId="0" xfId="0" applyFont="1" applyNumberFormat="1">
      <alignment vertical="center" wrapText="1"/>
    </xf>
    <xf numFmtId="0" fontId="45" fillId="0" borderId="29" xfId="0" applyFont="1" applyBorder="1" applyNumberFormat="1">
      <alignment horizontal="center" vertical="center" wrapText="1"/>
    </xf>
    <xf numFmtId="0" fontId="23" fillId="0" borderId="14" xfId="0" applyFont="1" applyBorder="1" applyNumberFormat="1">
      <alignment horizontal="center" vertical="center" wrapText="1"/>
    </xf>
    <xf numFmtId="0" fontId="0" fillId="37" borderId="16" xfId="0" applyFont="1" applyFill="1" applyBorder="1" applyNumberFormat="1">
      <alignment horizontal="center" vertical="center" wrapText="1"/>
    </xf>
    <xf numFmtId="0" fontId="0" fillId="37" borderId="21"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23"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23" fillId="0" borderId="39"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37" borderId="38" xfId="0" applyFont="1" applyFill="1" applyBorder="1" applyNumberFormat="1">
      <alignment horizontal="center" vertical="center" wrapText="1"/>
    </xf>
    <xf numFmtId="0" fontId="54" fillId="0" borderId="0" xfId="0" applyFont="1" applyNumberFormat="1">
      <alignment horizontal="center" vertical="center" wrapText="1"/>
    </xf>
    <xf numFmtId="0" fontId="23" fillId="0" borderId="32"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0" xfId="0" applyFont="1" applyFill="1" applyNumberFormat="1">
      <alignment horizontal="center" vertical="center" wrapText="1"/>
    </xf>
    <xf numFmtId="167" fontId="0" fillId="42" borderId="19" xfId="0" applyFont="1" applyFill="1" applyBorder="1" applyNumberFormat="1">
      <alignment horizontal="center" vertical="center" wrapText="1"/>
      <protection locked="0"/>
    </xf>
    <xf numFmtId="49" fontId="0" fillId="42" borderId="25" xfId="0" applyFont="1" applyFill="1" applyBorder="1" applyNumberFormat="1">
      <alignment horizontal="center" vertical="center" wrapText="1"/>
      <protection locked="0"/>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40" borderId="17" xfId="0" applyFont="1" applyFill="1" applyBorder="1" applyNumberFormat="1">
      <alignment horizontal="center" vertical="center" wrapText="1"/>
    </xf>
    <xf numFmtId="0" fontId="23" fillId="0" borderId="0" xfId="0" applyFont="1" applyNumberFormat="1">
      <alignment horizontal="left" vertical="top" wrapText="1"/>
    </xf>
    <xf numFmtId="0" fontId="54" fillId="0" borderId="0" xfId="0" applyFont="1" applyNumberFormat="1">
      <alignment horizontal="center" vertical="center" wrapText="1"/>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4" fontId="23" fillId="37" borderId="14" xfId="0" applyFont="1" applyFill="1" applyBorder="1" applyNumberFormat="1">
      <alignment horizontal="left" vertical="center" wrapText="1" indent="1"/>
    </xf>
    <xf numFmtId="49" fontId="23" fillId="37" borderId="14" xfId="0" applyFont="1" applyFill="1" applyBorder="1" applyNumberFormat="1">
      <alignment horizontal="left" vertical="center" wrapText="1" indent="1"/>
    </xf>
    <xf numFmtId="4" fontId="23" fillId="37" borderId="14" xfId="0" applyFont="1" applyFill="1" applyBorder="1" applyNumberFormat="1">
      <alignment horizontal="center" vertical="center" wrapText="1"/>
    </xf>
    <xf numFmtId="49" fontId="23" fillId="37" borderId="14" xfId="0" applyFont="1" applyFill="1" applyBorder="1" applyNumberFormat="1">
      <alignment horizontal="left" vertical="center" wrapText="1" indent="1"/>
    </xf>
    <xf numFmtId="167" fontId="0" fillId="42" borderId="14" xfId="0" applyFont="1" applyFill="1" applyBorder="1" applyNumberFormat="1">
      <alignment horizontal="center" vertical="center" wrapText="1"/>
      <protection locked="0"/>
    </xf>
    <xf numFmtId="49" fontId="55"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0" fontId="23" fillId="0" borderId="14" xfId="0" applyFont="1" applyBorder="1" applyNumberFormat="1">
      <alignment horizontal="center" vertical="center" wrapText="1"/>
    </xf>
    <xf numFmtId="0" fontId="23" fillId="0" borderId="14" xfId="0" applyFont="1" applyBorder="1" applyNumberFormat="1">
      <alignment vertical="center" wrapText="1"/>
    </xf>
    <xf numFmtId="0" fontId="89" fillId="0" borderId="0" xfId="0" applyFont="1" applyNumberFormat="1">
      <alignment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4" fontId="23" fillId="39" borderId="14" xfId="0" applyFont="1" applyFill="1" applyBorder="1" applyNumberFormat="1">
      <alignment horizontal="right" vertical="center" wrapText="1"/>
      <protection locked="0"/>
    </xf>
    <xf numFmtId="0" fontId="23" fillId="39" borderId="14" xfId="0" applyFont="1" applyFill="1" applyBorder="1" applyNumberFormat="1">
      <alignment horizontal="left" vertical="center" wrapText="1"/>
      <protection locked="0"/>
    </xf>
    <xf numFmtId="49" fontId="96" fillId="0" borderId="0" xfId="0" applyFont="1" applyNumberFormat="1">
      <alignment horizontal="center" vertical="center" wrapText="1"/>
    </xf>
    <xf numFmtId="49" fontId="23" fillId="0" borderId="0" xfId="0" applyFont="1" applyNumberFormat="1">
      <alignment horizontal="center" vertical="top" wrapText="1"/>
    </xf>
    <xf numFmtId="0" fontId="23" fillId="0" borderId="14" xfId="0" applyFont="1" applyBorder="1" applyNumberFormat="1">
      <alignment horizontal="center" vertical="center" wrapText="1"/>
    </xf>
    <xf numFmtId="0" fontId="23" fillId="0" borderId="15" xfId="0" applyFont="1" applyBorder="1" applyNumberFormat="1">
      <alignment vertical="top" wrapText="1"/>
    </xf>
    <xf numFmtId="0" fontId="59" fillId="0" borderId="0" xfId="0" applyFont="1" applyNumberFormat="1">
      <alignment vertical="center" wrapText="1"/>
    </xf>
    <xf numFmtId="0" fontId="23" fillId="0" borderId="15" xfId="0" applyFont="1" applyBorder="1" applyNumberFormat="1">
      <alignment horizontal="center" vertical="center" wrapText="1"/>
    </xf>
    <xf numFmtId="166" fontId="23" fillId="39" borderId="14" xfId="0" applyFont="1" applyFill="1" applyBorder="1" applyNumberFormat="1">
      <alignment horizontal="right" vertical="center" wrapText="1"/>
      <protection locked="0"/>
    </xf>
    <xf numFmtId="0" fontId="23" fillId="0" borderId="22" xfId="0" applyFont="1" applyBorder="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2" fillId="0" borderId="0" xfId="0" applyFont="1" applyNumberFormat="1">
      <alignment vertical="center" wrapText="1"/>
    </xf>
    <xf numFmtId="0" fontId="23" fillId="0" borderId="0" xfId="0" applyFont="1" applyNumberFormat="1">
      <alignment horizontal="left" vertical="center" wrapText="1" indent="3"/>
    </xf>
    <xf numFmtId="0" fontId="102" fillId="37" borderId="0" xfId="0" applyFont="1" applyFill="1" applyNumberFormat="1">
      <alignment horizontal="right" vertical="center"/>
    </xf>
    <xf numFmtId="0" fontId="23" fillId="0" borderId="16" xfId="0" applyFont="1" applyBorder="1" applyNumberFormat="1">
      <alignment vertical="center"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38" borderId="16" xfId="0" applyFont="1" applyFill="1" applyBorder="1" applyNumberFormat="1">
      <alignment horizontal="left" vertical="top" wrapTex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0" fontId="23" fillId="0" borderId="14" xfId="0" applyFont="1" applyBorder="1" applyNumberFormat="1">
      <alignment horizontal="center" vertical="center" wrapText="1"/>
    </xf>
    <xf numFmtId="4" fontId="23" fillId="42" borderId="14" xfId="0" applyFont="1" applyFill="1" applyBorder="1" applyNumberFormat="1">
      <alignment horizontal="right" vertical="center" wrapText="1"/>
      <protection locked="0"/>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center" wrapText="1" inden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77" fillId="0" borderId="0" xfId="0" applyFont="1" applyNumberFormat="1">
      <alignment horizontal="center" vertical="center" wrapText="1"/>
    </xf>
    <xf numFmtId="49" fontId="77" fillId="0" borderId="30" xfId="0" applyFont="1" applyBorder="1" applyNumberFormat="1">
      <alignment horizontal="center" vertical="center" wrapText="1"/>
    </xf>
    <xf numFmtId="0" fontId="77" fillId="0" borderId="14" xfId="0" applyFont="1" applyBorder="1" applyNumberFormat="1">
      <alignment horizontal="left" vertical="center" wrapText="1" indent="2"/>
    </xf>
    <xf numFmtId="0" fontId="77" fillId="0" borderId="14" xfId="0" applyFont="1" applyBorder="1" applyNumberFormat="1">
      <alignment horizontal="center" vertical="center" wrapText="1"/>
    </xf>
    <xf numFmtId="0" fontId="77" fillId="0" borderId="14" xfId="0" applyFont="1" applyBorder="1" applyNumberFormat="1">
      <alignment vertical="center" wrapText="1"/>
    </xf>
    <xf numFmtId="0" fontId="90" fillId="0" borderId="0" xfId="0" applyFont="1" applyNumberFormat="1">
      <alignment vertical="center" wrapText="1"/>
    </xf>
    <xf numFmtId="0" fontId="68" fillId="0" borderId="0" xfId="0" applyFont="1" applyNumberFormat="1">
      <alignment vertical="center" wrapText="1"/>
    </xf>
    <xf numFmtId="0" fontId="77" fillId="0" borderId="30" xfId="0" applyFont="1" applyBorder="1" applyNumberFormat="1">
      <alignment horizontal="center" vertical="center" wrapText="1"/>
    </xf>
    <xf numFmtId="0" fontId="77" fillId="0" borderId="14" xfId="0" applyFont="1" applyBorder="1" applyNumberFormat="1">
      <alignment horizontal="left" vertical="center" wrapText="1" indent="3"/>
    </xf>
    <xf numFmtId="4" fontId="77" fillId="0" borderId="14" xfId="0" applyFont="1" applyBorder="1" applyNumberFormat="1">
      <alignment horizontal="right" vertical="center" wrapText="1"/>
    </xf>
    <xf numFmtId="0" fontId="45" fillId="0" borderId="0" xfId="0" applyFont="1" applyNumberFormat="1">
      <alignment horizontal="center" vertical="center" wrapText="1"/>
    </xf>
    <xf numFmtId="49"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23" fillId="0" borderId="14" xfId="0" applyFont="1" applyBorder="1" applyNumberFormat="1">
      <alignment horizontal="left" vertical="center" wrapText="1" indent="2"/>
    </xf>
    <xf numFmtId="14" fontId="23" fillId="0" borderId="0" xfId="0" applyFont="1" applyNumberFormat="1">
      <alignment horizontal="center" vertical="center" wrapText="1"/>
    </xf>
    <xf numFmtId="49" fontId="96" fillId="48" borderId="0" xfId="0" applyFont="1" applyFill="1" applyNumberFormat="1">
      <alignment horizontal="center" vertical="center" wrapText="1"/>
    </xf>
    <xf numFmtId="49" fontId="36" fillId="0" borderId="0" xfId="0" applyFont="1" applyNumberFormat="1">
      <alignment horizontal="center" vertical="center"/>
    </xf>
    <xf numFmtId="166" fontId="23" fillId="42" borderId="14" xfId="0" applyFont="1" applyFill="1" applyBorder="1" applyNumberFormat="1">
      <alignment horizontal="right" vertical="center" wrapText="1"/>
      <protection locked="0"/>
    </xf>
    <xf numFmtId="0" fontId="54" fillId="0" borderId="0" xfId="0" applyFont="1" applyNumberFormat="1">
      <alignment horizontal="left" vertical="center" wrapText="1"/>
    </xf>
    <xf numFmtId="49" fontId="96" fillId="0" borderId="0" xfId="0" applyFont="1" applyNumberFormat="1">
      <alignment horizontal="left" vertical="center" wrapText="1"/>
    </xf>
    <xf numFmtId="0" fontId="55" fillId="0" borderId="0" xfId="0" applyFont="1" applyNumberFormat="1">
      <alignment horizontal="left" vertical="center" wrapText="1"/>
    </xf>
    <xf numFmtId="49" fontId="23" fillId="0" borderId="0" xfId="0" applyFont="1" applyNumberFormat="1">
      <alignment horizontal="left" vertical="center" wrapText="1"/>
    </xf>
    <xf numFmtId="0" fontId="59" fillId="0" borderId="0" xfId="0" applyFont="1" applyNumberFormat="1">
      <alignment horizontal="left" vertical="center" wrapText="1"/>
    </xf>
    <xf numFmtId="0" fontId="40" fillId="0" borderId="0" xfId="0" applyFont="1" applyNumberFormat="1">
      <alignment horizontal="left" vertical="center" wrapText="1"/>
    </xf>
    <xf numFmtId="49" fontId="23" fillId="43" borderId="14" xfId="0" applyFont="1" applyFill="1" applyBorder="1" applyNumberFormat="1">
      <alignment horizontal="left" vertical="center" wrapText="1"/>
    </xf>
    <xf numFmtId="0" fontId="23" fillId="0" borderId="19" xfId="0" applyFont="1" applyBorder="1" applyNumberFormat="1">
      <alignment horizontal="center" vertical="center" wrapText="1"/>
    </xf>
    <xf numFmtId="4" fontId="23" fillId="38" borderId="19" xfId="0" applyFont="1" applyFill="1" applyBorder="1" applyNumberFormat="1">
      <alignment horizontal="right" vertical="center"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0" fontId="55" fillId="0" borderId="19" xfId="0" applyFont="1" applyBorder="1" applyNumberFormat="1">
      <alignment vertical="top" wrapText="1"/>
    </xf>
    <xf numFmtId="4" fontId="23" fillId="42" borderId="15" xfId="0" applyFont="1" applyFill="1" applyBorder="1" applyNumberFormat="1">
      <alignment horizontal="right" vertical="center" wrapText="1"/>
      <protection locked="0"/>
    </xf>
    <xf numFmtId="49" fontId="34" fillId="39" borderId="15"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0" fontId="54" fillId="0" borderId="0" xfId="0" applyFont="1" applyNumberFormat="1">
      <alignment vertical="center" wrapText="1"/>
    </xf>
    <xf numFmtId="0" fontId="55" fillId="0" borderId="0" xfId="0" applyFont="1" applyNumberFormat="1">
      <alignment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center" wrapText="1"/>
    </xf>
    <xf numFmtId="166" fontId="23" fillId="42" borderId="15" xfId="0" applyFont="1" applyFill="1" applyBorder="1" applyNumberFormat="1">
      <alignment horizontal="right" vertical="center" wrapText="1"/>
      <protection locked="0"/>
    </xf>
    <xf numFmtId="0" fontId="89"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23" fillId="0" borderId="0" xfId="0" applyFont="1" applyNumberFormat="1">
      <alignment vertical="center" wrapText="1"/>
    </xf>
    <xf numFmtId="0" fontId="54" fillId="0" borderId="0" xfId="0" applyFont="1" applyNumberFormat="1">
      <alignment vertical="center" wrapText="1"/>
    </xf>
    <xf numFmtId="166" fontId="23" fillId="38" borderId="15" xfId="0" applyFont="1" applyFill="1" applyBorder="1" applyNumberFormat="1">
      <alignment horizontal="right" vertical="center" wrapText="1"/>
    </xf>
    <xf numFmtId="166" fontId="23" fillId="38" borderId="14" xfId="0" applyFont="1" applyFill="1" applyBorder="1" applyNumberFormat="1">
      <alignment horizontal="right" vertical="center" wrapText="1"/>
    </xf>
    <xf numFmtId="49" fontId="96" fillId="48" borderId="0" xfId="0" applyFont="1" applyFill="1" applyNumberFormat="1">
      <alignment horizontal="center" vertical="center" textRotation="90" wrapText="1"/>
    </xf>
    <xf numFmtId="0" fontId="23" fillId="42" borderId="14" xfId="0" applyFont="1" applyFill="1" applyBorder="1" applyNumberFormat="1">
      <alignment horizontal="center" vertical="center" wrapText="1"/>
      <protection locked="0"/>
    </xf>
    <xf numFmtId="4" fontId="23" fillId="42" borderId="31"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0" fontId="55" fillId="0" borderId="38" xfId="0" applyFont="1" applyBorder="1" applyNumberFormat="1">
      <alignment horizontal="left" vertical="center" wrapText="1" indent="1"/>
    </xf>
    <xf numFmtId="0" fontId="55" fillId="0" borderId="38" xfId="0" applyFont="1" applyBorder="1" applyNumberFormat="1">
      <alignment horizontal="center" vertical="center" wrapText="1"/>
    </xf>
    <xf numFmtId="0" fontId="55" fillId="0" borderId="19" xfId="0" applyFont="1" applyBorder="1" applyNumberFormat="1">
      <alignment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0" borderId="25" xfId="0" applyFont="1" applyBorder="1" applyNumberFormat="1">
      <alignment vertical="top" wrapText="1"/>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22" xfId="0" applyFont="1" applyBorder="1" applyNumberFormat="1">
      <alignment horizontal="center" vertical="center" wrapText="1"/>
    </xf>
    <xf numFmtId="166" fontId="23" fillId="42" borderId="19" xfId="0" applyFont="1" applyFill="1" applyBorder="1" applyNumberFormat="1">
      <alignment horizontal="right" vertical="center" wrapText="1"/>
      <protection locked="0"/>
    </xf>
    <xf numFmtId="0" fontId="55" fillId="0" borderId="25" xfId="0" applyFont="1" applyBorder="1" applyNumberFormat="1">
      <alignment horizontal="left" vertical="center" wrapText="1" indent="1"/>
    </xf>
    <xf numFmtId="0" fontId="55" fillId="0" borderId="19" xfId="0" applyFont="1" applyBorder="1" applyNumberFormat="1">
      <alignment horizontal="center" vertical="center" wrapText="1"/>
    </xf>
    <xf numFmtId="0" fontId="45" fillId="0" borderId="0" xfId="0" applyFont="1" applyNumberForma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55" fillId="0" borderId="19" xfId="0" applyFont="1" applyBorder="1" applyNumberFormat="1">
      <alignment horizontal="left" vertical="center" wrapText="1" indent="1"/>
    </xf>
    <xf numFmtId="49" fontId="34" fillId="39" borderId="14" xfId="0" applyFont="1" applyFill="1" applyBorder="1" applyNumberFormat="1">
      <alignment horizontal="left" vertical="center" wrapText="1"/>
      <protection locked="0"/>
    </xf>
    <xf numFmtId="0" fontId="23" fillId="0" borderId="0" xfId="0" applyFont="1" applyNumberFormat="1">
      <alignment vertical="top" wrapText="1"/>
    </xf>
    <xf numFmtId="0" fontId="23" fillId="0" borderId="0" xfId="0" applyFont="1" applyNumberFormat="1">
      <alignment horizontal="left" vertical="top" wrapText="1"/>
    </xf>
    <xf numFmtId="0" fontId="23" fillId="0" borderId="0" xfId="0" applyFont="1" applyNumberFormat="1">
      <alignment horizontal="left" vertical="center" wrapText="1"/>
    </xf>
    <xf numFmtId="0" fontId="59" fillId="0" borderId="0" xfId="0" applyFont="1" applyNumberFormat="1">
      <alignment vertical="center"/>
    </xf>
    <xf numFmtId="0" fontId="96" fillId="0" borderId="0" xfId="0" applyFont="1" applyNumberFormat="1">
      <alignment vertical="center" wrapText="1"/>
    </xf>
    <xf numFmtId="49" fontId="96" fillId="0" borderId="0" xfId="0" applyFont="1" applyNumberFormat="1">
      <alignment horizontal="center" vertical="center" wrapText="1"/>
    </xf>
    <xf numFmtId="0" fontId="23" fillId="0" borderId="0" xfId="0" applyFont="1" applyNumberFormat="1">
      <alignment vertical="center" wrapText="1"/>
    </xf>
    <xf numFmtId="0" fontId="59" fillId="0" borderId="0" xfId="0" applyFont="1" applyNumberFormat="1">
      <alignment vertical="center" wrapText="1"/>
    </xf>
    <xf numFmtId="0" fontId="23" fillId="0" borderId="21" xfId="0" applyFont="1" applyBorder="1" applyNumberFormat="1">
      <alignment vertical="center" wrapText="1"/>
    </xf>
    <xf numFmtId="0" fontId="23" fillId="0" borderId="0" xfId="0" applyFont="1" applyNumberFormat="1">
      <alignment horizontal="center" vertical="center" wrapText="1"/>
    </xf>
    <xf numFmtId="49" fontId="40" fillId="0" borderId="0" xfId="0" applyFont="1" applyNumberFormat="1">
      <alignment horizontal="center" vertical="center" wrapText="1"/>
    </xf>
    <xf numFmtId="0" fontId="23" fillId="0" borderId="29" xfId="0" applyFont="1" applyBorder="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36" fillId="0" borderId="0" xfId="0" applyFont="1" applyNumberFormat="1">
      <alignment horizontal="center" vertical="center" wrapText="1"/>
    </xf>
    <xf numFmtId="49" fontId="68" fillId="0" borderId="0" xfId="0" applyFont="1" applyNumberFormat="1">
      <alignment horizontal="center" vertical="center" wrapText="1"/>
    </xf>
    <xf numFmtId="0" fontId="77" fillId="0" borderId="0" xfId="0" applyFont="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68" fillId="0" borderId="0" xfId="0" applyFont="1" applyNumberFormat="1">
      <alignment vertical="center" wrapText="1"/>
    </xf>
    <xf numFmtId="0" fontId="76" fillId="0" borderId="0" xfId="0" applyFont="1" applyNumberFormat="1">
      <alignment vertical="center" wrapText="1"/>
    </xf>
    <xf numFmtId="0" fontId="23" fillId="0" borderId="14" xfId="0" applyFont="1" applyBorder="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center" vertical="center" wrapText="1"/>
    </xf>
    <xf numFmtId="0" fontId="23" fillId="0" borderId="0" xfId="0" applyFont="1" applyNumberFormat="1">
      <alignment vertical="center" wrapText="1"/>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19" xfId="0" applyFont="1" applyBorder="1" applyNumberFormat="1">
      <alignment horizontal="center" vertical="center" wrapText="1"/>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38" borderId="14" xfId="0" applyFont="1" applyFill="1" applyBorder="1" applyNumberFormat="1">
      <alignment horizontal="left" vertical="center" wrapText="1" indent="1"/>
    </xf>
    <xf numFmtId="0" fontId="23" fillId="0" borderId="15" xfId="0" applyFont="1" applyBorder="1" applyNumberFormat="1">
      <alignment horizontal="left" vertical="center" wrapText="1" indent="1"/>
    </xf>
    <xf numFmtId="49" fontId="55" fillId="0" borderId="24" xfId="0" applyFont="1" applyBorder="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0" fontId="54" fillId="0" borderId="0" xfId="0" applyFont="1" applyNumberFormat="1">
      <alignment horizontal="center"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49" fontId="55"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25" xfId="0" applyFont="1" applyBorder="1" applyNumberFormat="1">
      <alignment horizontal="left" vertical="center" wrapText="1"/>
    </xf>
    <xf numFmtId="2" fontId="23" fillId="0" borderId="25" xfId="0" applyFont="1" applyBorder="1" applyNumberFormat="1">
      <alignment horizontal="center" vertical="center" wrapText="1"/>
    </xf>
    <xf numFmtId="0" fontId="23" fillId="0" borderId="14" xfId="0" applyFont="1" applyBorder="1" applyNumberFormat="1">
      <alignment horizontal="left" vertical="center" wrapText="1"/>
    </xf>
    <xf numFmtId="49" fontId="55" fillId="0" borderId="24" xfId="0" applyFont="1" applyBorder="1" applyNumberFormat="1">
      <alignment vertical="top"/>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24" xfId="0" applyFont="1" applyBorder="1" applyNumberFormat="1">
      <alignmen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23" fillId="0" borderId="25" xfId="0" applyFont="1" applyBorder="1" applyNumberFormat="1">
      <alignment horizontal="left" vertical="center" wrapText="1"/>
    </xf>
    <xf numFmtId="0" fontId="23" fillId="0" borderId="14" xfId="0" applyFont="1" applyBorder="1" applyNumberFormat="1">
      <alignment horizontal="left" vertical="center" wrapText="1"/>
    </xf>
    <xf numFmtId="0" fontId="54" fillId="0" borderId="0" xfId="0" applyFont="1" applyNumberFormat="1">
      <alignment horizontal="center" vertical="top"/>
    </xf>
    <xf numFmtId="0" fontId="55" fillId="0" borderId="0" xfId="0" applyFont="1" applyNumberFormat="1">
      <alignment horizontal="center" vertical="center" wrapText="1"/>
    </xf>
    <xf numFmtId="49" fontId="55" fillId="0" borderId="25" xfId="0" applyFont="1" applyBorder="1" applyNumberFormat="1">
      <alignment horizontal="center" vertical="center" wrapText="1"/>
    </xf>
    <xf numFmtId="49" fontId="48" fillId="0" borderId="21" xfId="0" applyFont="1" applyBorder="1" applyNumberFormat="1">
      <alignment horizontal="right" vertical="center"/>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53" fillId="0" borderId="0" xfId="0" applyFont="1" applyNumberFormat="1">
      <alignment horizontal="left" vertical="top" wrapText="1"/>
    </xf>
    <xf numFmtId="49" fontId="40" fillId="0" borderId="0" xfId="0" applyFont="1" applyNumberFormat="1">
      <alignment horizontal="center" vertical="center" wrapText="1"/>
    </xf>
    <xf numFmtId="0" fontId="55" fillId="0" borderId="0" xfId="0" applyFont="1" applyNumberFormat="1">
      <alignment vertical="center" wrapText="1"/>
    </xf>
    <xf numFmtId="0" fontId="40"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55" fillId="0" borderId="16" xfId="0" applyFont="1" applyBorder="1" applyNumberFormat="1">
      <alignment vertical="center" wrapTex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0" fontId="55" fillId="0" borderId="16" xfId="0" applyFont="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14" xfId="0" applyFont="1" applyBorder="1" applyNumberFormat="1">
      <alignment horizontal="left" vertical="center" wrapText="1"/>
    </xf>
    <xf numFmtId="49" fontId="23" fillId="0" borderId="61" xfId="0" applyFont="1" applyBorder="1" applyNumberFormat="1">
      <alignment horizontal="center" vertical="center" wrapText="1"/>
    </xf>
    <xf numFmtId="0" fontId="23"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49" fontId="23" fillId="0" borderId="62" xfId="0" applyFont="1" applyBorder="1" applyNumberFormat="1">
      <alignment horizontal="center" vertical="center" wrapText="1"/>
    </xf>
    <xf numFmtId="0" fontId="23" fillId="0" borderId="15"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9" fontId="48" fillId="40" borderId="21" xfId="0" applyFont="1" applyFill="1" applyBorder="1" applyNumberFormat="1">
      <alignment horizontal="left" vertical="center" indent="2"/>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9" xfId="0" applyFont="1" applyBorder="1" applyNumberFormat="1">
      <alignment horizontal="left" vertical="center" wrapText="1"/>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60" xfId="0" applyFont="1" applyBorder="1" applyNumberFormat="1">
      <alignment horizontal="center" vertical="center" wrapText="1"/>
    </xf>
    <xf numFmtId="0" fontId="23" fillId="0" borderId="19" xfId="0" applyFont="1" applyBorder="1" applyNumberFormat="1">
      <alignment horizontal="left" vertical="center" wrapText="1" indent="1"/>
    </xf>
    <xf numFmtId="0" fontId="23" fillId="0" borderId="19"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left" vertical="center" wrapText="1" inden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55" fillId="0" borderId="29" xfId="0" applyFont="1" applyBorder="1" applyNumberFormat="1">
      <alignment vertical="center" wrapTex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0" xfId="0" applyFont="1" applyNumberFormat="1">
      <alignment horizontal="left" vertical="top"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49" fontId="23" fillId="58" borderId="0" xfId="0" applyFont="1" applyFill="1" applyNumberFormat="1">
      <alignment horizontal="center" vertical="center" textRotation="90"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76" fillId="0" borderId="24" xfId="0" applyFont="1" applyBorder="1" applyNumberFormat="1">
      <alignment vertical="center" wrapText="1"/>
    </xf>
    <xf numFmtId="49"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23" fillId="0" borderId="14" xfId="0" applyFont="1" applyBorder="1" applyNumberFormat="1">
      <alignment horizontal="center" vertical="center" wrapText="1"/>
    </xf>
    <xf numFmtId="49" fontId="23" fillId="39" borderId="14" xfId="0" applyFont="1" applyFill="1" applyBorder="1" applyNumberFormat="1">
      <alignment horizontal="left" vertical="center" wrapText="1"/>
      <protection locked="0"/>
    </xf>
    <xf numFmtId="3"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88" fillId="0" borderId="0" xfId="0" applyFont="1" applyNumberFormat="1">
      <alignment vertical="center" wrapText="1"/>
    </xf>
    <xf numFmtId="0" fontId="23" fillId="0" borderId="14" xfId="0" applyFont="1" applyBorder="1" applyNumberFormat="1">
      <alignment horizontal="left" vertical="center" wrapText="1" indent="2"/>
    </xf>
    <xf numFmtId="3" fontId="53" fillId="39" borderId="14" xfId="0" applyFont="1" applyFill="1" applyBorder="1" applyNumberFormat="1">
      <alignment horizontal="right" vertical="center"/>
      <protection locked="0"/>
    </xf>
    <xf numFmtId="49" fontId="23" fillId="39" borderId="16" xfId="0" applyFont="1" applyFill="1" applyBorder="1" applyNumberFormat="1">
      <alignment horizontal="left" vertical="center" wrapText="1"/>
      <protection locked="0"/>
    </xf>
    <xf numFmtId="0" fontId="53" fillId="0" borderId="0" xfId="0" applyFont="1" applyNumberFormat="1">
      <alignment vertical="center" wrapText="1"/>
    </xf>
    <xf numFmtId="0" fontId="23" fillId="0" borderId="0" xfId="0" applyFont="1" applyNumberFormat="1">
      <alignment vertical="top" wrapText="1"/>
    </xf>
    <xf numFmtId="0" fontId="23" fillId="0" borderId="0" xfId="0" applyFont="1" applyNumberFormat="1">
      <alignment vertical="top"/>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9" fontId="34" fillId="0" borderId="14" xfId="0" applyFont="1" applyBorder="1" applyNumberFormat="1">
      <alignment horizontal="left" vertical="center" wrapText="1"/>
    </xf>
    <xf numFmtId="49" fontId="23" fillId="0" borderId="34" xfId="0" applyFont="1" applyBorder="1" applyNumberFormat="1">
      <alignment horizontal="center" vertical="center" wrapText="1"/>
    </xf>
    <xf numFmtId="0" fontId="23" fillId="0" borderId="34"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9" fontId="23" fillId="0" borderId="33" xfId="0" applyFont="1" applyBorder="1" applyNumberFormat="1">
      <alignment horizontal="center" vertical="center" wrapText="1"/>
    </xf>
    <xf numFmtId="0" fontId="23" fillId="0" borderId="35"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0" borderId="19"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0" fontId="23" fillId="0" borderId="35" xfId="0" applyFont="1" applyBorder="1" applyNumberFormat="1">
      <alignment horizontal="left" vertical="center" wrapText="1"/>
    </xf>
    <xf numFmtId="49" fontId="34" fillId="0" borderId="17"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0" borderId="34" xfId="0" applyFont="1" applyBorder="1" applyNumberFormat="1">
      <alignment horizontal="center" vertical="center" wrapText="1"/>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2"/>
    </xf>
    <xf numFmtId="4" fontId="23" fillId="0" borderId="33" xfId="0" applyFont="1" applyBorder="1" applyNumberFormat="1">
      <alignment horizontal="center" vertical="center" wrapText="1"/>
    </xf>
    <xf numFmtId="49" fontId="23" fillId="0" borderId="36" xfId="0" applyFont="1" applyBorder="1" applyNumberFormat="1">
      <alignment horizontal="center" vertical="center" wrapText="1"/>
    </xf>
    <xf numFmtId="49" fontId="34" fillId="42" borderId="14" xfId="0" applyFont="1" applyFill="1" applyBorder="1" applyNumberFormat="1">
      <alignment horizontal="left" vertical="center" wrapText="1"/>
      <protection locked="0"/>
    </xf>
    <xf numFmtId="0" fontId="23" fillId="0" borderId="37" xfId="0" applyFont="1" applyBorder="1" applyNumberFormat="1">
      <alignment horizontal="left" vertical="center" wrapText="1"/>
    </xf>
    <xf numFmtId="4" fontId="23" fillId="0" borderId="37" xfId="0" applyFont="1" applyBorder="1" applyNumberFormat="1">
      <alignment horizontal="center" vertical="center" wrapText="1"/>
    </xf>
    <xf numFmtId="49" fontId="34" fillId="0" borderId="39" xfId="0" applyFont="1" applyBorder="1" applyNumberFormat="1">
      <alignment horizontal="left" vertical="center" wrapText="1"/>
    </xf>
    <xf numFmtId="49" fontId="23" fillId="0" borderId="35"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 fontId="23" fillId="42" borderId="36" xfId="0" applyFont="1" applyFill="1" applyBorder="1" applyNumberFormat="1">
      <alignment horizontal="right" vertical="center" wrapText="1"/>
      <protection locked="0"/>
    </xf>
    <xf numFmtId="49" fontId="34" fillId="42" borderId="16" xfId="0" applyFont="1" applyFill="1" applyBorder="1" applyNumberFormat="1">
      <alignment horizontal="left" vertical="center" wrapText="1"/>
      <protection locked="0"/>
    </xf>
    <xf numFmtId="49" fontId="54" fillId="0" borderId="0" xfId="0" applyFont="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44" fillId="0" borderId="26" xfId="0" applyFont="1" applyBorder="1" applyNumberFormat="1">
      <alignment horizontal="center" vertical="center" wrapText="1"/>
    </xf>
    <xf numFmtId="0" fontId="0" fillId="0" borderId="16" xfId="0" applyFont="1" applyBorder="1" applyNumberFormat="1">
      <alignment horizontal="center" vertical="center"/>
    </xf>
    <xf numFmtId="0" fontId="23" fillId="0" borderId="15" xfId="0" applyFont="1" applyBorder="1" applyNumberFormat="1">
      <alignment horizontal="center" vertical="center" wrapText="1"/>
    </xf>
    <xf numFmtId="167" fontId="0" fillId="39"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44" fillId="0" borderId="0" xfId="0" applyFont="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0" borderId="15" xfId="0" applyFont="1" applyBorder="1" applyNumberFormat="1">
      <alignment horizontal="center" vertical="center" wrapText="1"/>
    </xf>
    <xf numFmtId="0" fontId="23" fillId="40" borderId="16" xfId="0" applyFont="1" applyFill="1" applyBorder="1" applyNumberFormat="1">
      <alignment vertical="center" wrapText="1"/>
    </xf>
    <xf numFmtId="0" fontId="23" fillId="0" borderId="15" xfId="0" applyFont="1" applyBorder="1" applyNumberFormat="1">
      <alignment horizontal="center" vertical="center" wrapText="1"/>
    </xf>
    <xf numFmtId="0" fontId="23" fillId="40" borderId="21" xfId="0" applyFont="1" applyFill="1" applyBorder="1" applyNumberFormat="1">
      <alignment vertical="center" wrapText="1"/>
    </xf>
    <xf numFmtId="0" fontId="23" fillId="0" borderId="17"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0" borderId="15" xfId="0" applyFont="1" applyBorder="1" applyNumberFormat="1">
      <alignment vertical="center" wrapText="1"/>
    </xf>
    <xf numFmtId="0" fontId="23" fillId="40" borderId="29" xfId="0" applyFont="1" applyFill="1" applyBorder="1" applyNumberFormat="1">
      <alignment vertical="center" wrapText="1"/>
    </xf>
    <xf numFmtId="0" fontId="44" fillId="0" borderId="0" xfId="0" applyFont="1" applyNumberFormat="1">
      <alignment horizontal="center" vertical="center" wrapText="1"/>
    </xf>
    <xf numFmtId="0" fontId="88" fillId="0" borderId="0" xfId="0" applyFont="1" applyNumberFormat="1">
      <alignment vertical="center" wrapText="1"/>
    </xf>
    <xf numFmtId="49" fontId="54" fillId="0" borderId="0" xfId="0" applyFont="1" applyNumberFormat="1">
      <alignment horizontal="center" vertical="center" wrapText="1"/>
    </xf>
    <xf numFmtId="0" fontId="40"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wrapText="1"/>
    </xf>
    <xf numFmtId="49" fontId="54" fillId="0" borderId="0" xfId="0" applyFont="1" applyNumberFormat="1">
      <alignment horizontal="center" vertical="center" wrapText="1"/>
    </xf>
    <xf numFmtId="0" fontId="23" fillId="0" borderId="0" xfId="0" applyFont="1" applyNumberFormat="1">
      <alignment vertical="center" wrapText="1"/>
    </xf>
    <xf numFmtId="49" fontId="54" fillId="0" borderId="0" xfId="0" applyFont="1" applyNumberFormat="1">
      <alignment horizontal="center" vertical="center" wrapText="1"/>
    </xf>
    <xf numFmtId="49" fontId="103" fillId="0" borderId="0" xfId="0" applyFont="1" applyNumberFormat="1">
      <alignment horizontal="center"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49" fontId="55" fillId="0" borderId="14" xfId="0" applyFont="1" applyBorder="1" applyNumberFormat="1">
      <alignment horizontal="center" vertical="center" wrapText="1"/>
    </xf>
    <xf numFmtId="0" fontId="0" fillId="0" borderId="14" xfId="0" applyFont="1" applyBorder="1" applyNumberFormat="1">
      <alignment horizontal="left" vertical="center" wrapText="1" indent="1"/>
    </xf>
    <xf numFmtId="49"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55" fillId="0" borderId="0" xfId="0" applyFont="1" applyNumberFormat="1">
      <alignment horizontal="center" vertical="center" wrapText="1"/>
    </xf>
    <xf numFmtId="49" fontId="23" fillId="0" borderId="16" xfId="0" applyFont="1" applyBorder="1" applyNumberFormat="1">
      <alignment horizontal="center" vertical="center" wrapText="1"/>
    </xf>
    <xf numFmtId="49" fontId="48" fillId="40" borderId="16" xfId="0" applyFont="1" applyFill="1" applyBorder="1" applyNumberFormat="1">
      <alignment horizontal="left" vertical="center" indent="1"/>
    </xf>
    <xf numFmtId="0" fontId="23" fillId="40" borderId="31" xfId="0" applyFont="1" applyFill="1" applyBorder="1" applyNumberFormat="1">
      <alignment vertical="center" wrapText="1"/>
    </xf>
    <xf numFmtId="49" fontId="54" fillId="0" borderId="0" xfId="0" applyFont="1" applyNumberFormat="1">
      <alignment horizontal="center" vertical="center" wrapText="1"/>
    </xf>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left" vertical="center" wrapText="1" indent="3"/>
    </xf>
    <xf numFmtId="0" fontId="23" fillId="37" borderId="0" xfId="0" applyFont="1" applyFill="1" applyNumberFormat="1">
      <alignment vertic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78" fillId="0" borderId="41" xfId="0" applyFont="1" applyBorder="1" applyNumberFormat="1">
      <alignment vertical="top"/>
    </xf>
    <xf numFmtId="49" fontId="78" fillId="0" borderId="41" xfId="0" applyFont="1" applyBorder="1" applyNumberFormat="1">
      <alignment vertical="top"/>
    </xf>
    <xf numFmtId="0" fontId="36" fillId="37" borderId="41" xfId="0" applyFont="1" applyFill="1" applyBorder="1" applyNumberFormat="1">
      <alignment horizontal="center" wrapText="1"/>
    </xf>
    <xf numFmtId="0" fontId="36" fillId="37" borderId="41" xfId="0" applyFont="1" applyFill="1" applyBorder="1" applyNumberFormat="1">
      <alignment horizont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23" fillId="0" borderId="0" xfId="0" applyFont="1" applyNumberFormat="1">
      <alignment vertical="top"/>
    </xf>
    <xf numFmtId="0" fontId="23" fillId="0" borderId="63" xfId="0" applyFont="1" applyBorder="1" applyNumberFormat="1">
      <alignment horizontal="center" vertical="center"/>
    </xf>
    <xf numFmtId="0" fontId="23" fillId="0" borderId="64" xfId="0" applyFont="1" applyBorder="1" applyNumberFormat="1">
      <alignment horizontal="center" vertical="center"/>
    </xf>
    <xf numFmtId="0" fontId="23" fillId="0" borderId="66" xfId="0" applyFont="1" applyBorder="1" applyNumberFormat="1">
      <alignment horizontal="center" vertical="center"/>
    </xf>
    <xf numFmtId="0" fontId="23" fillId="0" borderId="40" xfId="0" applyFont="1" applyBorder="1" applyNumberFormat="1">
      <alignmen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49" fontId="23" fillId="0" borderId="0" xfId="0" applyFont="1" applyNumberFormat="1">
      <alignment vertical="top"/>
    </xf>
    <xf numFmtId="0" fontId="23" fillId="0" borderId="0" xfId="0" applyFont="1" applyNumberFormat="1">
      <alignment vertical="center" wrapText="1"/>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0" fillId="0" borderId="14" xfId="0" applyFont="1" applyBorder="1" applyNumberFormat="1">
      <alignment horizontal="center" vertical="center" wrapText="1"/>
    </xf>
    <xf numFmtId="49" fontId="23" fillId="0" borderId="0" xfId="0" applyFont="1" applyNumberFormat="1">
      <alignment vertical="top"/>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xf>
    <xf numFmtId="49" fontId="23"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0" fontId="23" fillId="0" borderId="0" xfId="0" applyFont="1" applyNumberFormat="1">
      <alignment horizontal="left" vertical="center" wrapText="1"/>
    </xf>
    <xf numFmtId="0" fontId="23" fillId="0" borderId="0" xfId="0" applyFont="1" applyNumberFormat="1">
      <alignment vertical="center" wrapText="1"/>
    </xf>
    <xf numFmtId="0" fontId="23" fillId="0" borderId="0" xfId="0" applyFont="1" applyNumberFormat="1">
      <alignment vertical="center" wrapText="1"/>
    </xf>
    <xf numFmtId="0" fontId="40" fillId="0" borderId="0" xfId="0" applyFont="1" applyNumberFormat="1">
      <alignment vertical="center" wrapText="1"/>
    </xf>
    <xf numFmtId="0" fontId="23" fillId="37" borderId="0" xfId="0" applyFont="1" applyFill="1" applyNumberFormat="1">
      <alignment vertical="center" wrapText="1"/>
    </xf>
    <xf numFmtId="0" fontId="23" fillId="37" borderId="21" xfId="0" applyFont="1" applyFill="1" applyBorder="1" applyNumberFormat="1">
      <alignment vertical="center" wrapText="1"/>
    </xf>
    <xf numFmtId="49" fontId="23" fillId="0" borderId="0" xfId="0" applyFont="1" applyNumberFormat="1">
      <alignment vertical="top"/>
    </xf>
    <xf numFmtId="49" fontId="55" fillId="0" borderId="0" xfId="0" applyFont="1" applyNumberFormat="1">
      <alignment vertical="top"/>
    </xf>
    <xf numFmtId="0" fontId="55" fillId="0" borderId="41" xfId="0" applyFont="1" applyBorder="1" applyNumberFormat="1">
      <alignment vertical="center" wrapText="1"/>
    </xf>
    <xf numFmtId="0" fontId="23" fillId="0" borderId="76" xfId="0" applyFont="1" applyBorder="1" applyNumberFormat="1">
      <alignment horizontal="center" vertical="center"/>
    </xf>
    <xf numFmtId="0" fontId="23" fillId="0" borderId="45" xfId="0" applyFont="1" applyBorder="1" applyNumberFormat="1">
      <alignment horizontal="center" vertical="center"/>
    </xf>
    <xf numFmtId="0" fontId="23" fillId="0" borderId="40" xfId="0" applyFont="1" applyBorder="1" applyNumberFormat="1">
      <alignment vertical="center"/>
    </xf>
    <xf numFmtId="49" fontId="0" fillId="0" borderId="19"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23" fillId="0" borderId="24" xfId="0" applyFont="1" applyBorder="1" applyNumberFormat="1">
      <alignment vertical="top"/>
    </xf>
    <xf numFmtId="49" fontId="0" fillId="0" borderId="38"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xf>
    <xf numFmtId="49" fontId="0" fillId="38" borderId="14" xfId="0" applyFont="1" applyFill="1" applyBorder="1" applyNumberFormat="1">
      <alignment horizontal="center" vertical="center"/>
    </xf>
    <xf numFmtId="0" fontId="23" fillId="0" borderId="24" xfId="0" applyFont="1" applyBorder="1" applyNumberFormat="1">
      <alignment vertical="center" wrapText="1"/>
    </xf>
    <xf numFmtId="49" fontId="0" fillId="0" borderId="14"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 fontId="0" fillId="39"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horizontal="left" vertical="center" wrapText="1"/>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49" fontId="54" fillId="0" borderId="0" xfId="0" applyFont="1" applyNumberFormat="1">
      <alignment horizontal="center" vertical="center" wrapText="1"/>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23" fillId="0" borderId="0" xfId="0" applyFont="1" applyNumberFormat="1">
      <alignment horizontal="center" vertical="top" wrapText="1"/>
    </xf>
    <xf numFmtId="49" fontId="40" fillId="0" borderId="0" xfId="0" applyFont="1" applyNumberFormat="1">
      <alignment horizontal="center" vertical="top" wrapText="1"/>
    </xf>
    <xf numFmtId="49" fontId="23" fillId="37" borderId="0" xfId="0" applyFont="1" applyFill="1" applyNumberFormat="1">
      <alignment horizontal="center" vertical="top" wrapText="1"/>
    </xf>
    <xf numFmtId="0" fontId="23" fillId="0" borderId="22" xfId="0" applyFont="1" applyBorder="1" applyNumberFormat="1">
      <alignment horizontal="left" vertical="top" wrapText="1"/>
    </xf>
    <xf numFmtId="49" fontId="23" fillId="0" borderId="0" xfId="0" applyFont="1" applyNumberFormat="1">
      <alignment horizontal="center" vertical="center" wrapText="1"/>
    </xf>
    <xf numFmtId="49" fontId="40" fillId="0" borderId="0" xfId="0" applyFont="1" applyNumberFormat="1">
      <alignment horizontal="center" vertical="center" wrapText="1"/>
    </xf>
    <xf numFmtId="49" fontId="23" fillId="37" borderId="0" xfId="0" applyFont="1" applyFill="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0" fontId="53" fillId="0" borderId="0" xfId="0" applyFont="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0" xfId="0" applyFont="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49" fontId="53" fillId="37" borderId="0" xfId="0" applyFont="1" applyFill="1" applyNumberFormat="1">
      <alignment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37"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49" fontId="23" fillId="0" borderId="0" xfId="0" applyFont="1" applyNumberFormat="1">
      <alignment vertical="center" wrapText="1"/>
    </xf>
    <xf numFmtId="49" fontId="53" fillId="0" borderId="0" xfId="0" applyFont="1" applyNumberFormat="1">
      <alignment vertical="top"/>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49" fontId="23" fillId="34" borderId="29" xfId="0" applyFont="1" applyFill="1" applyBorder="1" applyNumberFormat="1">
      <alignment horizontal="center" vertical="center" wrapText="1"/>
    </xf>
    <xf numFmtId="49" fontId="53" fillId="0" borderId="0" xfId="0" applyFont="1" applyNumberFormat="1">
      <alignment vertical="center"/>
    </xf>
    <xf numFmtId="49" fontId="53" fillId="37" borderId="0" xfId="0" applyFont="1" applyFill="1" applyNumberFormat="1">
      <alignment vertical="center"/>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104"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49" fontId="53" fillId="0" borderId="0" xfId="0" applyFont="1" applyNumberFormat="1">
      <alignment vertical="center" wrapText="1"/>
    </xf>
    <xf numFmtId="49" fontId="53" fillId="0" borderId="0" xfId="0" applyFont="1" applyNumberFormat="1">
      <alignment vertical="top"/>
    </xf>
    <xf numFmtId="0" fontId="53" fillId="0" borderId="0" xfId="0" applyFont="1" applyNumberFormat="1">
      <alignment vertical="center" wrapText="1"/>
    </xf>
    <xf numFmtId="49" fontId="99" fillId="0" borderId="0" xfId="0" applyFont="1" applyNumberFormat="1">
      <alignment vertical="center" wrapText="1"/>
    </xf>
    <xf numFmtId="49" fontId="53" fillId="0" borderId="0" xfId="0" applyFont="1" applyNumberFormat="1">
      <alignment vertical="center" wrapText="1"/>
    </xf>
    <xf numFmtId="49" fontId="104" fillId="0" borderId="0" xfId="0" applyFont="1" applyNumberFormat="1">
      <alignment vertical="center"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indent="1"/>
    </xf>
    <xf numFmtId="0" fontId="23" fillId="0" borderId="16" xfId="0" applyFont="1" applyBorder="1" applyNumberFormat="1">
      <alignment horizontal="center" vertical="center" wrapText="1"/>
    </xf>
    <xf numFmtId="0" fontId="23" fillId="0" borderId="14" xfId="0" applyFont="1" applyBorder="1" applyNumberFormat="1">
      <alignment horizontal="left" vertical="top" wrapText="1"/>
    </xf>
    <xf numFmtId="3" fontId="23" fillId="42" borderId="16" xfId="0" applyFont="1" applyFill="1" applyBorder="1" applyNumberFormat="1">
      <alignment vertical="center" wrapText="1"/>
      <protection locked="0"/>
    </xf>
    <xf numFmtId="0" fontId="23" fillId="0" borderId="14" xfId="0" applyFont="1" applyBorder="1" applyNumberFormat="1">
      <alignment vertical="top" wrapText="1"/>
    </xf>
    <xf numFmtId="0" fontId="23" fillId="0" borderId="14" xfId="0" applyFont="1" applyBorder="1" applyNumberFormat="1">
      <alignment horizontal="left" vertical="top" wrapText="1"/>
    </xf>
    <xf numFmtId="4" fontId="23" fillId="38" borderId="16" xfId="0" applyFont="1" applyFill="1" applyBorder="1" applyNumberFormat="1">
      <alignment horizontal="right" vertical="center" wrapText="1"/>
    </xf>
    <xf numFmtId="0" fontId="54" fillId="0" borderId="14" xfId="0" applyFont="1" applyBorder="1" applyNumberFormat="1">
      <alignment vertical="top" wrapText="1"/>
    </xf>
    <xf numFmtId="0" fontId="45" fillId="0" borderId="0" xfId="0" applyFont="1" applyNumberFormat="1">
      <alignment horizontal="center" vertical="center" wrapText="1"/>
    </xf>
    <xf numFmtId="49" fontId="23" fillId="42" borderId="14" xfId="0" applyFont="1" applyFill="1" applyBorder="1" applyNumberFormat="1">
      <alignment horizontal="left" vertical="center" wrapText="1" indent="1"/>
      <protection locked="0"/>
    </xf>
    <xf numFmtId="0" fontId="23" fillId="0" borderId="0" xfId="0" applyFont="1" applyNumberFormat="1">
      <alignment horizontal="left" vertical="center" wrapText="1" indent="2"/>
    </xf>
    <xf numFmtId="0" fontId="47" fillId="37" borderId="0" xfId="0" applyFont="1" applyFill="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49" fontId="23" fillId="0" borderId="0" xfId="0" applyFont="1" applyNumberFormat="1">
      <alignment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0" xfId="0" applyFont="1" applyFill="1" applyNumberFormat="1">
      <alignment horizontal="center" vertical="center" wrapText="1"/>
    </xf>
    <xf numFmtId="0" fontId="23" fillId="37" borderId="0" xfId="0" applyFont="1" applyFill="1" applyNumberFormat="1">
      <alignment horizontal="right" vertical="center"/>
    </xf>
    <xf numFmtId="49" fontId="23" fillId="0" borderId="0" xfId="0" applyFont="1" applyNumberFormat="1">
      <alignment vertical="center" wrapText="1"/>
    </xf>
    <xf numFmtId="0" fontId="23"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0"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4" fillId="37" borderId="0" xfId="0" applyFont="1" applyFill="1" applyNumberFormat="1">
      <alignment horizontal="center" vertical="center" wrapText="1"/>
    </xf>
    <xf numFmtId="49" fontId="23" fillId="0" borderId="0" xfId="0" applyFont="1" applyNumberFormat="1">
      <alignment vertical="top"/>
    </xf>
    <xf numFmtId="49" fontId="0" fillId="37" borderId="14" xfId="0" applyFont="1" applyFill="1" applyBorder="1" applyNumberFormat="1">
      <alignment horizontal="center" vertical="center" wrapText="1"/>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34" fillId="42" borderId="14" xfId="0" applyFont="1" applyFill="1" applyBorder="1" applyNumberFormat="1">
      <alignment horizontal="left" vertical="center" wrapText="1"/>
      <protection locked="0"/>
    </xf>
    <xf numFmtId="0"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49" fontId="52" fillId="40" borderId="15" xfId="0" applyFont="1" applyFill="1" applyBorder="1" applyNumberFormat="1">
      <alignment horizontal="center" vertical="top"/>
    </xf>
    <xf numFmtId="0" fontId="23"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0" fontId="47" fillId="37" borderId="0" xfId="0" applyFont="1" applyFill="1" applyNumberFormat="1">
      <alignment vertical="center" wrapText="1"/>
    </xf>
    <xf numFmtId="49" fontId="52" fillId="40" borderId="17" xfId="0" applyFont="1" applyFill="1" applyBorder="1" applyNumberFormat="1">
      <alignment horizontal="center" vertical="top"/>
    </xf>
    <xf numFmtId="0" fontId="55" fillId="0" borderId="0" xfId="0" applyFont="1" applyNumberFormat="1">
      <alignment vertical="center"/>
    </xf>
    <xf numFmtId="49"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49" fontId="72" fillId="0" borderId="14" xfId="0" applyFont="1" applyBorder="1" applyNumberFormat="1">
      <alignment horizontal="center" vertical="center" wrapText="1"/>
    </xf>
    <xf numFmtId="0" fontId="72" fillId="0" borderId="14" xfId="0" applyFont="1" applyBorder="1" applyNumberFormat="1">
      <alignment horizontal="left" vertical="center" wrapText="1" indent="2"/>
    </xf>
    <xf numFmtId="49" fontId="75" fillId="0" borderId="16" xfId="0" applyFont="1" applyBorder="1" applyNumberFormat="1">
      <alignment horizontal="left" vertical="center" wrapText="1"/>
    </xf>
    <xf numFmtId="0" fontId="23" fillId="0" borderId="19" xfId="0" applyFont="1" applyBorder="1" applyNumberFormat="1">
      <alignment vertical="top" wrapText="1"/>
    </xf>
    <xf numFmtId="49" fontId="48" fillId="40" borderId="17" xfId="0" applyFont="1" applyFill="1" applyBorder="1" applyNumberFormat="1">
      <alignment horizontal="left" vertical="center" indent="1"/>
    </xf>
    <xf numFmtId="0" fontId="23" fillId="0" borderId="25" xfId="0" applyFont="1" applyBorder="1" applyNumberFormat="1">
      <alignment vertical="top" wrapText="1"/>
    </xf>
    <xf numFmtId="49" fontId="0"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23" fillId="0" borderId="0" xfId="0" applyFont="1" applyNumberFormat="1">
      <alignment vertical="top" wrapText="1"/>
    </xf>
    <xf numFmtId="49" fontId="23" fillId="0" borderId="0" xfId="0" applyFont="1" applyNumberFormat="1">
      <alignment vertical="center" wrapText="1"/>
    </xf>
    <xf numFmtId="0" fontId="54" fillId="0" borderId="0" xfId="0" applyFont="1" applyNumberFormat="1">
      <alignment vertical="center" wrapText="1"/>
    </xf>
    <xf numFmtId="0" fontId="47" fillId="0" borderId="0" xfId="0" applyFont="1" applyNumberFormat="1">
      <alignment vertical="center" wrapText="1"/>
    </xf>
    <xf numFmtId="49" fontId="54" fillId="0" borderId="0" xfId="0" applyFont="1" applyNumberFormat="1">
      <alignment vertical="top"/>
    </xf>
    <xf numFmtId="49" fontId="126" fillId="0" borderId="0" xfId="0" applyFont="1" applyNumberFormat="1">
      <alignment horizontal="center" vertical="center" wrapText="1"/>
    </xf>
    <xf numFmtId="0" fontId="0" fillId="42" borderId="14" xfId="0" applyFont="1" applyFill="1" applyBorder="1" applyNumberFormat="1">
      <alignment horizontal="left" vertical="center" wrapText="1" indent="1"/>
      <protection locked="0"/>
    </xf>
    <xf numFmtId="49" fontId="34" fillId="42" borderId="14" xfId="0" applyFont="1" applyFill="1" applyBorder="1" applyNumberFormat="1">
      <alignment horizontal="left" vertical="center" wrapText="1"/>
      <protection locked="0"/>
    </xf>
    <xf numFmtId="0" fontId="47" fillId="0" borderId="0" xfId="0" applyFont="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0" fillId="0" borderId="14" xfId="0" applyFont="1" applyBorder="1" applyNumberFormat="1">
      <alignment horizontal="left" vertical="center" wrapText="1"/>
    </xf>
    <xf numFmtId="167" fontId="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0" fillId="0" borderId="14" xfId="0" applyFont="1" applyBorder="1" applyNumberFormat="1">
      <alignment horizontal="left" vertical="center" wrapText="1"/>
    </xf>
    <xf numFmtId="49" fontId="130" fillId="42" borderId="14" xfId="0" applyFont="1" applyFill="1" applyBorder="1" applyNumberFormat="1">
      <alignment horizontal="left" vertical="center" wrapText="1"/>
      <protection locked="0"/>
    </xf>
    <xf numFmtId="0" fontId="23"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23" fillId="0" borderId="14" xfId="0" applyFont="1" applyBorder="1" applyNumberFormat="1">
      <alignment vertical="top" wrapText="1"/>
    </xf>
    <xf numFmtId="49" fontId="48" fillId="40" borderId="17" xfId="0" applyFont="1" applyFill="1" applyBorder="1" applyNumberFormat="1">
      <alignment horizontal="left" vertical="center" indent="2"/>
    </xf>
    <xf numFmtId="0" fontId="23" fillId="0" borderId="0" xfId="0" applyFont="1" applyNumberFormat="1">
      <alignment vertical="center" wrapText="1"/>
    </xf>
    <xf numFmtId="49" fontId="54" fillId="0" borderId="0" xfId="0" applyFont="1" applyNumberFormat="1">
      <alignment vertical="top"/>
    </xf>
    <xf numFmtId="0" fontId="54" fillId="0" borderId="0" xfId="0" applyFont="1" applyNumberFormat="1">
      <alignment vertical="center" wrapText="1"/>
    </xf>
    <xf numFmtId="49" fontId="126" fillId="0" borderId="0" xfId="0" applyFont="1" applyNumberFormat="1">
      <alignment horizontal="center" vertical="center" wrapText="1"/>
    </xf>
    <xf numFmtId="49"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0" borderId="14" xfId="0" applyFont="1" applyBorder="1" applyNumberFormat="1">
      <alignment horizontal="center" vertical="center" wrapText="1"/>
    </xf>
    <xf numFmtId="0" fontId="0" fillId="42" borderId="14" xfId="0" applyFont="1" applyFill="1" applyBorder="1" applyNumberFormat="1">
      <alignment horizontal="left" vertical="center" wrapText="1"/>
      <protection locked="0"/>
    </xf>
    <xf numFmtId="0" fontId="23" fillId="0" borderId="0" xfId="0" applyFont="1" applyNumberFormat="1">
      <alignment vertical="center" wrapText="1"/>
    </xf>
    <xf numFmtId="0" fontId="55" fillId="0" borderId="0" xfId="0" applyFont="1" applyNumberFormat="1">
      <alignment vertical="center"/>
    </xf>
    <xf numFmtId="0" fontId="23" fillId="0" borderId="0" xfId="0" applyFont="1" applyNumberFormat="1">
      <alignment vertical="center" wrapText="1"/>
    </xf>
    <xf numFmtId="49" fontId="48" fillId="40" borderId="17" xfId="0" applyFont="1" applyFill="1" applyBorder="1" applyNumberFormat="1">
      <alignment horizontal="left" vertical="center" indent="3"/>
    </xf>
    <xf numFmtId="49" fontId="23" fillId="43" borderId="14" xfId="0" applyFont="1" applyFill="1" applyBorder="1" applyNumberFormat="1">
      <alignment horizontal="left" vertical="center" wrapText="1"/>
    </xf>
    <xf numFmtId="49" fontId="23" fillId="0" borderId="0" xfId="0" applyFont="1" applyNumberFormat="1">
      <alignment vertical="top"/>
    </xf>
    <xf numFmtId="49" fontId="55" fillId="0" borderId="0" xfId="0" applyFont="1" applyNumberFormat="1">
      <alignment vertical="top"/>
    </xf>
    <xf numFmtId="0" fontId="23" fillId="0" borderId="0" xfId="0" applyFont="1" applyNumberFormat="1">
      <alignment horizontal="right" vertical="top" wrapText="1"/>
    </xf>
    <xf numFmtId="49" fontId="23" fillId="0" borderId="0" xfId="0" applyFont="1" applyNumberFormat="1">
      <alignment vertical="top" wrapText="1"/>
    </xf>
    <xf numFmtId="49" fontId="23" fillId="0" borderId="0" xfId="0" applyFont="1" applyNumberFormat="1">
      <alignment vertical="top"/>
    </xf>
    <xf numFmtId="0" fontId="0" fillId="0" borderId="15" xfId="0" applyFont="1" applyBorder="1" applyNumberFormat="1">
      <alignment horizontal="center" vertical="center" wrapText="1"/>
    </xf>
    <xf numFmtId="167" fontId="0" fillId="42" borderId="15" xfId="0" applyFont="1" applyFill="1" applyBorder="1" applyNumberFormat="1">
      <alignment horizontal="left" vertical="center" wrapText="1"/>
      <protection locked="0"/>
    </xf>
    <xf numFmtId="167"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49" fontId="52" fillId="40" borderId="15" xfId="0" applyFont="1" applyFill="1" applyBorder="1" applyNumberFormat="1">
      <alignment horizontal="center" vertical="top"/>
    </xf>
    <xf numFmtId="0" fontId="0" fillId="0" borderId="15" xfId="0" applyFont="1" applyBorder="1" applyNumberFormat="1">
      <alignment horizontal="center" vertical="center" wrapText="1"/>
    </xf>
    <xf numFmtId="0" fontId="23" fillId="0" borderId="0" xfId="0" applyFont="1" applyNumberFormat="1">
      <alignment horizontal="left" vertical="center" wrapText="1" indent="1"/>
    </xf>
    <xf numFmtId="0" fontId="0" fillId="0" borderId="14" xfId="0" applyFont="1" applyBorder="1" applyNumberFormat="1">
      <alignment horizontal="center" vertical="center" wrapText="1"/>
    </xf>
    <xf numFmtId="0" fontId="23" fillId="0" borderId="17" xfId="0" applyFont="1" applyBorder="1" applyNumberFormat="1">
      <alignment horizontal="left" vertical="top" wrapText="1" indent="1"/>
    </xf>
    <xf numFmtId="0" fontId="22" fillId="0" borderId="0" xfId="0" applyFont="1" applyNumberFormat="1">
      <alignment vertical="center" wrapText="1"/>
    </xf>
    <xf numFmtId="0" fontId="0" fillId="37" borderId="16" xfId="0" applyFont="1" applyFill="1" applyBorder="1" applyNumberFormat="1">
      <alignment horizontal="right" vertical="center" wrapText="1" indent="1"/>
    </xf>
    <xf numFmtId="0" fontId="76" fillId="0" borderId="0" xfId="0" applyFont="1" applyNumberFormat="1">
      <alignment vertical="center" wrapText="1"/>
    </xf>
    <xf numFmtId="49" fontId="44" fillId="37" borderId="0" xfId="0" applyFont="1" applyFill="1" applyNumberFormat="1">
      <alignment horizontal="center" vertical="center" wrapText="1"/>
    </xf>
    <xf numFmtId="49" fontId="44" fillId="37" borderId="21" xfId="0" applyFont="1" applyFill="1" applyBorder="1" applyNumberFormat="1">
      <alignment horizontal="center" vertical="center" wrapText="1"/>
    </xf>
    <xf numFmtId="49" fontId="0" fillId="37" borderId="19"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23" fillId="0" borderId="14" xfId="0" applyFont="1" applyBorder="1" applyNumberFormat="1">
      <alignment horizontal="left" vertical="center" wrapText="1"/>
    </xf>
    <xf numFmtId="0" fontId="47" fillId="37" borderId="0" xfId="0" applyFont="1" applyFill="1" applyNumberFormat="1">
      <alignment horizontal="center" vertical="top" wrapText="1"/>
    </xf>
    <xf numFmtId="0" fontId="0" fillId="38" borderId="16" xfId="0" applyFont="1" applyFill="1" applyBorder="1" applyNumberFormat="1">
      <alignment horizontal="left" vertical="center" wrapText="1" indent="1"/>
    </xf>
    <xf numFmtId="0" fontId="0" fillId="0" borderId="15" xfId="0" applyFont="1" applyBorder="1" applyNumberFormat="1">
      <alignment horizontal="center" vertical="center" wrapText="1"/>
    </xf>
    <xf numFmtId="0" fontId="0" fillId="0" borderId="15" xfId="0" applyFont="1" applyBorder="1" applyNumberFormat="1">
      <alignment horizontal="center" vertical="center" wrapText="1"/>
    </xf>
    <xf numFmtId="49" fontId="48" fillId="40" borderId="29" xfId="0" applyFont="1" applyFill="1" applyBorder="1" applyNumberFormat="1">
      <alignment horizontal="left" vertical="center" indent="2"/>
    </xf>
    <xf numFmtId="49" fontId="48" fillId="40" borderId="17" xfId="0" applyFont="1" applyFill="1" applyBorder="1" applyNumberFormat="1">
      <alignment horizontal="left" vertical="center"/>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23" fillId="0" borderId="0" xfId="0" applyFont="1" applyNumberFormat="1">
      <alignment vertical="center" wrapText="1"/>
    </xf>
    <xf numFmtId="49" fontId="23" fillId="0" borderId="0" xfId="0" applyFont="1" applyNumberFormat="1">
      <alignment vertical="top"/>
    </xf>
    <xf numFmtId="0" fontId="23" fillId="0" borderId="0" xfId="0" applyFont="1" applyNumberFormat="1">
      <alignment vertical="top" wrapText="1"/>
    </xf>
    <xf numFmtId="0" fontId="47" fillId="0" borderId="0" xfId="0" applyFont="1" applyNumberFormat="1">
      <alignment vertical="center" wrapText="1"/>
    </xf>
    <xf numFmtId="0" fontId="23" fillId="0" borderId="38" xfId="0" applyFont="1" applyBorder="1" applyNumberFormat="1">
      <alignment vertical="center" wrapText="1"/>
    </xf>
    <xf numFmtId="0" fontId="0" fillId="38" borderId="14" xfId="0" applyFont="1" applyFill="1" applyBorder="1" applyNumberFormat="1">
      <alignment horizontal="center" vertical="center" wrapText="1"/>
    </xf>
    <xf numFmtId="0" fontId="0" fillId="0" borderId="15" xfId="0" applyFont="1" applyBorder="1" applyNumberFormat="1">
      <alignment horizontal="center" vertical="center" wrapText="1"/>
    </xf>
    <xf numFmtId="167" fontId="0" fillId="42" borderId="15" xfId="0" applyFont="1" applyFill="1" applyBorder="1" applyNumberFormat="1">
      <alignment horizontal="left" vertical="center" wrapText="1"/>
      <protection locked="0"/>
    </xf>
    <xf numFmtId="167"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xf>
    <xf numFmtId="0" fontId="23" fillId="0" borderId="0" xfId="0" applyFont="1" applyNumberFormat="1">
      <alignment vertical="center" wrapText="1"/>
    </xf>
    <xf numFmtId="0" fontId="23" fillId="0" borderId="0" xfId="0" applyFont="1" applyNumberFormat="1">
      <alignment vertical="center" wrapText="1"/>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0" fontId="23" fillId="0" borderId="14" xfId="0" applyFont="1" applyBorder="1" applyNumberFormat="1">
      <alignment vertical="top" wrapText="1"/>
    </xf>
    <xf numFmtId="49" fontId="0" fillId="37" borderId="16" xfId="0" applyFont="1" applyFill="1" applyBorder="1" applyNumberFormat="1">
      <alignment horizontal="center" vertical="center" wrapText="1"/>
    </xf>
    <xf numFmtId="0" fontId="23" fillId="0" borderId="38" xfId="0" applyFont="1" applyBorder="1" applyNumberFormat="1">
      <alignment horizontal="left" vertical="top" wrapText="1"/>
    </xf>
    <xf numFmtId="4" fontId="0" fillId="42" borderId="14" xfId="0" applyFont="1" applyFill="1" applyBorder="1" applyNumberFormat="1">
      <alignment horizontal="right" vertical="center" wrapText="1"/>
      <protection locked="0"/>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49" fontId="23" fillId="0" borderId="0" xfId="0" applyFont="1" applyNumberFormat="1">
      <alignment vertical="top"/>
    </xf>
    <xf numFmtId="49" fontId="23" fillId="0" borderId="21" xfId="0" applyFont="1" applyBorder="1" applyNumberFormat="1">
      <alignment vertical="top"/>
    </xf>
    <xf numFmtId="0" fontId="22" fillId="0" borderId="0" xfId="0" applyFont="1" applyNumberFormat="1">
      <alignment horizontal="right" vertical="top" wrapText="1"/>
    </xf>
    <xf numFmtId="49" fontId="23" fillId="0" borderId="0" xfId="0" applyFont="1" applyNumberFormat="1">
      <alignment vertical="top" wrapText="1"/>
    </xf>
    <xf numFmtId="0" fontId="23" fillId="0" borderId="0" xfId="0" applyFont="1" applyNumberFormat="1">
      <alignment vertical="top" wrapText="1"/>
    </xf>
    <xf numFmtId="0" fontId="23" fillId="0" borderId="0" xfId="0" applyFont="1" applyNumberFormat="1">
      <alignment vertical="center" wrapText="1"/>
    </xf>
    <xf numFmtId="0" fontId="55" fillId="0" borderId="0" xfId="0" applyFont="1" applyNumberFormat="1">
      <alignment vertical="center"/>
    </xf>
    <xf numFmtId="49" fontId="23" fillId="0" borderId="0" xfId="0" applyFont="1" applyNumberFormat="1">
      <alignment vertical="top"/>
    </xf>
    <xf numFmtId="49" fontId="0" fillId="42" borderId="14" xfId="0" applyFont="1" applyFill="1" applyBorder="1" applyNumberFormat="1">
      <alignment horizontal="left" vertical="center" wrapText="1" indent="1"/>
      <protection locked="0"/>
    </xf>
    <xf numFmtId="0" fontId="23" fillId="0" borderId="0" xfId="0" applyFont="1" applyNumberFormat="1">
      <alignment vertical="center" wrapText="1"/>
    </xf>
    <xf numFmtId="0" fontId="69" fillId="0" borderId="0" xfId="0" applyFont="1" applyNumberFormat="1">
      <alignment vertical="center" wrapText="1"/>
    </xf>
    <xf numFmtId="0" fontId="23" fillId="37" borderId="14" xfId="0" applyFont="1" applyFill="1" applyBorder="1" applyNumberFormat="1">
      <alignment horizontal="center" vertical="center" wrapText="1"/>
    </xf>
    <xf numFmtId="0" fontId="0" fillId="0" borderId="14" xfId="0" applyFont="1" applyBorder="1" applyNumberFormat="1">
      <alignment horizontal="left" vertical="top"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0" borderId="21" xfId="0" applyFont="1" applyBorder="1" applyNumberFormat="1">
      <alignment vertical="center" wrapText="1"/>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49" fontId="23" fillId="0" borderId="0" xfId="0" applyFont="1" applyNumberFormat="1">
      <alignment vertical="center" wrapText="1"/>
    </xf>
    <xf numFmtId="0" fontId="88"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0" borderId="14" xfId="0" applyFont="1" applyBorder="1" applyNumberFormat="1">
      <alignment horizontal="center"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34" fillId="0" borderId="0" xfId="0" applyFont="1" applyNumberFormat="1">
      <alignment vertical="center" wrapText="1"/>
    </xf>
    <xf numFmtId="49" fontId="23" fillId="0" borderId="0" xfId="0" applyFont="1" applyNumberFormat="1">
      <alignment horizontal="center" vertical="top"/>
    </xf>
    <xf numFmtId="49" fontId="40" fillId="49" borderId="0" xfId="0" applyFont="1" applyFill="1" applyNumberFormat="1">
      <alignment horizontal="center" vertical="center"/>
    </xf>
    <xf numFmtId="49" fontId="23" fillId="0" borderId="14" xfId="0" applyFont="1" applyBorder="1" applyNumberFormat="1">
      <alignment horizontal="center" vertical="top"/>
    </xf>
    <xf numFmtId="49" fontId="54" fillId="49" borderId="0" xfId="0" applyFont="1" applyFill="1" applyNumberFormat="1">
      <alignment horizontal="center" vertical="center" wrapText="1"/>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horizontal="center" vertical="top"/>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0" fontId="23" fillId="0" borderId="16" xfId="0" applyFont="1" applyBorder="1" applyNumberFormat="1">
      <alignment horizontal="left" vertical="center"/>
    </xf>
    <xf numFmtId="49" fontId="23" fillId="0" borderId="46" xfId="0" applyFont="1" applyBorder="1" applyNumberFormat="1">
      <alignment vertical="center"/>
    </xf>
    <xf numFmtId="49" fontId="23" fillId="0" borderId="47" xfId="0" applyFont="1" applyBorder="1" applyNumberFormat="1">
      <alignment vertical="top"/>
    </xf>
    <xf numFmtId="49" fontId="23" fillId="0" borderId="18"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0" fontId="0" fillId="50" borderId="0" xfId="0" applyFont="1" applyFill="1" applyNumberFormat="1">
      <alignment horizontal="right" vertical="center"/>
    </xf>
    <xf numFmtId="49" fontId="40" fillId="0" borderId="0" xfId="0" applyFont="1" applyNumberFormat="1">
      <alignment horizontal="center" vertical="center"/>
    </xf>
    <xf numFmtId="49" fontId="0" fillId="0" borderId="0" xfId="0" applyFont="1" applyNumberFormat="1">
      <alignment vertical="top"/>
    </xf>
    <xf numFmtId="49" fontId="40" fillId="49" borderId="0" xfId="0" applyFont="1" applyFill="1" applyNumberFormat="1">
      <alignment horizontal="center" vertical="center"/>
    </xf>
    <xf numFmtId="0" fontId="23" fillId="0" borderId="0" xfId="0" applyFont="1" applyNumberFormat="1">
      <alignment vertical="center"/>
    </xf>
    <xf numFmtId="0" fontId="0" fillId="50"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3" fillId="0" borderId="16" xfId="0" applyFont="1" applyBorder="1" applyNumberFormat="1">
      <alignment vertical="top"/>
    </xf>
    <xf numFmtId="0" fontId="0" fillId="50" borderId="0" xfId="0" applyFont="1" applyFill="1" applyNumberFormat="1">
      <alignment horizontal="right" vertical="center"/>
    </xf>
    <xf numFmtId="0" fontId="0" fillId="0" borderId="0" xfId="0" applyFont="1" applyNumberFormat="1">
      <alignment horizontal="left" vertical="center"/>
    </xf>
    <xf numFmtId="0" fontId="0" fillId="50" borderId="0" xfId="0" applyFont="1" applyFill="1" applyNumberFormat="1">
      <alignment horizontal="right" vertical="center"/>
    </xf>
    <xf numFmtId="0" fontId="0" fillId="50" borderId="0" xfId="0" applyFont="1" applyFill="1" applyNumberFormat="1">
      <alignment horizontal="left" vertical="center"/>
    </xf>
    <xf numFmtId="0" fontId="59" fillId="50" borderId="0" xfId="0" applyFont="1" applyFill="1" applyNumberFormat="1">
      <alignment horizontal="left" vertical="center"/>
    </xf>
    <xf numFmtId="0" fontId="0" fillId="0" borderId="0" xfId="0" applyFont="1" applyNumberFormat="1">
      <alignment vertical="center"/>
    </xf>
    <xf numFmtId="0" fontId="23" fillId="0" borderId="0" xfId="0" applyFont="1" applyNumberFormat="1">
      <alignment vertical="top"/>
    </xf>
    <xf numFmtId="0" fontId="59" fillId="0" borderId="0" xfId="0" applyFont="1" applyNumberFormat="1">
      <alignment horizontal="left" vertical="center"/>
    </xf>
    <xf numFmtId="49" fontId="0" fillId="0" borderId="16" xfId="0" applyFont="1" applyBorder="1" applyNumberFormat="1">
      <alignment vertical="top"/>
    </xf>
    <xf numFmtId="49" fontId="23" fillId="0" borderId="14" xfId="0" applyFont="1" applyBorder="1" applyNumberFormat="1">
      <alignment horizontal="right" vertical="top"/>
    </xf>
    <xf numFmtId="0" fontId="0" fillId="0" borderId="16" xfId="0" applyFont="1" applyBorder="1" applyNumberFormat="1">
      <alignment horizontal="left" vertical="center"/>
    </xf>
    <xf numFmtId="0" fontId="59" fillId="50" borderId="0" xfId="0" applyFont="1" applyFill="1" applyNumberFormat="1">
      <alignment horizontal="left" vertical="center"/>
    </xf>
    <xf numFmtId="49" fontId="23" fillId="0" borderId="19" xfId="0" applyFont="1" applyBorder="1" applyNumberFormat="1">
      <alignment horizontal="righ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14" xfId="0" applyFont="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0" fontId="23" fillId="50" borderId="0" xfId="0" applyFont="1" applyFill="1" applyNumberFormat="1">
      <alignment horizontal="left" vertical="center"/>
    </xf>
    <xf numFmtId="0" fontId="0" fillId="50" borderId="12" xfId="0" applyFont="1" applyFill="1" applyBorder="1" applyNumberFormat="1">
      <alignment horizontal="center"/>
    </xf>
    <xf numFmtId="49" fontId="109" fillId="0" borderId="18" xfId="0" applyFont="1" applyBorder="1" applyNumberFormat="1">
      <alignment vertical="top"/>
    </xf>
    <xf numFmtId="49" fontId="0" fillId="0" borderId="0" xfId="0" applyFont="1" applyNumberFormat="1">
      <alignment vertical="center"/>
    </xf>
    <xf numFmtId="49" fontId="53" fillId="56" borderId="0" xfId="0" applyFont="1" applyFill="1" applyNumberFormat="1">
      <alignment vertical="center" wrapText="1"/>
    </xf>
    <xf numFmtId="0" fontId="0" fillId="0" borderId="12" xfId="0" applyFont="1" applyBorder="1" applyNumberFormat="1">
      <alignment horizontal="center"/>
    </xf>
    <xf numFmtId="49" fontId="23" fillId="50" borderId="0" xfId="0" applyFont="1" applyFill="1" applyNumberFormat="1">
      <alignment horizontal="center" vertical="center"/>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0" fontId="0" fillId="34" borderId="14" xfId="0" applyFont="1" applyFill="1" applyBorder="1" applyNumberFormat="1">
      <alignment horizontal="right" vertical="center"/>
    </xf>
    <xf numFmtId="49" fontId="23" fillId="34" borderId="25" xfId="0" applyFont="1" applyFill="1" applyBorder="1" applyNumberFormat="1">
      <alignment vertical="top"/>
    </xf>
    <xf numFmtId="49" fontId="23" fillId="34" borderId="14" xfId="0" applyFont="1" applyFill="1" applyBorder="1" applyNumberFormat="1">
      <alignment vertical="top"/>
    </xf>
    <xf numFmtId="49" fontId="23" fillId="0" borderId="16" xfId="0" applyFont="1" applyBorder="1" applyNumberFormat="1">
      <alignment horizontal="center" vertical="top"/>
    </xf>
    <xf numFmtId="49" fontId="23" fillId="0" borderId="15" xfId="0" applyFont="1" applyBorder="1" applyNumberFormat="1">
      <alignment horizontal="center" vertical="top"/>
    </xf>
    <xf numFmtId="0" fontId="23" fillId="38" borderId="32" xfId="0" applyFont="1" applyFill="1" applyBorder="1" applyNumberFormat="1">
      <alignment horizontal="center" vertical="top"/>
    </xf>
    <xf numFmtId="0" fontId="23" fillId="38" borderId="32" xfId="0" applyFont="1" applyFill="1" applyBorder="1" applyNumberFormat="1">
      <alignment horizontal="left" vertical="top"/>
    </xf>
    <xf numFmtId="0" fontId="0" fillId="0" borderId="34" xfId="0" applyFont="1" applyBorder="1" applyNumberFormat="1">
      <alignment horizontal="center" vertical="center"/>
    </xf>
    <xf numFmtId="0" fontId="0" fillId="0" borderId="36" xfId="0" applyFont="1" applyBorder="1" applyNumberFormat="1">
      <alignment horizontal="center" vertical="center"/>
    </xf>
    <xf numFmtId="0" fontId="23" fillId="0" borderId="14" xfId="0" applyFont="1" applyBorder="1" applyNumberFormat="1">
      <alignment horizontal="left" vertical="top"/>
    </xf>
    <xf numFmtId="49" fontId="23" fillId="0" borderId="0" xfId="0" applyFont="1" applyNumberFormat="1">
      <alignment horizontal="left" vertical="top"/>
    </xf>
    <xf numFmtId="0" fontId="0" fillId="0" borderId="33" xfId="0" applyFont="1" applyBorder="1" applyNumberFormat="1">
      <alignment horizontal="center" vertical="center"/>
    </xf>
    <xf numFmtId="0" fontId="0" fillId="0" borderId="35" xfId="0" applyFont="1" applyBorder="1" applyNumberFormat="1">
      <alignment horizontal="center" vertical="center"/>
    </xf>
    <xf numFmtId="49" fontId="40" fillId="49" borderId="16" xfId="0" applyFont="1" applyFill="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50" borderId="0" xfId="0" applyFont="1" applyFill="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xf>
    <xf numFmtId="49" fontId="0"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49" fontId="0" fillId="0" borderId="0" xfId="0" applyFont="1" applyNumberFormat="1">
      <alignment vertical="center" wrapText="1"/>
    </xf>
    <xf numFmtId="49" fontId="0" fillId="0" borderId="0" xfId="0" applyFont="1" applyNumberFormat="1">
      <alignment vertical="center"/>
    </xf>
    <xf numFmtId="49" fontId="23" fillId="0" borderId="0" xfId="0" applyFont="1" applyNumberFormat="1">
      <alignment vertical="top"/>
    </xf>
    <xf numFmtId="49"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0" fontId="23" fillId="42" borderId="14" xfId="0" applyFont="1" applyFill="1" applyBorder="1" applyNumberFormat="1">
      <alignment horizontal="center" vertical="center" wrapText="1"/>
      <protection locked="0"/>
    </xf>
    <xf numFmtId="0" fontId="54" fillId="37" borderId="0" xfId="0" applyFont="1" applyFill="1" applyNumberFormat="1"/>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8" borderId="14" xfId="0" applyFont="1" applyFill="1" applyBorder="1" applyNumberFormat="1">
      <alignment horizontal="left" vertical="center" wrapText="1"/>
    </xf>
    <xf numFmtId="0" fontId="73" fillId="37" borderId="0" xfId="0" applyFont="1" applyFill="1" applyNumberFormat="1"/>
    <xf numFmtId="0" fontId="23" fillId="37" borderId="14" xfId="0" applyFont="1" applyFill="1" applyBorder="1" applyNumberFormat="1">
      <alignment horizontal="left"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0" fontId="55"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0" fillId="37" borderId="19" xfId="0" applyFont="1" applyFill="1" applyBorder="1" applyNumberFormat="1">
      <alignment horizontal="left" vertical="top" wrapText="1"/>
    </xf>
    <xf numFmtId="0" fontId="72" fillId="37" borderId="0" xfId="0" applyFont="1" applyFill="1" applyNumberFormat="1"/>
    <xf numFmtId="0" fontId="77" fillId="37" borderId="0" xfId="0" applyFont="1" applyFill="1" applyNumberFormat="1">
      <alignment vertical="center" wrapText="1"/>
    </xf>
    <xf numFmtId="0" fontId="55" fillId="37" borderId="14" xfId="0" applyFont="1" applyFill="1" applyBorder="1" applyNumberFormat="1">
      <alignment horizontal="center" vertical="center"/>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0" fontId="89" fillId="37" borderId="0" xfId="0" applyFont="1" applyFill="1" applyNumberFormat="1"/>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0" fontId="23" fillId="37" borderId="14" xfId="0" applyFont="1" applyFill="1" applyBorder="1" applyNumberFormat="1">
      <alignment vertical="top"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14" fontId="23" fillId="42" borderId="14" xfId="0" applyFont="1" applyFill="1" applyBorder="1" applyNumberFormat="1">
      <alignment horizontal="left" vertical="center" wrapText="1" indent="1"/>
      <protection locked="0"/>
    </xf>
    <xf numFmtId="0" fontId="117" fillId="0" borderId="0" xfId="0" applyFont="1" applyNumberFormat="1">
      <alignment vertical="center"/>
    </xf>
    <xf numFmtId="0" fontId="45" fillId="0" borderId="0" xfId="0" applyFont="1" applyNumberFormat="1">
      <alignment horizontal="center" vertical="center" wrapText="1"/>
    </xf>
    <xf numFmtId="4" fontId="23" fillId="0" borderId="19" xfId="0" applyFont="1" applyBorder="1" applyNumberFormat="1">
      <alignment horizontal="center" vertical="center" wrapText="1"/>
    </xf>
    <xf numFmtId="165" fontId="23" fillId="0" borderId="39" xfId="0" applyFont="1" applyBorder="1" applyNumberFormat="1">
      <alignment horizontal="center" vertical="center" wrapText="1"/>
    </xf>
    <xf numFmtId="165"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14" fontId="23" fillId="43" borderId="14" xfId="0" applyFont="1" applyFill="1" applyBorder="1" applyNumberFormat="1">
      <alignment horizontal="left" vertical="center" wrapText="1"/>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0" fillId="40" borderId="31" xfId="0" applyFont="1" applyFill="1" applyBorder="1" applyNumberFormat="1">
      <alignment horizontal="right" vertical="center" wrapText="1"/>
    </xf>
    <xf numFmtId="0" fontId="117" fillId="0" borderId="0" xfId="0" applyFont="1" applyNumberFormat="1">
      <alignment vertical="center" wrapText="1"/>
    </xf>
    <xf numFmtId="49" fontId="0" fillId="0" borderId="0" xfId="0" applyFont="1" applyNumberFormat="1">
      <alignment vertical="top"/>
    </xf>
    <xf numFmtId="0" fontId="55" fillId="0" borderId="0" xfId="0" applyFont="1" applyNumberFormat="1">
      <alignment vertical="center"/>
    </xf>
    <xf numFmtId="0" fontId="44"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38" borderId="14" xfId="0" applyFont="1" applyFill="1" applyBorder="1" applyNumberFormat="1">
      <alignment horizontal="left" vertical="center" wrapText="1" indent="1"/>
    </xf>
    <xf numFmtId="167" fontId="0" fillId="42" borderId="17" xfId="0" applyFont="1" applyFill="1" applyBorder="1" applyNumberFormat="1">
      <alignment horizontal="left" vertical="center" wrapText="1" indent="1"/>
      <protection locked="0"/>
    </xf>
    <xf numFmtId="168" fontId="23" fillId="42" borderId="14" xfId="0" applyFont="1" applyFill="1" applyBorder="1" applyNumberFormat="1">
      <alignment horizontal="left" vertical="center" wrapText="1" indent="1"/>
      <protection locked="0"/>
    </xf>
    <xf numFmtId="167" fontId="55" fillId="0" borderId="0" xfId="0" applyFont="1" applyNumberFormat="1">
      <alignment horizontal="center" vertical="center" wrapText="1"/>
    </xf>
    <xf numFmtId="165" fontId="23" fillId="0" borderId="19"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7" xfId="0" applyFont="1" applyBorder="1" applyNumberFormat="1">
      <alignment horizontal="center" vertical="center" wrapText="1"/>
    </xf>
    <xf numFmtId="165" fontId="23" fillId="0" borderId="15" xfId="0" applyFont="1" applyBorder="1" applyNumberFormat="1">
      <alignment horizontal="center" vertical="center" wrapText="1"/>
    </xf>
    <xf numFmtId="4" fontId="23" fillId="0" borderId="38" xfId="0" applyFont="1" applyBorder="1" applyNumberFormat="1">
      <alignment horizontal="center" vertical="center" wrapText="1"/>
    </xf>
    <xf numFmtId="165" fontId="23" fillId="0" borderId="25" xfId="0" applyFont="1" applyBorder="1" applyNumberFormat="1">
      <alignment horizontal="center" vertical="center" wrapText="1"/>
    </xf>
    <xf numFmtId="165" fontId="23" fillId="0" borderId="25"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25" xfId="0" applyFont="1" applyFill="1" applyBorder="1" applyNumberFormat="1">
      <alignment horizontal="left" vertical="center" wrapText="1" indent="1"/>
    </xf>
    <xf numFmtId="14" fontId="23" fillId="42" borderId="25" xfId="0" applyFont="1" applyFill="1" applyBorder="1" applyNumberFormat="1">
      <alignment horizontal="left" vertical="center" wrapText="1" indent="1"/>
      <protection locked="0"/>
    </xf>
    <xf numFmtId="0" fontId="23" fillId="0" borderId="31" xfId="0" applyFont="1" applyBorder="1" applyNumberFormat="1">
      <alignment horizontal="left" vertical="top" wrapText="1"/>
    </xf>
    <xf numFmtId="49" fontId="0" fillId="0" borderId="0" xfId="0" applyFont="1" applyNumberFormat="1">
      <alignment vertical="top"/>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left" vertical="center" wrapText="1" indent="1"/>
    </xf>
    <xf numFmtId="165" fontId="23" fillId="0" borderId="25" xfId="0" applyFont="1" applyBorder="1" applyNumberFormat="1">
      <alignment horizontal="center" vertical="center" wrapText="1"/>
    </xf>
    <xf numFmtId="0" fontId="23" fillId="0" borderId="25" xfId="0" applyFont="1" applyBorder="1" applyNumberFormat="1">
      <alignment horizontal="left" vertical="center" wrapText="1" indent="1"/>
    </xf>
    <xf numFmtId="14" fontId="23" fillId="0" borderId="25" xfId="0" applyFont="1" applyBorder="1" applyNumberFormat="1">
      <alignment horizontal="left" vertical="center" wrapText="1" indent="1"/>
    </xf>
    <xf numFmtId="0" fontId="45" fillId="0" borderId="0" xfId="0" applyFont="1" applyNumberFormat="1">
      <alignment horizontal="center" vertical="center" wrapText="1"/>
    </xf>
    <xf numFmtId="0" fontId="55" fillId="0" borderId="0" xfId="0" applyFont="1" applyNumberFormat="1">
      <alignment vertical="center"/>
    </xf>
    <xf numFmtId="0" fontId="23" fillId="38" borderId="14" xfId="0" applyFont="1" applyFill="1" applyBorder="1" applyNumberFormat="1">
      <alignment horizontal="left" vertical="center" wrapTex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0" borderId="16"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34" fillId="40" borderId="29" xfId="0" applyFont="1" applyFill="1" applyBorder="1" applyNumberFormat="1">
      <alignment horizontal="left" vertical="center" wrapText="1"/>
    </xf>
    <xf numFmtId="49" fontId="34" fillId="40" borderId="31" xfId="0" applyFont="1" applyFill="1" applyBorder="1" applyNumberFormat="1">
      <alignment horizontal="left" vertical="center" wrapText="1"/>
    </xf>
    <xf numFmtId="0" fontId="23" fillId="37" borderId="38" xfId="0" applyFont="1" applyFill="1" applyBorder="1" applyNumberFormat="1">
      <alignment vertical="center" wrapText="1"/>
    </xf>
    <xf numFmtId="0" fontId="55" fillId="0" borderId="0" xfId="0" applyFont="1" applyNumberFormat="1">
      <alignment horizontal="center"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14"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7" xfId="0" applyFont="1" applyBorder="1" applyNumberFormat="1">
      <alignment horizontal="left" vertical="center" wrapText="1"/>
    </xf>
    <xf numFmtId="0" fontId="50" fillId="0" borderId="0" xfId="0" applyFont="1" applyNumberFormat="1">
      <alignment horizontal="center" vertical="center" wrapText="1"/>
    </xf>
    <xf numFmtId="0" fontId="23" fillId="0" borderId="0" xfId="0" applyFont="1" applyNumberFormat="1">
      <alignment horizontal="center" vertical="center" wrapText="1"/>
    </xf>
    <xf numFmtId="165" fontId="53" fillId="0" borderId="21" xfId="0" applyFont="1" applyBorder="1" applyNumberFormat="1">
      <alignment horizontal="center" vertical="center" wrapText="1"/>
    </xf>
    <xf numFmtId="165" fontId="53" fillId="0" borderId="21" xfId="0" applyFont="1" applyBorder="1" applyNumberFormat="1">
      <alignment horizontal="center" vertical="center" wrapText="1"/>
    </xf>
    <xf numFmtId="165" fontId="53" fillId="0" borderId="22" xfId="0" applyFont="1" applyBorder="1" applyNumberFormat="1">
      <alignment horizontal="center" vertical="center" wrapText="1"/>
    </xf>
    <xf numFmtId="0" fontId="55" fillId="0" borderId="0" xfId="0" applyFont="1" applyNumberFormat="1">
      <alignment horizontal="center" vertical="center"/>
    </xf>
    <xf numFmtId="165" fontId="23" fillId="0" borderId="14" xfId="0" applyFont="1" applyBorder="1" applyNumberFormat="1">
      <alignment horizontal="center" vertical="center" wrapText="1"/>
    </xf>
    <xf numFmtId="165" fontId="23" fillId="0" borderId="38" xfId="0" applyFont="1" applyBorder="1" applyNumberFormat="1">
      <alignment horizontal="center" vertical="center" wrapText="1"/>
    </xf>
    <xf numFmtId="165" fontId="23" fillId="0" borderId="14" xfId="0" applyFont="1" applyBorder="1" applyNumberFormat="1">
      <alignment horizontal="center"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43" borderId="32" xfId="0" applyFont="1" applyFill="1" applyBorder="1" applyNumberFormat="1">
      <alignment horizontal="left" vertical="center" wrapText="1"/>
    </xf>
    <xf numFmtId="0" fontId="23" fillId="0" borderId="25" xfId="0" applyFont="1" applyBorder="1" applyNumberFormat="1">
      <alignment horizontal="center" vertical="center" wrapText="1"/>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23" fillId="0" borderId="14" xfId="0" applyFont="1" applyBorder="1" applyNumberFormat="1">
      <alignment horizontal="left" vertical="top" wrapText="1"/>
    </xf>
    <xf numFmtId="49" fontId="23" fillId="43" borderId="25" xfId="0" applyFont="1" applyFill="1" applyBorder="1" applyNumberFormat="1">
      <alignment horizontal="left" vertical="center" wrapText="1"/>
    </xf>
    <xf numFmtId="49" fontId="129" fillId="0" borderId="14" xfId="0" applyFont="1" applyBorder="1" applyNumberFormat="1">
      <alignment horizontal="left" vertical="top"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37" borderId="0" xfId="0" applyFont="1" applyFill="1" applyNumberFormat="1"/>
    <xf numFmtId="49" fontId="40"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xf>
    <xf numFmtId="0" fontId="51" fillId="37" borderId="0" xfId="0" applyFont="1" applyFill="1" applyNumberFormat="1">
      <alignment horizontal="center" vertical="center" wrapText="1"/>
    </xf>
    <xf numFmtId="0" fontId="40" fillId="37" borderId="0" xfId="0" applyFont="1" applyFill="1" applyNumberFormat="1"/>
    <xf numFmtId="0" fontId="23" fillId="37" borderId="14" xfId="0" applyFont="1" applyFill="1" applyBorder="1" applyNumberFormat="1">
      <alignment horizontal="center" vertical="center" wrapTex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top"/>
    </xf>
    <xf numFmtId="49" fontId="55" fillId="0" borderId="0" xfId="0" applyFont="1" applyNumberFormat="1">
      <alignment vertical="top"/>
    </xf>
    <xf numFmtId="49" fontId="23" fillId="0" borderId="0" xfId="0" applyFont="1" applyNumberFormat="1">
      <alignment vertical="top"/>
    </xf>
    <xf numFmtId="49" fontId="48" fillId="40" borderId="17" xfId="0" applyFont="1" applyFill="1" applyBorder="1" applyNumberFormat="1">
      <alignment horizontal="left" vertical="center"/>
    </xf>
    <xf numFmtId="49" fontId="52" fillId="40" borderId="17" xfId="0" applyFont="1" applyFill="1" applyBorder="1" applyNumberFormat="1">
      <alignment horizontal="center" vertical="top"/>
    </xf>
    <xf numFmtId="49" fontId="23" fillId="0" borderId="0" xfId="0" applyFont="1" applyNumberFormat="1">
      <alignment horizontal="left" vertical="top" wrapText="1"/>
    </xf>
    <xf numFmtId="49" fontId="23" fillId="0" borderId="0" xfId="0" applyFont="1" applyNumberFormat="1">
      <alignment vertical="top"/>
    </xf>
    <xf numFmtId="49" fontId="45" fillId="0" borderId="0" xfId="0" applyFont="1" applyNumberFormat="1">
      <alignment horizontal="center" vertical="center"/>
    </xf>
    <xf numFmtId="49" fontId="23" fillId="0" borderId="0" xfId="0" applyFont="1" applyNumberFormat="1">
      <alignment vertical="top"/>
    </xf>
    <xf numFmtId="0" fontId="45" fillId="37" borderId="0" xfId="0" applyFont="1" applyFill="1" applyNumberFormat="1">
      <alignment horizontal="center" vertical="center"/>
    </xf>
    <xf numFmtId="0" fontId="23" fillId="37" borderId="0" xfId="0" applyFont="1" applyFill="1" applyNumberFormat="1"/>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0" fontId="69" fillId="0" borderId="0" xfId="0" applyFont="1" applyNumberFormat="1"/>
    <xf numFmtId="0" fontId="23" fillId="0" borderId="14" xfId="0" applyFont="1" applyBorder="1" applyNumberFormat="1">
      <alignment horizontal="center" vertical="center" wrapText="1"/>
    </xf>
    <xf numFmtId="0" fontId="23" fillId="37" borderId="19" xfId="0" applyFont="1" applyFill="1" applyBorder="1" applyNumberFormat="1">
      <alignment horizontal="center" vertical="center"/>
    </xf>
    <xf numFmtId="49" fontId="23" fillId="0" borderId="19" xfId="0" applyFont="1" applyBorder="1" applyNumberFormat="1">
      <alignment horizontal="left"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49" fontId="53" fillId="0" borderId="0" xfId="0" applyFont="1" applyNumberFormat="1">
      <alignment horizontal="right" vertical="top"/>
    </xf>
    <xf numFmtId="49" fontId="23" fillId="0" borderId="0" xfId="0" applyFont="1" applyNumberFormat="1">
      <alignment horizontal="left" vertical="top" wrapText="1"/>
    </xf>
    <xf numFmtId="49" fontId="53" fillId="0" borderId="0" xfId="0" applyFont="1" applyNumberFormat="1">
      <alignment vertical="top"/>
    </xf>
    <xf numFmtId="0" fontId="23" fillId="0" borderId="0" xfId="0" applyFont="1" applyNumberFormat="1"/>
    <xf numFmtId="0" fontId="45" fillId="0" borderId="0" xfId="0" applyFont="1" applyNumberFormat="1">
      <alignment horizontal="center" vertical="center"/>
    </xf>
    <xf numFmtId="0" fontId="23" fillId="0" borderId="0" xfId="0" applyFont="1" applyNumberFormat="1"/>
    <xf numFmtId="49" fontId="23" fillId="0" borderId="14" xfId="0" applyFont="1" applyBorder="1" applyNumberFormat="1">
      <alignment horizontal="left" vertical="center" wrapText="1"/>
    </xf>
    <xf numFmtId="49" fontId="48" fillId="40" borderId="15" xfId="0" applyFont="1" applyFill="1" applyBorder="1" applyNumberFormat="1">
      <alignment horizontal="left" vertical="center"/>
    </xf>
    <xf numFmtId="49" fontId="0" fillId="0" borderId="17" xfId="0" applyFont="1" applyBorder="1" applyNumberFormat="1">
      <alignment horizontal="left" vertical="center" indent="1"/>
    </xf>
    <xf numFmtId="49" fontId="70" fillId="0" borderId="0" xfId="0" applyFont="1" applyNumberFormat="1">
      <alignment vertical="top"/>
    </xf>
    <xf numFmtId="49" fontId="0" fillId="0" borderId="27" xfId="0" applyFont="1" applyBorder="1" applyNumberFormat="1">
      <alignment horizontal="center" vertical="center"/>
    </xf>
    <xf numFmtId="49" fontId="0" fillId="0" borderId="0" xfId="0" applyFont="1" applyNumberFormat="1">
      <alignment vertical="top"/>
    </xf>
    <xf numFmtId="49" fontId="0" fillId="41" borderId="0" xfId="0" applyFont="1" applyFill="1" applyNumberFormat="1">
      <alignment vertical="top"/>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49" fontId="23" fillId="39" borderId="14" xfId="0" applyFont="1" applyFill="1" applyBorder="1" applyNumberFormat="1">
      <alignment horizontal="left" vertical="center" wrapText="1"/>
      <protection locked="0"/>
    </xf>
    <xf numFmtId="0" fontId="50" fillId="0" borderId="0" xfId="0" applyFont="1" applyNumberFormat="1">
      <alignment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54" fillId="0" borderId="0" xfId="0" applyFont="1" applyNumberFormat="1">
      <alignment horizontal="center" vertical="center" wrapText="1"/>
    </xf>
    <xf numFmtId="0" fontId="54" fillId="0" borderId="14" xfId="0" applyFont="1" applyBorder="1" applyNumberFormat="1">
      <alignment horizontal="center" vertical="center" wrapText="1"/>
    </xf>
    <xf numFmtId="14" fontId="23" fillId="43" borderId="14" xfId="0" applyFont="1" applyFill="1" applyBorder="1" applyNumberFormat="1">
      <alignment horizontal="left" vertical="center" wrapText="1" indent="1"/>
    </xf>
    <xf numFmtId="49" fontId="23" fillId="38" borderId="14" xfId="0" applyFont="1" applyFill="1" applyBorder="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0" fillId="0" borderId="0" xfId="0" applyFont="1" applyNumberFormat="1">
      <alignment vertical="center"/>
    </xf>
    <xf numFmtId="0" fontId="44" fillId="0" borderId="26" xfId="0" applyFont="1" applyBorder="1" applyNumberFormat="1">
      <alignment horizontal="center" vertical="center" wrapText="1"/>
    </xf>
    <xf numFmtId="14" fontId="86" fillId="0" borderId="19" xfId="0" applyFont="1" applyBorder="1" applyNumberFormat="1">
      <alignment horizontal="center" vertical="center" wrapText="1"/>
    </xf>
    <xf numFmtId="0" fontId="80" fillId="0" borderId="14" xfId="0" applyFont="1" applyBorder="1" applyNumberFormat="1">
      <alignment horizontal="left" vertical="center" wrapText="1" indent="1"/>
    </xf>
    <xf numFmtId="0" fontId="86"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0" fontId="79" fillId="0" borderId="0" xfId="0" applyFont="1" applyNumberFormat="1">
      <alignment vertical="center"/>
    </xf>
    <xf numFmtId="14" fontId="86" fillId="0" borderId="38" xfId="0" applyFont="1" applyBorder="1" applyNumberFormat="1">
      <alignment horizontal="center" vertical="center" wrapText="1"/>
    </xf>
    <xf numFmtId="0" fontId="80" fillId="0" borderId="14" xfId="0" applyFont="1" applyBorder="1" applyNumberFormat="1">
      <alignment horizontal="left" vertical="top" indent="1"/>
    </xf>
    <xf numFmtId="49" fontId="0" fillId="0" borderId="14" xfId="0" applyFont="1" applyBorder="1" applyNumberFormat="1">
      <alignment vertical="top"/>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0" fontId="44" fillId="0" borderId="14" xfId="0" applyFont="1" applyBorder="1" applyNumberFormat="1">
      <alignment horizontal="center" vertical="center" wrapText="1"/>
    </xf>
    <xf numFmtId="49" fontId="23" fillId="0" borderId="15"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23" fillId="43" borderId="16" xfId="0" applyFont="1" applyFill="1" applyBorder="1" applyNumberFormat="1">
      <alignment horizontal="left" vertical="center" wrapText="1"/>
    </xf>
    <xf numFmtId="49" fontId="0" fillId="0" borderId="14" xfId="0" applyFont="1" applyBorder="1" applyNumberFormat="1">
      <alignment vertical="top"/>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0" fillId="0" borderId="0" xfId="0" applyFont="1" applyNumberFormat="1">
      <alignment vertical="top"/>
    </xf>
    <xf numFmtId="49" fontId="23" fillId="0" borderId="0" xfId="0" applyFont="1" applyNumberFormat="1">
      <alignment vertical="top"/>
    </xf>
    <xf numFmtId="0" fontId="45" fillId="37" borderId="0" xfId="0" applyFont="1" applyFill="1" applyNumberFormat="1">
      <alignment vertical="top" wrapText="1"/>
    </xf>
    <xf numFmtId="0" fontId="23" fillId="37" borderId="16" xfId="0" applyFont="1" applyFill="1" applyBorder="1" applyNumberFormat="1">
      <alignment horizontal="center" vertical="center" wrapText="1"/>
    </xf>
    <xf numFmtId="0" fontId="55" fillId="37" borderId="14" xfId="0" applyFont="1" applyFill="1" applyBorder="1" applyNumberFormat="1">
      <alignment horizontal="center" vertical="center" wrapText="1"/>
    </xf>
    <xf numFmtId="14" fontId="23" fillId="43" borderId="31" xfId="0" applyFont="1" applyFill="1" applyBorder="1" applyNumberFormat="1">
      <alignment horizontal="left" vertical="center" wrapText="1"/>
    </xf>
    <xf numFmtId="49" fontId="127" fillId="42" borderId="14" xfId="0" applyFont="1" applyFill="1" applyBorder="1" applyNumberFormat="1">
      <alignment horizontal="left" vertical="center" wrapText="1"/>
      <protection locked="0"/>
    </xf>
    <xf numFmtId="49" fontId="0" fillId="0" borderId="14" xfId="0" applyFont="1" applyBorder="1" applyNumberFormat="1">
      <alignment horizontal="center" vertical="center" wrapText="1"/>
    </xf>
    <xf numFmtId="0" fontId="23" fillId="43" borderId="16" xfId="0" applyFont="1" applyFill="1" applyBorder="1" applyNumberFormat="1">
      <alignment horizontal="left" vertical="center" wrapText="1"/>
    </xf>
    <xf numFmtId="0" fontId="0" fillId="0" borderId="25" xfId="0" applyFont="1" applyBorder="1" applyNumberFormat="1">
      <alignment horizontal="center" vertical="center" wrapText="1"/>
    </xf>
    <xf numFmtId="49" fontId="23" fillId="0" borderId="0" xfId="0" applyFont="1" applyNumberFormat="1">
      <alignment vertical="top"/>
    </xf>
    <xf numFmtId="49" fontId="45" fillId="0" borderId="0" xfId="0" applyFont="1" applyNumberFormat="1">
      <alignment horizontal="center" vertical="center" wrapText="1"/>
    </xf>
    <xf numFmtId="167"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49"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45" fillId="0" borderId="26" xfId="0" applyFont="1" applyBorder="1" applyNumberFormat="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167" fontId="0" fillId="42" borderId="14" xfId="0" applyFont="1" applyFill="1" applyBorder="1" applyNumberFormat="1">
      <alignment horizontal="center" vertical="top" wrapText="1"/>
      <protection locked="0"/>
    </xf>
    <xf numFmtId="167"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0" fontId="23" fillId="39" borderId="14" xfId="0" applyFont="1" applyFill="1" applyBorder="1" applyNumberFormat="1">
      <alignment horizontal="left" vertical="top" wrapText="1"/>
      <protection locked="0"/>
    </xf>
    <xf numFmtId="49" fontId="23" fillId="43" borderId="14" xfId="0" applyFont="1" applyFill="1" applyBorder="1" applyNumberFormat="1">
      <alignment horizontal="center" vertical="top" wrapText="1"/>
    </xf>
    <xf numFmtId="0" fontId="23" fillId="0" borderId="38" xfId="0" applyFont="1" applyBorder="1" applyNumberFormat="1">
      <alignment horizontal="center" vertical="center" wrapText="1"/>
    </xf>
    <xf numFmtId="0" fontId="23" fillId="0" borderId="14" xfId="0" applyFont="1" applyBorder="1" applyNumberFormat="1">
      <alignment horizontal="center" vertical="center" wrapText="1"/>
    </xf>
    <xf numFmtId="49" fontId="23" fillId="42" borderId="19" xfId="0" applyFont="1" applyFill="1" applyBorder="1" applyNumberFormat="1">
      <alignment horizontal="left" vertical="center" wrapText="1" indent="1"/>
      <protection locked="0"/>
    </xf>
    <xf numFmtId="0" fontId="23" fillId="0" borderId="26" xfId="0" applyFont="1" applyBorder="1" applyNumberFormat="1">
      <alignment vertical="top" wrapText="1"/>
    </xf>
    <xf numFmtId="49" fontId="23" fillId="43" borderId="25" xfId="0" applyFont="1" applyFill="1" applyBorder="1" applyNumberFormat="1">
      <alignment horizontal="center" vertical="top" wrapText="1"/>
    </xf>
    <xf numFmtId="49" fontId="0" fillId="42"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6" xfId="0" applyFont="1" applyFill="1" applyBorder="1" applyNumberFormat="1">
      <alignment horizontal="center" vertical="top" wrapText="1"/>
    </xf>
    <xf numFmtId="49" fontId="23" fillId="0" borderId="38" xfId="0" applyFont="1" applyBorder="1" applyNumberFormat="1">
      <alignment horizontal="center" vertical="top" wrapText="1"/>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6" xfId="0" applyFont="1" applyBorder="1" applyNumberFormat="1">
      <alignment vertical="center" wrapText="1"/>
    </xf>
    <xf numFmtId="0" fontId="23" fillId="0" borderId="57" xfId="0" applyFont="1" applyBorder="1" applyNumberFormat="1">
      <alignment vertical="center" wrapText="1"/>
    </xf>
    <xf numFmtId="0" fontId="23" fillId="0" borderId="40" xfId="0" applyFont="1" applyBorder="1" applyNumberFormat="1">
      <alignment vertical="center" wrapText="1"/>
    </xf>
    <xf numFmtId="49" fontId="23" fillId="38" borderId="14" xfId="0" applyFont="1" applyFill="1" applyBorder="1" applyNumberFormat="1">
      <alignment horizontal="center"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23" fillId="43" borderId="16" xfId="0" applyFont="1" applyFill="1" applyBorder="1" applyNumberFormat="1">
      <alignment horizontal="center" vertical="center" wrapText="1"/>
    </xf>
    <xf numFmtId="49" fontId="110" fillId="40" borderId="45" xfId="0" applyFont="1" applyFill="1" applyBorder="1" applyNumberFormat="1">
      <alignment horizontal="left" vertical="center" indent="1"/>
    </xf>
    <xf numFmtId="49" fontId="99" fillId="40" borderId="45" xfId="0" applyFont="1" applyFill="1" applyBorder="1" applyNumberFormat="1">
      <alignment horizontal="center" vertical="center"/>
    </xf>
    <xf numFmtId="3" fontId="23" fillId="42" borderId="14" xfId="0" applyFont="1" applyFill="1" applyBorder="1" applyNumberFormat="1">
      <alignment horizontal="center" vertical="center" wrapText="1"/>
      <protection locked="0"/>
    </xf>
    <xf numFmtId="49" fontId="128" fillId="0" borderId="15" xfId="0" applyFont="1" applyBorder="1" applyNumberFormat="1">
      <alignment horizontal="center" vertical="center" wrapText="1"/>
    </xf>
    <xf numFmtId="0" fontId="53" fillId="0" borderId="14" xfId="0" applyFont="1" applyBorder="1" applyNumberFormat="1">
      <alignment horizontal="center" vertical="center"/>
    </xf>
    <xf numFmtId="49" fontId="23" fillId="43" borderId="19"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23" fillId="43" borderId="38" xfId="0" applyFont="1" applyFill="1" applyBorder="1" applyNumberFormat="1">
      <alignment horizontal="left" vertical="center" wrapText="1" indent="1"/>
    </xf>
    <xf numFmtId="49" fontId="23" fillId="38" borderId="14" xfId="0" applyFont="1" applyFill="1" applyBorder="1" applyNumberFormat="1">
      <alignment horizontal="left" vertical="center" wrapText="1"/>
    </xf>
    <xf numFmtId="49" fontId="128" fillId="0" borderId="0" xfId="0" applyFont="1" applyNumberFormat="1">
      <alignment horizontal="center" vertical="top" wrapText="1"/>
    </xf>
    <xf numFmtId="0" fontId="53" fillId="0" borderId="14" xfId="0" applyFont="1" applyBorder="1" applyNumberFormat="1">
      <alignment horizontal="center" vertical="center"/>
    </xf>
    <xf numFmtId="0" fontId="53" fillId="43" borderId="14" xfId="0" applyFont="1" applyFill="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43" borderId="25" xfId="0" applyFont="1" applyFill="1" applyBorder="1" applyNumberFormat="1">
      <alignment horizontal="left" vertical="center" wrapText="1" indent="1"/>
    </xf>
    <xf numFmtId="49" fontId="48" fillId="40" borderId="17" xfId="0" applyFont="1" applyFill="1" applyBorder="1" applyNumberFormat="1">
      <alignment horizontal="left" vertical="center" inden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49" fontId="23" fillId="38" borderId="77" xfId="0" applyFont="1" applyFill="1" applyBorder="1" applyNumberFormat="1">
      <alignment horizontal="center" vertical="center" wrapText="1"/>
    </xf>
    <xf numFmtId="0" fontId="0" fillId="40" borderId="52" xfId="0" applyFont="1" applyFill="1" applyBorder="1" applyNumberFormat="1">
      <alignment horizontal="left" vertical="center"/>
    </xf>
    <xf numFmtId="49" fontId="48" fillId="40" borderId="53" xfId="0" applyFont="1" applyFill="1" applyBorder="1" applyNumberFormat="1">
      <alignment horizontal="left" vertical="center" inden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0" fontId="23" fillId="40" borderId="55" xfId="0" applyFont="1" applyFill="1" applyBorder="1" applyNumberFormat="1">
      <alignment vertical="center" wrapText="1"/>
    </xf>
    <xf numFmtId="49" fontId="0" fillId="38" borderId="38" xfId="0" applyFont="1" applyFill="1" applyBorder="1" applyNumberFormat="1">
      <alignment vertical="top"/>
    </xf>
    <xf numFmtId="49" fontId="0" fillId="0" borderId="38" xfId="0" applyFont="1" applyBorder="1" applyNumberFormat="1">
      <alignment vertical="top"/>
    </xf>
    <xf numFmtId="49" fontId="23" fillId="43" borderId="19" xfId="0" applyFont="1" applyFill="1" applyBorder="1" applyNumberFormat="1">
      <alignment vertical="center" wrapText="1"/>
    </xf>
    <xf numFmtId="49" fontId="0" fillId="42" borderId="38" xfId="0" applyFont="1" applyFill="1" applyBorder="1" applyNumberFormat="1">
      <alignment vertical="top"/>
      <protection locked="0"/>
    </xf>
    <xf numFmtId="49" fontId="128" fillId="0" borderId="14" xfId="0" applyFont="1" applyBorder="1" applyNumberFormat="1">
      <alignment horizontal="center" vertical="center" wrapText="1"/>
    </xf>
    <xf numFmtId="49" fontId="0" fillId="42" borderId="19" xfId="0" applyFont="1" applyFill="1" applyBorder="1" applyNumberFormat="1">
      <alignment vertical="top"/>
      <protection locked="0"/>
    </xf>
    <xf numFmtId="14" fontId="23" fillId="43" borderId="38" xfId="0" applyFont="1" applyFill="1" applyBorder="1" applyNumberFormat="1">
      <alignment horizontal="left" vertical="center" wrapText="1" inden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0" fontId="53" fillId="0" borderId="15" xfId="0" applyFont="1" applyBorder="1" applyNumberFormat="1">
      <alignment horizontal="center" vertical="center"/>
    </xf>
    <xf numFmtId="0" fontId="108" fillId="0" borderId="49" xfId="0" applyFont="1" applyBorder="1" applyNumberFormat="1">
      <alignment horizontal="left" vertical="center" indent="1"/>
    </xf>
    <xf numFmtId="49" fontId="23" fillId="0" borderId="58" xfId="0" applyFont="1" applyBorder="1" applyNumberFormat="1">
      <alignment horizontal="center" vertical="center"/>
    </xf>
    <xf numFmtId="0" fontId="23" fillId="0" borderId="58" xfId="0" applyFont="1" applyBorder="1" applyNumberFormat="1">
      <alignment horizontal="right" vertical="center"/>
    </xf>
    <xf numFmtId="0" fontId="23" fillId="0" borderId="58"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49" fontId="0" fillId="0" borderId="0" xfId="0" applyFont="1" applyNumberFormat="1">
      <alignment vertical="top"/>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39" borderId="14" xfId="0" applyFont="1" applyFill="1" applyBorder="1" applyNumberFormat="1">
      <alignment horizontal="left" vertical="center"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9"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48" fillId="0" borderId="14" xfId="0" applyFont="1" applyBorder="1" applyNumberFormat="1">
      <alignment horizontal="left" vertical="center" indent="1"/>
    </xf>
    <xf numFmtId="0" fontId="54" fillId="0" borderId="0" xfId="0" applyFont="1" applyNumberFormat="1">
      <alignment horizontal="center" vertical="top"/>
    </xf>
    <xf numFmtId="49" fontId="23" fillId="0" borderId="25" xfId="0" applyFont="1" applyBorder="1" applyNumberFormat="1">
      <alignment horizontal="center" vertical="center" wrapText="1"/>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49" fontId="55" fillId="0" borderId="15" xfId="0" applyFont="1" applyBorder="1" applyNumberFormat="1">
      <alignment horizontal="left" vertical="center" indent="1"/>
    </xf>
    <xf numFmtId="0" fontId="55" fillId="0" borderId="14" xfId="0" applyFont="1" applyBorder="1" applyNumberFormat="1">
      <alignment horizontal="left" vertical="center" indent="1"/>
    </xf>
    <xf numFmtId="49" fontId="0" fillId="0" borderId="21" xfId="0" applyFont="1" applyBorder="1" applyNumberFormat="1">
      <alignment vertical="top"/>
    </xf>
    <xf numFmtId="49" fontId="45" fillId="0" borderId="19"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0" fillId="0" borderId="15" xfId="0" applyFont="1" applyBorder="1" applyNumberFormat="1">
      <alignment horizontal="center" vertical="center" wrapText="1"/>
    </xf>
    <xf numFmtId="0" fontId="0" fillId="0" borderId="14" xfId="0" applyFont="1" applyBorder="1" applyNumberFormat="1">
      <alignment horizontal="left" vertical="center" wrapText="1"/>
    </xf>
    <xf numFmtId="49" fontId="0" fillId="0" borderId="14" xfId="0" applyFont="1" applyBorder="1" applyNumberFormat="1">
      <alignment horizontal="center" vertical="center"/>
    </xf>
    <xf numFmtId="0" fontId="0" fillId="0" borderId="14" xfId="0" applyFont="1" applyBorder="1" applyNumberFormat="1">
      <alignment horizontal="center" vertical="center" wrapText="1"/>
    </xf>
    <xf numFmtId="4" fontId="0" fillId="38" borderId="14" xfId="0" applyFont="1" applyFill="1" applyBorder="1" applyNumberFormat="1">
      <alignment horizontal="right" vertical="center" wrapText="1"/>
    </xf>
    <xf numFmtId="49" fontId="23" fillId="0" borderId="38" xfId="0" applyFont="1" applyBorder="1" applyNumberFormat="1">
      <alignment horizontal="center" vertical="top" wrapText="1"/>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2" borderId="14" xfId="0" applyFont="1" applyFill="1" applyBorder="1" applyNumberFormat="1">
      <alignment horizontal="left" vertical="center" wrapText="1"/>
      <protection locked="0"/>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23" fillId="0" borderId="25" xfId="0" applyFont="1" applyBorder="1" applyNumberFormat="1">
      <alignment horizontal="center" vertical="top" wrapText="1"/>
    </xf>
    <xf numFmtId="49" fontId="23" fillId="42" borderId="14" xfId="0" applyFont="1" applyFill="1" applyBorder="1" applyNumberFormat="1">
      <alignment horizontal="left" vertical="center" wrapText="1" indent="1"/>
      <protection locked="0"/>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45" fillId="0" borderId="0" xfId="0" applyFont="1" applyNumberFormat="1">
      <alignment horizontal="center" vertical="center" wrapText="1"/>
    </xf>
    <xf numFmtId="0" fontId="0" fillId="0" borderId="14" xfId="0" applyFont="1" applyBorder="1" applyNumberFormat="1">
      <alignment horizontal="center" vertical="center"/>
    </xf>
    <xf numFmtId="0" fontId="23" fillId="43" borderId="14" xfId="0" applyFont="1" applyFill="1" applyBorder="1" applyNumberFormat="1">
      <alignment horizontal="left" vertical="top" wrapText="1"/>
    </xf>
    <xf numFmtId="49" fontId="23" fillId="39" borderId="14" xfId="0" applyFont="1" applyFill="1" applyBorder="1" applyNumberFormat="1">
      <alignment horizontal="left" vertical="center" wrapText="1"/>
      <protection locked="0"/>
    </xf>
    <xf numFmtId="0" fontId="0" fillId="43" borderId="14"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23"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0" fillId="0" borderId="14" xfId="0" applyFont="1" applyBorder="1" applyNumberFormat="1">
      <alignment vertical="top"/>
    </xf>
    <xf numFmtId="49" fontId="0" fillId="0" borderId="14" xfId="0" applyFont="1" applyBorder="1" applyNumberFormat="1">
      <alignment horizontal="left" vertical="top"/>
    </xf>
    <xf numFmtId="49" fontId="0" fillId="43" borderId="14" xfId="0" applyFont="1" applyFill="1" applyBorder="1" applyNumberFormat="1">
      <alignment horizontal="left" vertical="top"/>
    </xf>
    <xf numFmtId="49" fontId="0" fillId="39" borderId="14" xfId="0" applyFont="1" applyFill="1" applyBorder="1" applyNumberFormat="1">
      <alignment horizontal="left" vertical="top"/>
      <protection locked="0"/>
    </xf>
    <xf numFmtId="49" fontId="0" fillId="43" borderId="14" xfId="0" applyFont="1" applyFill="1" applyBorder="1" applyNumberFormat="1">
      <alignment horizontal="left" vertical="center" wrapText="1"/>
      <protection locked="0"/>
    </xf>
    <xf numFmtId="0" fontId="0" fillId="40" borderId="17" xfId="0" applyFont="1" applyFill="1" applyBorder="1" applyNumberFormat="1">
      <alignment vertical="center"/>
    </xf>
    <xf numFmtId="49" fontId="0" fillId="0" borderId="38" xfId="0" applyFont="1" applyBorder="1" applyNumberFormat="1">
      <alignment horizontal="left" vertical="top"/>
    </xf>
    <xf numFmtId="0" fontId="23" fillId="43" borderId="38" xfId="0" applyFont="1" applyFill="1" applyBorder="1" applyNumberFormat="1">
      <alignment horizontal="center" vertical="top" wrapText="1"/>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23" fillId="43" borderId="0" xfId="0" applyFont="1" applyFill="1" applyNumberFormat="1">
      <alignment horizontal="center" vertical="center" wrapText="1"/>
    </xf>
    <xf numFmtId="0" fontId="48" fillId="0" borderId="38" xfId="0" applyFont="1" applyBorder="1" applyNumberFormat="1">
      <alignment horizontal="left" vertical="center"/>
    </xf>
    <xf numFmtId="49" fontId="0" fillId="43" borderId="38" xfId="0" applyFont="1" applyFill="1" applyBorder="1" applyNumberFormat="1">
      <alignment horizontal="left" vertical="center" wrapText="1"/>
      <protection locked="0"/>
    </xf>
    <xf numFmtId="49" fontId="23" fillId="43" borderId="38" xfId="0" applyFont="1" applyFill="1" applyBorder="1" applyNumberFormat="1">
      <alignment horizontal="center" vertical="center" wrapText="1"/>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0" fontId="48" fillId="40" borderId="31" xfId="0" applyFont="1" applyFill="1" applyBorder="1" applyNumberFormat="1">
      <alignment horizontal="left" vertical="center"/>
    </xf>
    <xf numFmtId="49" fontId="0" fillId="0" borderId="0" xfId="0" applyFont="1" applyNumberFormat="1">
      <alignment vertical="top"/>
    </xf>
    <xf numFmtId="49" fontId="0" fillId="39" borderId="38" xfId="0" applyFont="1" applyFill="1" applyBorder="1" applyNumberFormat="1">
      <alignment vertical="top"/>
      <protection locked="0"/>
    </xf>
    <xf numFmtId="0" fontId="0" fillId="0" borderId="0" xfId="0" applyFont="1" applyNumberFormat="1">
      <alignment vertical="center"/>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0" fillId="0" borderId="24"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0" fontId="0" fillId="0" borderId="29" xfId="0" applyFont="1" applyBorder="1" applyNumberFormat="1">
      <alignment vertical="center"/>
    </xf>
    <xf numFmtId="49" fontId="23" fillId="0" borderId="38" xfId="0" applyFont="1" applyBorder="1" applyNumberFormat="1">
      <alignment horizontal="center" vertical="center"/>
    </xf>
    <xf numFmtId="49" fontId="23" fillId="0" borderId="38" xfId="0" applyFont="1" applyBorder="1" applyNumberFormat="1">
      <alignment vertical="center" wrapText="1"/>
    </xf>
    <xf numFmtId="0" fontId="23" fillId="0" borderId="26" xfId="0" applyFont="1" applyBorder="1" applyNumberFormat="1">
      <alignment horizontal="center" vertical="center"/>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45" fillId="0" borderId="38" xfId="0" applyFont="1" applyBorder="1" applyNumberFormat="1">
      <alignment vertical="center" wrapText="1"/>
    </xf>
    <xf numFmtId="0" fontId="23" fillId="43" borderId="19" xfId="0" applyFont="1" applyFill="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horizontal="left" vertical="center" wrapText="1"/>
    </xf>
    <xf numFmtId="0"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vertical="center" wrapText="1"/>
    </xf>
    <xf numFmtId="0" fontId="23" fillId="0" borderId="38" xfId="0" applyFont="1" applyBorder="1" applyNumberFormat="1">
      <alignment horizontal="left" vertical="center" wrapText="1"/>
    </xf>
    <xf numFmtId="49" fontId="23" fillId="0" borderId="38" xfId="0" applyFont="1" applyBorder="1" applyNumberFormat="1">
      <alignment horizontal="left" vertical="center" wrapText="1"/>
    </xf>
    <xf numFmtId="0" fontId="23" fillId="43" borderId="38" xfId="0" applyFont="1" applyFill="1" applyBorder="1" applyNumberFormat="1">
      <alignment horizontal="left" vertical="center" wrapText="1"/>
    </xf>
    <xf numFmtId="49" fontId="23" fillId="0" borderId="38" xfId="0" applyFont="1" applyBorder="1" applyNumberFormat="1">
      <alignment horizontal="center"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23" fillId="0" borderId="38" xfId="0" applyFont="1" applyBorder="1" applyNumberFormat="1">
      <alignment horizontal="center" vertical="center" wrapText="1"/>
    </xf>
    <xf numFmtId="0" fontId="48" fillId="40" borderId="39"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45" fillId="0" borderId="38" xfId="0" applyFont="1" applyBorder="1" applyNumberFormat="1">
      <alignment horizontal="center" vertical="center" wrapText="1"/>
    </xf>
    <xf numFmtId="0" fontId="48" fillId="40" borderId="39" xfId="0" applyFont="1" applyFill="1" applyBorder="1" applyNumberFormat="1">
      <alignment vertical="center"/>
    </xf>
    <xf numFmtId="0" fontId="48" fillId="0" borderId="38" xfId="0" applyFont="1" applyBorder="1" applyNumberFormat="1">
      <alignment horizontal="left" vertical="center"/>
    </xf>
    <xf numFmtId="49" fontId="23" fillId="39" borderId="19" xfId="0" applyFont="1" applyFill="1" applyBorder="1" applyNumberFormat="1">
      <alignment horizontal="left" vertical="center" wrapText="1"/>
      <protection locked="0"/>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0" borderId="21" xfId="0" applyFont="1" applyBorder="1" applyNumberFormat="1">
      <alignment horizontal="lef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49" fontId="100" fillId="0" borderId="14" xfId="0" applyFont="1" applyBorder="1" applyNumberFormat="1">
      <alignment vertical="top" wrapText="1"/>
    </xf>
    <xf numFmtId="49" fontId="96" fillId="0" borderId="14" xfId="0" applyFont="1" applyBorder="1" applyNumberFormat="1">
      <alignment horizontal="center" vertical="top" wrapText="1"/>
    </xf>
    <xf numFmtId="49" fontId="96" fillId="34" borderId="14" xfId="0" applyFont="1" applyFill="1" applyBorder="1" applyNumberFormat="1">
      <alignment horizontal="center" vertical="top"/>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0" fontId="100" fillId="0" borderId="14" xfId="0" applyFont="1" applyBorder="1" applyNumberFormat="1">
      <alignment vertical="top" wrapText="1"/>
    </xf>
    <xf numFmtId="49" fontId="100" fillId="0" borderId="0" xfId="0" applyFont="1" applyNumberFormat="1">
      <alignment vertical="top" wrapText="1"/>
    </xf>
    <xf numFmtId="49" fontId="100" fillId="0" borderId="0" xfId="0" applyFont="1" applyNumberFormat="1">
      <alignment vertical="top"/>
    </xf>
    <xf numFmtId="49" fontId="100" fillId="0" borderId="0" xfId="0" applyFont="1" applyNumberFormat="1">
      <alignment horizontal="center" vertical="top" wrapText="1"/>
    </xf>
    <xf numFmtId="49" fontId="100" fillId="0" borderId="14" xfId="0" applyFont="1" applyBorder="1" applyNumberFormat="1">
      <alignment horizontal="center" vertical="top" wrapText="1"/>
    </xf>
    <xf numFmtId="49" fontId="100" fillId="0" borderId="14" xfId="0" applyFont="1" applyBorder="1" applyNumberFormat="1">
      <alignment horizontal="center" vertical="top" wrapText="1"/>
    </xf>
    <xf numFmtId="49" fontId="100" fillId="34" borderId="14" xfId="0" applyFont="1" applyFill="1" applyBorder="1" applyNumberFormat="1">
      <alignment horizontal="center" vertical="top" wrapText="1"/>
    </xf>
    <xf numFmtId="49" fontId="96" fillId="34" borderId="14" xfId="0" applyFont="1" applyFill="1" applyBorder="1" applyNumberFormat="1">
      <alignment horizontal="center" vertical="top" wrapText="1"/>
    </xf>
    <xf numFmtId="49" fontId="100" fillId="0" borderId="14" xfId="0" applyFont="1" applyBorder="1" applyNumberFormat="1">
      <alignment horizontal="left" vertical="top" wrapText="1"/>
    </xf>
    <xf numFmtId="0" fontId="96" fillId="34" borderId="14" xfId="0" applyFont="1" applyFill="1" applyBorder="1" applyNumberFormat="1">
      <alignment horizontal="center" vertical="top" wrapText="1"/>
    </xf>
    <xf numFmtId="0" fontId="100" fillId="34" borderId="14" xfId="0" applyFont="1" applyFill="1" applyBorder="1" applyNumberFormat="1">
      <alignment horizontal="right" vertical="center"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0" fontId="100" fillId="0" borderId="14" xfId="0" applyFont="1" applyBorder="1" applyNumberFormat="1">
      <alignment horizontal="left" vertical="top" wrapText="1"/>
    </xf>
    <xf numFmtId="49" fontId="100" fillId="34" borderId="14" xfId="0" applyFont="1" applyFill="1" applyBorder="1" applyNumberFormat="1">
      <alignment horizontal="left" vertical="top" wrapText="1"/>
    </xf>
    <xf numFmtId="0" fontId="100" fillId="34" borderId="14" xfId="0" applyFont="1" applyFill="1" applyBorder="1" applyNumberFormat="1">
      <alignment horizontal="center" vertical="center" wrapText="1"/>
    </xf>
    <xf numFmtId="0" fontId="100" fillId="34" borderId="14" xfId="0" applyFont="1" applyFill="1" applyBorder="1" applyNumberFormat="1">
      <alignment horizontal="center" vertical="center"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19" xfId="0" applyFont="1" applyBorder="1" applyNumberFormat="1">
      <alignment horizontal="center" vertical="top" wrapText="1"/>
    </xf>
    <xf numFmtId="0" fontId="100" fillId="0" borderId="19" xfId="0" applyFont="1" applyBorder="1" applyNumberFormat="1">
      <alignment horizontal="left" vertical="top" wrapText="1"/>
    </xf>
    <xf numFmtId="49" fontId="100" fillId="0" borderId="39" xfId="0" applyFont="1" applyBorder="1" applyNumberFormat="1">
      <alignment horizontal="center" vertical="top" wrapText="1"/>
    </xf>
    <xf numFmtId="49" fontId="100" fillId="0" borderId="39" xfId="0" applyFont="1" applyBorder="1" applyNumberFormat="1">
      <alignment horizontal="center" vertical="top" wrapText="1"/>
    </xf>
    <xf numFmtId="0" fontId="100" fillId="0" borderId="15" xfId="0" applyFont="1" applyBorder="1" applyNumberFormat="1">
      <alignment horizontal="left" vertical="top" wrapText="1"/>
    </xf>
    <xf numFmtId="49" fontId="100" fillId="0" borderId="25"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24" xfId="0" applyFont="1" applyBorder="1" applyNumberFormat="1">
      <alignment horizontal="center" vertical="top" wrapText="1"/>
    </xf>
    <xf numFmtId="0" fontId="100" fillId="0" borderId="19" xfId="0" applyFont="1" applyBorder="1" applyNumberFormat="1">
      <alignment vertical="top" wrapText="1"/>
    </xf>
    <xf numFmtId="49" fontId="96" fillId="0" borderId="14" xfId="0" applyFont="1" applyBorder="1" applyNumberFormat="1">
      <alignment horizontal="left" vertical="top" wrapText="1"/>
    </xf>
    <xf numFmtId="0" fontId="96" fillId="0" borderId="16" xfId="0" applyFont="1" applyBorder="1" applyNumberFormat="1">
      <alignment horizontal="center" vertical="center" wrapText="1"/>
    </xf>
    <xf numFmtId="0" fontId="96" fillId="0" borderId="16" xfId="0" applyFont="1" applyBorder="1" applyNumberFormat="1">
      <alignment horizontal="center" vertical="center"/>
    </xf>
    <xf numFmtId="49" fontId="96" fillId="0" borderId="14" xfId="0" applyFont="1" applyBorder="1" applyNumberFormat="1">
      <alignment horizontal="center" vertical="center" wrapText="1"/>
    </xf>
    <xf numFmtId="0" fontId="96" fillId="0" borderId="14" xfId="0" applyFont="1" applyBorder="1" applyNumberFormat="1">
      <alignment vertical="center" wrapText="1"/>
    </xf>
    <xf numFmtId="49" fontId="100" fillId="0" borderId="16" xfId="0" applyFont="1" applyBorder="1" applyNumberFormat="1">
      <alignment horizontal="left" vertical="top" wrapText="1"/>
    </xf>
    <xf numFmtId="0" fontId="96" fillId="0" borderId="14" xfId="0" applyFont="1" applyBorder="1" applyNumberFormat="1">
      <alignment horizontal="center"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100" fillId="0" borderId="32" xfId="0" applyFont="1" applyBorder="1" applyNumberFormat="1">
      <alignment horizontal="left" vertical="top" wrapText="1"/>
    </xf>
    <xf numFmtId="49" fontId="100" fillId="0" borderId="15" xfId="0" applyFont="1" applyBorder="1" applyNumberFormat="1">
      <alignment horizontal="left" vertical="top"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38" xfId="0" applyFont="1" applyBorder="1" applyNumberFormat="1">
      <alignment horizontal="left" vertical="top" wrapText="1"/>
    </xf>
    <xf numFmtId="0" fontId="100" fillId="0" borderId="38" xfId="0" applyFont="1" applyBorder="1" applyNumberFormat="1">
      <alignment horizontal="left" vertical="top" wrapText="1"/>
    </xf>
    <xf numFmtId="49" fontId="100" fillId="0" borderId="0" xfId="0" applyFont="1" applyNumberFormat="1">
      <alignment horizontal="left" vertical="top" wrapText="1"/>
    </xf>
    <xf numFmtId="49" fontId="100" fillId="34" borderId="0" xfId="0" applyFont="1" applyFill="1" applyNumberFormat="1">
      <alignment horizontal="left" vertical="top" wrapText="1"/>
    </xf>
    <xf numFmtId="0" fontId="100" fillId="0" borderId="0" xfId="0" applyFont="1" applyNumberFormat="1">
      <alignment vertical="top" wrapText="1"/>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0" fontId="0" fillId="0" borderId="0" xfId="0" applyFont="1" applyNumberFormat="1">
      <alignment horizontal="left" vertical="center"/>
    </xf>
    <xf numFmtId="0" fontId="0" fillId="37" borderId="14" xfId="0" applyFont="1" applyFill="1" applyBorder="1" applyNumberFormat="1">
      <alignment horizontal="right" vertical="center" wrapText="1" indent="1"/>
    </xf>
    <xf numFmtId="0" fontId="0" fillId="0" borderId="16" xfId="0" applyFont="1" applyBorder="1" applyNumberFormat="1">
      <alignment vertical="center"/>
    </xf>
    <xf numFmtId="0" fontId="23" fillId="0" borderId="0" xfId="0" applyFont="1" applyNumberFormat="1">
      <alignment horizontal="left" vertical="center" wrapText="1"/>
    </xf>
    <xf numFmtId="0" fontId="23" fillId="0" borderId="0" xfId="0" applyFont="1" applyNumberFormat="1">
      <alignment horizontal="righ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 fontId="23" fillId="38" borderId="14" xfId="0" applyFont="1" applyFill="1" applyBorder="1" applyNumberFormat="1">
      <alignment horizontal="left"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indent="6"/>
      <protection locked="0"/>
    </xf>
    <xf numFmtId="167" fontId="0" fillId="42" borderId="14" xfId="0" applyFont="1" applyFill="1" applyBorder="1" applyNumberFormat="1">
      <alignment horizontal="center" vertical="center" wrapText="1"/>
      <protection locked="0"/>
    </xf>
    <xf numFmtId="49" fontId="23" fillId="0" borderId="14" xfId="0" applyFont="1" applyBorder="1" applyNumberFormat="1">
      <alignment horizontal="left" vertical="center" wrapText="1"/>
    </xf>
    <xf numFmtId="49" fontId="106" fillId="40" borderId="16" xfId="0" applyFont="1" applyFill="1" applyBorder="1" applyNumberFormat="1">
      <alignment horizontal="left" vertical="center"/>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54" fillId="0" borderId="0" xfId="0" applyFont="1" applyNumberFormat="1">
      <alignment horizontal="left" vertical="center"/>
    </xf>
    <xf numFmtId="49" fontId="40" fillId="0" borderId="0" xfId="0" applyFont="1" applyNumberFormat="1">
      <alignment vertical="top"/>
    </xf>
    <xf numFmtId="49" fontId="0" fillId="0" borderId="26" xfId="0" applyFont="1" applyBorder="1" applyNumberFormat="1">
      <alignment vertical="top"/>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0" fillId="0" borderId="0" xfId="0" applyFont="1" applyNumberFormat="1">
      <alignment vertical="top"/>
    </xf>
    <xf numFmtId="49" fontId="54" fillId="0" borderId="0" xfId="0" applyFont="1" applyNumberFormat="1">
      <alignment horizontal="left" vertical="center"/>
    </xf>
    <xf numFmtId="49" fontId="54" fillId="0" borderId="0" xfId="0" applyFont="1" applyNumberFormat="1">
      <alignment horizontal="left" vertical="top"/>
    </xf>
    <xf numFmtId="49" fontId="72" fillId="40" borderId="16" xfId="0" applyFont="1" applyFill="1" applyBorder="1" applyNumberFormat="1">
      <alignment horizontal="left" vertical="top"/>
    </xf>
    <xf numFmtId="49" fontId="114" fillId="40" borderId="17" xfId="0" applyFont="1" applyFill="1" applyBorder="1" applyNumberFormat="1">
      <alignment horizontal="left" vertical="center"/>
    </xf>
    <xf numFmtId="49" fontId="55" fillId="0" borderId="0" xfId="0" applyFont="1" applyNumberFormat="1">
      <alignment vertical="top"/>
    </xf>
    <xf numFmtId="0" fontId="23" fillId="0" borderId="0" xfId="0" applyFont="1" applyNumberFormat="1">
      <alignment horizontal="left" vertical="top" wrapText="1"/>
    </xf>
    <xf numFmtId="49" fontId="23" fillId="0" borderId="0" xfId="0" applyFont="1" applyNumberFormat="1">
      <alignment vertical="center" wrapText="1"/>
    </xf>
    <xf numFmtId="49" fontId="0" fillId="0" borderId="0" xfId="0" applyFont="1" applyNumberFormat="1">
      <alignment vertical="top"/>
    </xf>
    <xf numFmtId="49" fontId="0" fillId="0" borderId="14" xfId="0" applyFont="1" applyBorder="1" applyNumberFormat="1">
      <alignment vertical="top"/>
    </xf>
    <xf numFmtId="49" fontId="0" fillId="0" borderId="16" xfId="0" applyFont="1" applyBorder="1" applyNumberFormat="1">
      <alignment vertical="top"/>
    </xf>
    <xf numFmtId="49" fontId="0" fillId="0" borderId="14" xfId="0" applyFont="1" applyBorder="1" applyNumberFormat="1">
      <alignment horizontal="center"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45" borderId="19" xfId="0" applyFont="1" applyFill="1" applyBorder="1" applyNumberFormat="1">
      <alignment vertical="top"/>
    </xf>
    <xf numFmtId="49" fontId="0" fillId="0" borderId="16" xfId="0" applyFont="1" applyBorder="1" applyNumberFormat="1">
      <alignment horizontal="center" vertical="top"/>
    </xf>
    <xf numFmtId="49" fontId="0" fillId="46" borderId="14" xfId="0" applyFont="1" applyFill="1" applyBorder="1" applyNumberFormat="1">
      <alignment vertical="top"/>
    </xf>
    <xf numFmtId="49" fontId="0" fillId="0" borderId="17" xfId="0" applyFont="1" applyBorder="1" applyNumberFormat="1">
      <alignment horizontal="center" vertical="top"/>
    </xf>
    <xf numFmtId="49" fontId="0" fillId="3" borderId="14" xfId="0" applyFont="1" applyFill="1" applyBorder="1" applyNumberFormat="1">
      <alignment vertical="top"/>
    </xf>
    <xf numFmtId="49" fontId="0" fillId="47" borderId="14" xfId="0" applyFont="1" applyFill="1" applyBorder="1" applyNumberFormat="1">
      <alignment vertical="top"/>
    </xf>
    <xf numFmtId="49" fontId="0" fillId="16" borderId="19" xfId="0" applyFont="1" applyFill="1" applyBorder="1" applyNumberFormat="1">
      <alignment vertical="top"/>
    </xf>
    <xf numFmtId="49" fontId="0" fillId="5" borderId="16" xfId="0" applyFont="1" applyFill="1" applyBorder="1" applyNumberFormat="1">
      <alignment vertical="top"/>
    </xf>
    <xf numFmtId="49" fontId="0" fillId="5" borderId="14" xfId="0" applyFont="1" applyFill="1" applyBorder="1" applyNumberFormat="1">
      <alignment vertical="top"/>
    </xf>
    <xf numFmtId="49" fontId="0" fillId="16" borderId="14"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xf numFmtId="0" fontId="1" fillId="0" borderId="0" xfId="0" applyFont="1" applyNumberFormat="1"/>
    <xf numFmtId="0" fontId="38" fillId="0" borderId="0" xfId="0" applyFont="1" applyNumberFormat="1"/>
    <xf numFmtId="0" fontId="38" fillId="0" borderId="0" xfId="0" applyFont="1" applyNumberFormat="1"/>
    <xf numFmtId="49" fontId="23" fillId="38" borderId="12" xfId="0" applyFont="1" applyFill="1" applyBorder="1" applyNumberFormat="1">
      <alignment horizontal="center" vertical="top"/>
    </xf>
    <xf numFmtId="49" fontId="0" fillId="0" borderId="0" xfId="0" applyFont="1" applyNumberFormat="1">
      <alignment vertical="top"/>
    </xf>
    <xf numFmtId="49" fontId="46" fillId="0" borderId="13" xfId="0" applyFont="1" applyBorder="1" applyNumberFormat="1">
      <alignment vertical="top" wrapText="1"/>
    </xf>
    <xf numFmtId="0" fontId="0" fillId="0" borderId="13" xfId="0" applyFont="1" applyBorder="1" applyNumberFormat="1">
      <alignment vertical="top" wrapText="1"/>
    </xf>
    <xf numFmtId="0" fontId="22" fillId="0" borderId="20" xfId="0" applyFont="1" applyBorder="1" applyNumberFormat="1">
      <alignment vertical="top" wrapText="1"/>
    </xf>
    <xf numFmtId="0" fontId="0" fillId="0" borderId="0" xfId="0" applyFont="1" applyNumberFormat="1">
      <alignment vertical="top"/>
    </xf>
    <xf numFmtId="0" fontId="0" fillId="0" borderId="14" xfId="0" applyFont="1" applyBorder="1" applyNumberFormat="1">
      <alignment vertical="top" wrapText="1"/>
    </xf>
    <xf numFmtId="49" fontId="0" fillId="0" borderId="14" xfId="0" applyFont="1" applyBorder="1" applyNumberFormat="1">
      <alignment vertical="top" wrapText="1"/>
    </xf>
    <xf numFmtId="49" fontId="0" fillId="0" borderId="19" xfId="0" applyFont="1" applyBorder="1" applyNumberFormat="1">
      <alignment vertical="top"/>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xf numFmtId="49" fontId="0" fillId="0" borderId="0" xfId="0" applyFont="1" applyNumberFormat="1">
      <alignment vertical="top"/>
    </xf>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107" fillId="0" borderId="0" xfId="0" applyFont="1" applyNumberFormat="1">
      <alignment vertical="center" wrapText="1"/>
    </xf>
    <xf numFmtId="0" fontId="107" fillId="0" borderId="0" xfId="0" applyFont="1" applyNumberFormat="1">
      <alignment horizontal="left" vertical="center" wrapText="1"/>
    </xf>
    <xf numFmtId="49" fontId="122" fillId="0" borderId="0" xfId="0" applyFont="1" applyNumberFormat="1">
      <alignment wrapText="1"/>
    </xf>
    <xf numFmtId="0" fontId="107" fillId="0" borderId="0" xfId="0" applyFont="1" applyNumberFormat="1">
      <alignment vertical="center"/>
    </xf>
    <xf numFmtId="0" fontId="22" fillId="0" borderId="0" xfId="0" applyFont="1" applyNumberFormat="1">
      <alignment horizontal="left" vertical="top" wrapText="1"/>
    </xf>
    <xf numFmtId="49" fontId="23" fillId="0" borderId="0" xfId="0" applyFont="1" applyNumberFormat="1">
      <alignment vertical="top" wrapText="1"/>
    </xf>
    <xf numFmtId="0" fontId="22" fillId="57" borderId="68" xfId="0" applyFont="1" applyFill="1" applyBorder="1" applyNumberFormat="1">
      <alignment horizontal="center" vertical="center" wrapText="1"/>
    </xf>
    <xf numFmtId="0" fontId="22" fillId="57" borderId="69" xfId="0" applyFont="1" applyFill="1" applyBorder="1" applyNumberFormat="1">
      <alignment horizontal="center" vertical="center" wrapText="1"/>
    </xf>
    <xf numFmtId="0" fontId="22" fillId="57" borderId="70" xfId="0" applyFont="1" applyFill="1" applyBorder="1" applyNumberFormat="1">
      <alignment horizontal="center" vertical="center" wrapText="1"/>
    </xf>
    <xf numFmtId="0" fontId="71" fillId="0" borderId="0" xfId="0" applyFont="1" applyNumberFormat="1">
      <alignment wrapText="1"/>
    </xf>
    <xf numFmtId="0" fontId="22" fillId="48" borderId="40" xfId="0" applyFont="1" applyFill="1" applyBorder="1" applyNumberFormat="1">
      <alignment horizontal="right" vertical="center" wrapText="1" indent="1"/>
    </xf>
    <xf numFmtId="0" fontId="22" fillId="48" borderId="67" xfId="0" applyFont="1" applyFill="1" applyBorder="1" applyNumberFormat="1">
      <alignment horizontal="right" vertical="center" wrapText="1" inden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3" xfId="0" applyFont="1" applyFill="1" applyBorder="1" applyNumberFormat="1">
      <alignment horizontal="center" vertical="center" wrapText="1"/>
    </xf>
    <xf numFmtId="0" fontId="125" fillId="0" borderId="40" xfId="0" applyFont="1" applyBorder="1" applyNumberFormat="1">
      <alignment vertical="center" wrapText="1"/>
    </xf>
    <xf numFmtId="0" fontId="125" fillId="0" borderId="0" xfId="0" applyFont="1" applyNumberFormat="1">
      <alignment vertical="center" wrapText="1"/>
    </xf>
    <xf numFmtId="0" fontId="0" fillId="55" borderId="63" xfId="0" applyFont="1" applyFill="1" applyBorder="1" applyNumberFormat="1">
      <alignment horizontal="center"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0" fillId="38" borderId="63" xfId="0" applyFont="1" applyFill="1" applyBorder="1" applyNumberFormat="1">
      <alignment horizontal="center" vertical="center" wrapText="1"/>
    </xf>
    <xf numFmtId="0" fontId="0" fillId="42" borderId="63" xfId="0" applyFont="1" applyFill="1" applyBorder="1" applyNumberFormat="1">
      <alignment horizontal="center" vertical="center" wrapText="1"/>
    </xf>
    <xf numFmtId="0" fontId="22" fillId="48" borderId="0" xfId="0" applyFont="1" applyFill="1" applyNumberFormat="1">
      <alignment horizontal="right" vertical="center" wrapText="1" indent="1"/>
    </xf>
    <xf numFmtId="0" fontId="123" fillId="0" borderId="40" xfId="0" applyFont="1" applyBorder="1" applyNumberFormat="1">
      <alignment horizontal="left" vertical="center" wrapText="1"/>
    </xf>
    <xf numFmtId="0" fontId="123" fillId="0" borderId="64" xfId="0" applyFont="1" applyBorder="1" applyNumberFormat="1">
      <alignment horizontal="left" vertical="center" wrapText="1"/>
    </xf>
    <xf numFmtId="0" fontId="22" fillId="48" borderId="63" xfId="0" applyFont="1" applyFill="1" applyBorder="1" applyNumberFormat="1">
      <alignment horizontal="right" vertical="center" wrapText="1" indent="1"/>
    </xf>
    <xf numFmtId="0" fontId="22" fillId="48" borderId="66" xfId="0" applyFont="1" applyFill="1" applyBorder="1" applyNumberFormat="1">
      <alignment horizontal="right" vertical="center" wrapText="1" indent="1"/>
    </xf>
    <xf numFmtId="0" fontId="125" fillId="0" borderId="0" xfId="0" applyFont="1" applyNumberFormat="1"/>
    <xf numFmtId="0" fontId="125" fillId="0" borderId="40" xfId="0" applyFont="1" applyBorder="1" applyNumberFormat="1">
      <alignment wrapText="1"/>
    </xf>
    <xf numFmtId="0" fontId="125" fillId="0" borderId="0" xfId="0" applyFont="1" applyNumberFormat="1">
      <alignment vertical="top" wrapText="1"/>
    </xf>
    <xf numFmtId="0" fontId="22" fillId="48" borderId="65"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71" fillId="0" borderId="65"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49" fontId="71" fillId="0" borderId="0" xfId="0" applyFont="1" applyNumberFormat="1">
      <alignment vertical="top" wrapText="1"/>
    </xf>
    <xf numFmtId="0" fontId="38" fillId="0" borderId="0" xfId="0" applyFont="1" applyNumberFormat="1"/>
    <xf numFmtId="0" fontId="68" fillId="0" borderId="0" xfId="0" applyFont="1" applyNumberFormat="1">
      <alignment vertical="center" wrapText="1"/>
    </xf>
    <xf numFmtId="0" fontId="96" fillId="0" borderId="0" xfId="0" applyFont="1" applyNumberFormat="1">
      <alignment horizontal="left" vertical="center" wrapText="1"/>
    </xf>
    <xf numFmtId="0" fontId="68" fillId="0" borderId="0" xfId="0" applyFont="1" applyNumberFormat="1">
      <alignment horizontal="left" vertical="center" wrapText="1"/>
    </xf>
    <xf numFmtId="0" fontId="68" fillId="0" borderId="0" xfId="0" applyFont="1" applyNumberFormat="1">
      <alignment vertical="center" wrapText="1"/>
    </xf>
    <xf numFmtId="0" fontId="40" fillId="0" borderId="0" xfId="0" applyFont="1" applyNumberFormat="1">
      <alignment horizontal="center" vertical="center" wrapText="1"/>
    </xf>
    <xf numFmtId="0" fontId="40"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horizontal="left" vertical="center" wrapText="1"/>
    </xf>
    <xf numFmtId="0" fontId="23" fillId="0" borderId="0" xfId="0" applyFont="1" applyNumberFormat="1">
      <alignment horizontal="left" vertical="top" indent="1"/>
    </xf>
    <xf numFmtId="49" fontId="71" fillId="0" borderId="0" xfId="0" applyFont="1" applyNumberFormat="1">
      <alignment vertical="top"/>
    </xf>
    <xf numFmtId="49" fontId="23" fillId="0" borderId="0" xfId="0" applyFont="1" applyNumberFormat="1">
      <alignment vertical="center" wrapText="1"/>
    </xf>
    <xf numFmtId="49" fontId="54"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54" fillId="0" borderId="0" xfId="0" applyFont="1" applyNumberFormat="1">
      <alignment vertical="top"/>
    </xf>
    <xf numFmtId="49" fontId="0" fillId="0" borderId="0" xfId="0" applyFont="1" applyNumberFormat="1">
      <alignment vertical="top"/>
    </xf>
    <xf numFmtId="0" fontId="65" fillId="0" borderId="0" xfId="0" applyFont="1" applyNumberFormat="1">
      <alignment vertical="center" wrapText="1"/>
    </xf>
    <xf numFmtId="0" fontId="96" fillId="0" borderId="0" xfId="0" applyFont="1" applyNumberFormat="1">
      <alignment horizontal="lef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3" fillId="0" borderId="0" xfId="0" applyFont="1" applyNumberFormat="1">
      <alignment vertical="center" wrapText="1"/>
    </xf>
    <xf numFmtId="0" fontId="42" fillId="37" borderId="0" xfId="0" applyFont="1" applyFill="1" applyNumberFormat="1">
      <alignment vertical="center"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36" fillId="37" borderId="0" xfId="0" applyFont="1" applyFill="1" applyNumberFormat="1">
      <alignment vertical="center" wrapText="1"/>
    </xf>
    <xf numFmtId="0" fontId="101"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23" fillId="37" borderId="28" xfId="0" applyFont="1" applyFill="1" applyBorder="1" applyNumberFormat="1">
      <alignment horizontal="right" vertical="center" wrapText="1" indent="1"/>
    </xf>
    <xf numFmtId="0" fontId="0" fillId="38" borderId="14" xfId="0" applyFont="1" applyFill="1" applyBorder="1" applyNumberFormat="1">
      <alignment horizontal="left" vertical="center" wrapText="1" indent="1"/>
    </xf>
    <xf numFmtId="14" fontId="96" fillId="37" borderId="0" xfId="0" applyFont="1" applyFill="1" applyNumberFormat="1">
      <alignment horizontal="left"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23" fillId="37" borderId="0" xfId="0" applyFont="1" applyFill="1" applyNumberFormat="1">
      <alignment horizontal="center" vertical="center" wrapText="1"/>
    </xf>
    <xf numFmtId="0" fontId="93" fillId="0" borderId="0" xfId="0" applyFont="1" applyNumberFormat="1">
      <alignment horizontal="center" vertical="center" wrapText="1"/>
    </xf>
    <xf numFmtId="0" fontId="23" fillId="0" borderId="0" xfId="0" applyFont="1" applyNumberFormat="1">
      <alignment vertical="center" wrapText="1"/>
    </xf>
    <xf numFmtId="0" fontId="41" fillId="0" borderId="0" xfId="0" applyFont="1" applyNumberFormat="1">
      <alignment vertical="center" wrapText="1"/>
    </xf>
    <xf numFmtId="0" fontId="42" fillId="37" borderId="0" xfId="0" applyFont="1" applyFill="1" applyNumberFormat="1">
      <alignment vertical="center" wrapText="1"/>
    </xf>
    <xf numFmtId="0" fontId="23" fillId="37" borderId="28" xfId="0" applyFont="1" applyFill="1" applyBorder="1" applyNumberFormat="1">
      <alignment horizontal="right" vertical="center" wrapText="1" indent="1"/>
    </xf>
    <xf numFmtId="0" fontId="23" fillId="42" borderId="14" xfId="0" applyFont="1" applyFill="1" applyBorder="1" applyNumberFormat="1">
      <alignment horizontal="left" vertical="top" wrapText="1" indent="1"/>
      <protection locked="0"/>
    </xf>
    <xf numFmtId="0" fontId="23" fillId="0" borderId="0" xfId="0" applyFont="1" applyNumberFormat="1">
      <alignment horizontal="left" vertical="center" wrapText="1"/>
    </xf>
    <xf numFmtId="0" fontId="54" fillId="0" borderId="0" xfId="0" applyFont="1" applyNumberFormat="1">
      <alignment vertical="center" wrapText="1"/>
    </xf>
    <xf numFmtId="0" fontId="65"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14" fontId="98" fillId="0" borderId="14" xfId="0" applyFont="1" applyBorder="1" applyNumberFormat="1">
      <alignment horizontal="center" vertical="center" wrapText="1"/>
    </xf>
    <xf numFmtId="167" fontId="0" fillId="42" borderId="14" xfId="0" applyFont="1" applyFill="1" applyBorder="1" applyNumberFormat="1">
      <alignment horizontal="left" vertical="center" wrapText="1" indent="1"/>
      <protection locked="0"/>
    </xf>
    <xf numFmtId="0" fontId="34" fillId="0" borderId="0" xfId="0" applyFont="1" applyNumberFormat="1">
      <alignment horizontal="left" vertical="center" indent="1"/>
    </xf>
    <xf numFmtId="0" fontId="23" fillId="37" borderId="0" xfId="0" applyFont="1" applyFill="1" applyNumberFormat="1">
      <alignment vertical="center" wrapText="1"/>
    </xf>
    <xf numFmtId="14" fontId="98" fillId="0" borderId="14" xfId="0" applyFont="1" applyBorder="1" applyNumberFormat="1">
      <alignment horizontal="left" vertical="center" wrapText="1"/>
    </xf>
    <xf numFmtId="49" fontId="23" fillId="37" borderId="28" xfId="0" applyFont="1" applyFill="1" applyBorder="1" applyNumberFormat="1">
      <alignment horizontal="right" vertical="center" wrapText="1" indent="1"/>
    </xf>
    <xf numFmtId="167" fontId="0" fillId="42" borderId="14" xfId="0" applyFont="1" applyFill="1" applyBorder="1" applyNumberFormat="1">
      <alignment horizontal="left" vertical="center" wrapText="1" indent="1"/>
      <protection locked="0"/>
    </xf>
    <xf numFmtId="49" fontId="54" fillId="0" borderId="0" xfId="0" applyFont="1" applyNumberFormat="1">
      <alignment vertical="center" wrapText="1"/>
    </xf>
    <xf numFmtId="0" fontId="0" fillId="42" borderId="14"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167" fontId="0" fillId="0" borderId="14" xfId="0" applyFont="1" applyBorder="1" applyNumberFormat="1">
      <alignment horizontal="left" vertical="center" wrapText="1" indent="1"/>
    </xf>
    <xf numFmtId="0" fontId="0" fillId="37" borderId="0" xfId="0" applyFont="1" applyFill="1" applyNumberFormat="1">
      <alignment horizontal="right" vertical="center" wrapText="1" indent="1"/>
    </xf>
    <xf numFmtId="0" fontId="101" fillId="0" borderId="0" xfId="0" applyFont="1" applyNumberFormat="1">
      <alignment horizontal="left" vertical="center" wrapText="1"/>
    </xf>
    <xf numFmtId="0" fontId="23" fillId="37" borderId="0" xfId="0" applyFont="1" applyFill="1" applyNumberFormat="1">
      <alignment horizontal="right" vertical="center" wrapText="1" indent="1"/>
    </xf>
    <xf numFmtId="0" fontId="23" fillId="0" borderId="0" xfId="0" applyFont="1" applyNumberFormat="1">
      <alignment horizontal="center" vertical="center" wrapText="1"/>
    </xf>
    <xf numFmtId="0" fontId="23" fillId="37" borderId="0" xfId="0" applyFont="1" applyFill="1" applyNumberFormat="1">
      <alignment horizontal="center" vertical="center" wrapText="1"/>
    </xf>
    <xf numFmtId="167" fontId="0" fillId="42" borderId="14" xfId="0" applyFont="1" applyFill="1" applyBorder="1" applyNumberFormat="1">
      <alignment horizontal="left" vertical="center" wrapText="1" indent="1"/>
      <protection locked="0"/>
    </xf>
    <xf numFmtId="0" fontId="0" fillId="37" borderId="0" xfId="0" applyFont="1" applyFill="1" applyNumberFormat="1">
      <alignment horizontal="left" vertical="center" wrapText="1" indent="1"/>
    </xf>
    <xf numFmtId="49" fontId="23" fillId="0" borderId="14" xfId="0" applyFont="1" applyBorder="1" applyNumberFormat="1">
      <alignment horizontal="left" vertical="center" wrapText="1" indent="1"/>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49" fontId="23" fillId="38" borderId="14" xfId="0" applyFont="1" applyFill="1" applyBorder="1" applyNumberFormat="1">
      <alignment horizontal="left" vertical="center" wrapText="1" indent="1"/>
    </xf>
    <xf numFmtId="14" fontId="23" fillId="37" borderId="0" xfId="0" applyFont="1" applyFill="1" applyNumberFormat="1">
      <alignment horizontal="center" vertical="center" wrapText="1"/>
    </xf>
    <xf numFmtId="0" fontId="0" fillId="37" borderId="28" xfId="0" applyFont="1" applyFill="1" applyBorder="1" applyNumberFormat="1">
      <alignment horizontal="right" vertical="center" wrapText="1" indent="1"/>
    </xf>
    <xf numFmtId="0" fontId="23" fillId="0" borderId="0" xfId="0" applyFont="1" applyNumberFormat="1">
      <alignment vertical="center"/>
    </xf>
    <xf numFmtId="14" fontId="23" fillId="37" borderId="0" xfId="0" applyFont="1" applyFill="1" applyNumberFormat="1">
      <alignment horizontal="left" vertical="center" wrapText="1"/>
    </xf>
    <xf numFmtId="0" fontId="23" fillId="42" borderId="14" xfId="0" applyFont="1" applyFill="1" applyBorder="1" applyNumberFormat="1">
      <alignment horizontal="left" vertical="center" wrapText="1" indent="1"/>
      <protection locked="0"/>
    </xf>
    <xf numFmtId="0" fontId="23" fillId="42" borderId="14" xfId="0" applyFont="1" applyFill="1" applyBorder="1" applyNumberFormat="1">
      <alignment horizontal="left" vertical="center" wrapText="1" indent="1"/>
      <protection locked="0"/>
    </xf>
    <xf numFmtId="0" fontId="66" fillId="37" borderId="0" xfId="0" applyFont="1" applyFill="1" applyNumberFormat="1">
      <alignment horizontal="right" vertical="center" wrapText="1" indent="1"/>
    </xf>
    <xf numFmtId="0" fontId="66" fillId="37" borderId="0" xfId="0" applyFont="1" applyFill="1" applyNumberFormat="1">
      <alignment horizontal="left" vertical="center" wrapText="1" indent="1"/>
    </xf>
    <xf numFmtId="49" fontId="23" fillId="43" borderId="14" xfId="0" applyFont="1" applyFill="1" applyBorder="1" applyNumberFormat="1">
      <alignment horizontal="left" vertical="center" wrapText="1" inden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40" fillId="0" borderId="0" xfId="0" applyFont="1" applyNumberFormat="1">
      <alignment horizontal="left" vertical="center" wrapText="1"/>
    </xf>
    <xf numFmtId="49" fontId="32" fillId="0" borderId="14" xfId="0" applyFont="1" applyBorder="1" applyNumberFormat="1">
      <alignment horizontal="left" vertical="center" wrapText="1" indent="1"/>
    </xf>
    <xf numFmtId="0" fontId="40" fillId="0" borderId="0" xfId="0" applyFont="1" applyNumberFormat="1">
      <alignment horizontal="left" vertical="center" wrapText="1"/>
    </xf>
    <xf numFmtId="0" fontId="23" fillId="0" borderId="0" xfId="0" applyFont="1" applyNumberFormat="1">
      <alignment vertical="center" wrapText="1"/>
    </xf>
    <xf numFmtId="14" fontId="97" fillId="0" borderId="0" xfId="0" applyFont="1" applyNumberFormat="1">
      <alignment horizontal="center" vertical="center" wrapText="1"/>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4" fillId="0" borderId="0" xfId="0" applyFont="1" applyNumberFormat="1">
      <alignment vertical="center" wrapText="1"/>
    </xf>
    <xf numFmtId="0" fontId="88" fillId="0" borderId="0" xfId="0" applyFont="1" applyNumberFormat="1">
      <alignment vertical="center" wrapText="1"/>
    </xf>
    <xf numFmtId="0" fontId="23" fillId="43" borderId="14" xfId="0" applyFont="1" applyFill="1" applyBorder="1" applyNumberFormat="1">
      <alignment horizontal="left" vertical="center" wrapText="1" indent="1"/>
    </xf>
    <xf numFmtId="167" fontId="0" fillId="0" borderId="13" xfId="0" applyFont="1" applyBorder="1" applyNumberFormat="1">
      <alignment horizontal="left" vertical="center" wrapText="1" indent="1"/>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xf>
    <xf numFmtId="0" fontId="96" fillId="0" borderId="0" xfId="0" applyFont="1" applyNumberFormat="1">
      <alignment horizontal="left" vertical="center" wrapText="1"/>
    </xf>
    <xf numFmtId="49" fontId="40" fillId="0" borderId="0" xfId="0" applyFont="1" applyNumberFormat="1">
      <alignment horizontal="left" vertical="center" wrapText="1"/>
    </xf>
    <xf numFmtId="49" fontId="42" fillId="37" borderId="0" xfId="0" applyFont="1" applyFill="1" applyNumberFormat="1">
      <alignment horizontal="center" vertical="center" wrapText="1"/>
    </xf>
    <xf numFmtId="0" fontId="23" fillId="0" borderId="0" xfId="0" applyFont="1" applyNumberFormat="1">
      <alignment horizontal="left" vertical="center" wrapText="1" indent="4"/>
    </xf>
    <xf numFmtId="0" fontId="23" fillId="0" borderId="0" xfId="0" applyFont="1" applyNumberFormat="1">
      <alignment horizontal="left" vertical="center" wrapText="1" indent="1"/>
    </xf>
    <xf numFmtId="49" fontId="23" fillId="42" borderId="14"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3" fillId="37" borderId="0" xfId="0" applyFont="1" applyFill="1" applyNumberFormat="1">
      <alignment horizontal="right" vertical="center" wrapText="1" indent="1"/>
    </xf>
    <xf numFmtId="49" fontId="23" fillId="0" borderId="0" xfId="0" applyFont="1" applyNumberFormat="1">
      <alignment horizontal="center" vertical="center" wrapText="1"/>
    </xf>
    <xf numFmtId="49" fontId="0" fillId="37" borderId="0" xfId="0" applyFont="1" applyFill="1" applyNumberFormat="1">
      <alignment horizontal="right" vertical="center" wrapText="1" indent="1"/>
    </xf>
    <xf numFmtId="0" fontId="36" fillId="0" borderId="0" xfId="0" applyFont="1" applyNumberFormat="1">
      <alignment vertical="top" wrapText="1"/>
    </xf>
    <xf numFmtId="0" fontId="96" fillId="0" borderId="0" xfId="0" applyFont="1" applyNumberFormat="1">
      <alignment horizontal="left" vertical="center" wrapText="1"/>
    </xf>
    <xf numFmtId="0" fontId="40" fillId="0" borderId="0" xfId="0" applyFont="1" applyNumberFormat="1">
      <alignment horizontal="left" vertical="center" wrapText="1"/>
    </xf>
    <xf numFmtId="0" fontId="41"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center" vertical="center" wrapText="1"/>
    </xf>
    <xf numFmtId="0" fontId="40" fillId="0" borderId="0" xfId="0" applyFont="1" applyNumberFormat="1">
      <alignment horizontal="center" vertical="center" wrapText="1"/>
    </xf>
    <xf numFmtId="0" fontId="54" fillId="0" borderId="0" xfId="0" applyFont="1" applyNumberFormat="1">
      <alignment vertical="center" wrapText="1"/>
    </xf>
    <xf numFmtId="0" fontId="55" fillId="0" borderId="0" xfId="0" applyFont="1" applyNumberFormat="1">
      <alignment vertical="center" wrapText="1"/>
    </xf>
    <xf numFmtId="0" fontId="77" fillId="0" borderId="0" xfId="0" applyFont="1" applyNumberFormat="1">
      <alignment vertical="center" wrapText="1"/>
    </xf>
    <xf numFmtId="0" fontId="55"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center" vertical="center" wrapText="1"/>
    </xf>
    <xf numFmtId="0" fontId="55" fillId="0" borderId="0" xfId="0" applyFont="1" applyNumberFormat="1">
      <alignment horizontal="left" vertical="center" wrapText="1" indent="1"/>
    </xf>
    <xf numFmtId="0" fontId="55" fillId="0" borderId="0" xfId="0" applyFont="1" applyNumberFormat="1">
      <alignment horizontal="left" vertical="center" indent="1"/>
    </xf>
    <xf numFmtId="0" fontId="61" fillId="0" borderId="0" xfId="0" applyFont="1" applyNumberFormat="1">
      <alignment vertical="center" wrapText="1"/>
    </xf>
    <xf numFmtId="0" fontId="23"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50" fillId="0" borderId="0" xfId="0" applyFont="1" applyNumberFormat="1">
      <alignment vertical="center" wrapText="1"/>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17" xfId="0" applyFont="1" applyBorder="1" applyNumberFormat="1">
      <alignment horizontal="left" vertical="center" wrapText="1" inden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23" fillId="0" borderId="0" xfId="0" applyFont="1" applyNumberFormat="1">
      <alignment horizontal="center" vertical="center" wrapText="1"/>
    </xf>
    <xf numFmtId="4" fontId="23"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4" xfId="0" applyFont="1" applyBorder="1" applyNumberFormat="1">
      <alignment horizontal="center" vertical="center" wrapText="1"/>
    </xf>
    <xf numFmtId="0" fontId="44" fillId="0" borderId="0" xfId="0" applyFont="1" applyNumberFormat="1">
      <alignment horizontal="center" vertical="center" wrapText="1"/>
    </xf>
    <xf numFmtId="49" fontId="44" fillId="0" borderId="17" xfId="0" applyFont="1" applyBorder="1" applyNumberFormat="1">
      <alignment horizontal="center" vertical="center" wrapText="1"/>
    </xf>
    <xf numFmtId="49" fontId="44" fillId="0" borderId="17" xfId="0" applyFont="1" applyBorder="1" applyNumberFormat="1">
      <alignment horizontal="center" vertical="center" wrapText="1"/>
    </xf>
    <xf numFmtId="0" fontId="54" fillId="0" borderId="0" xfId="0" applyFont="1" applyNumberFormat="1">
      <alignment vertical="center"/>
    </xf>
    <xf numFmtId="0" fontId="54" fillId="0" borderId="0" xfId="0" applyFont="1" applyNumberFormat="1">
      <alignment vertical="center"/>
    </xf>
    <xf numFmtId="0" fontId="59" fillId="0" borderId="0" xfId="0" applyFont="1" applyNumberFormat="1">
      <alignment vertical="center"/>
    </xf>
    <xf numFmtId="49" fontId="23" fillId="40" borderId="21" xfId="0" applyFont="1" applyFill="1" applyBorder="1" applyNumberFormat="1">
      <alignment horizontal="center" vertical="center" wrapText="1"/>
    </xf>
    <xf numFmtId="49" fontId="54" fillId="40" borderId="21" xfId="0" applyFont="1" applyFill="1" applyBorder="1" applyNumberFormat="1">
      <alignment horizontal="left" vertical="center" wrapText="1"/>
    </xf>
    <xf numFmtId="49" fontId="54" fillId="40" borderId="22" xfId="0" applyFont="1" applyFill="1" applyBorder="1" applyNumberFormat="1">
      <alignment horizontal="left" vertical="center" wrapText="1"/>
    </xf>
    <xf numFmtId="0" fontId="55" fillId="0" borderId="24" xfId="0" applyFont="1" applyBorder="1" applyNumberFormat="1">
      <alignment vertical="center"/>
    </xf>
    <xf numFmtId="0" fontId="50" fillId="0" borderId="0" xfId="0" applyFont="1" applyNumberFormat="1">
      <alignment vertical="center" wrapText="1"/>
    </xf>
    <xf numFmtId="0" fontId="23" fillId="0" borderId="0" xfId="0" applyFont="1" applyNumberFormat="1">
      <alignment horizontal="center"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9" fontId="54" fillId="0" borderId="14" xfId="0" applyFont="1" applyBorder="1" applyNumberFormat="1">
      <alignment horizontal="left" vertical="center" wrapText="1"/>
    </xf>
    <xf numFmtId="0" fontId="55" fillId="0" borderId="0" xfId="0" applyFont="1" applyNumberFormat="1">
      <alignment vertical="center"/>
    </xf>
    <xf numFmtId="0" fontId="55" fillId="0" borderId="0" xfId="0" applyFont="1" applyNumberFormat="1">
      <alignment vertical="center"/>
    </xf>
    <xf numFmtId="49" fontId="0" fillId="0" borderId="0" xfId="0" applyFont="1" applyNumberFormat="1">
      <alignment vertical="top"/>
    </xf>
    <xf numFmtId="0" fontId="44" fillId="0" borderId="26" xfId="0" applyFont="1" applyBorder="1" applyNumberFormat="1">
      <alignment vertical="top" wrapText="1"/>
    </xf>
    <xf numFmtId="0" fontId="23" fillId="0" borderId="25" xfId="0" applyFont="1" applyBorder="1" applyNumberFormat="1">
      <alignment horizontal="center" vertical="center" wrapText="1"/>
    </xf>
    <xf numFmtId="0" fontId="55" fillId="0" borderId="25" xfId="0" applyFont="1" applyBorder="1" applyNumberFormat="1">
      <alignment horizontal="center" vertical="center" wrapText="1"/>
    </xf>
    <xf numFmtId="14" fontId="23" fillId="43" borderId="25" xfId="0" applyFont="1" applyFill="1" applyBorder="1" applyNumberFormat="1">
      <alignment horizontal="left" vertical="center" wrapText="1" indent="1"/>
    </xf>
    <xf numFmtId="49" fontId="23" fillId="38" borderId="25" xfId="0" applyFont="1" applyFill="1" applyBorder="1" applyNumberFormat="1">
      <alignment horizontal="center" vertical="center" wrapText="1"/>
    </xf>
    <xf numFmtId="0" fontId="79" fillId="0" borderId="0" xfId="0" applyFont="1" applyNumberFormat="1">
      <alignment vertical="center" wrapText="1"/>
    </xf>
    <xf numFmtId="49" fontId="54" fillId="0" borderId="0" xfId="0" applyFont="1" applyNumberFormat="1">
      <alignment vertical="top"/>
    </xf>
    <xf numFmtId="49" fontId="55" fillId="0" borderId="0" xfId="0" applyFont="1" applyNumberFormat="1">
      <alignment vertical="top"/>
    </xf>
    <xf numFmtId="0" fontId="0" fillId="0" borderId="0" xfId="0" applyFont="1" applyNumberFormat="1">
      <alignment vertical="center" wrapText="1"/>
    </xf>
    <xf numFmtId="0" fontId="44" fillId="0" borderId="0" xfId="0" applyFont="1" applyNumberFormat="1">
      <alignment vertical="top" wrapText="1"/>
    </xf>
    <xf numFmtId="49" fontId="36" fillId="40" borderId="16" xfId="0" applyFont="1" applyFill="1" applyBorder="1" applyNumberFormat="1">
      <alignment horizontal="right" vertical="center" wrapText="1"/>
    </xf>
    <xf numFmtId="49" fontId="36" fillId="40" borderId="17"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0" fillId="40" borderId="17" xfId="0" applyFont="1" applyFill="1" applyBorder="1" applyNumberFormat="1">
      <alignment horizontal="right" vertical="center" wrapText="1"/>
    </xf>
    <xf numFmtId="49" fontId="0" fillId="40" borderId="15" xfId="0" applyFont="1" applyFill="1" applyBorder="1" applyNumberFormat="1">
      <alignment horizontal="right" vertical="center" wrapText="1"/>
    </xf>
    <xf numFmtId="49" fontId="23" fillId="40" borderId="16"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48" fillId="40" borderId="17" xfId="0" applyFont="1" applyFill="1" applyBorder="1" applyNumberFormat="1">
      <alignment horizontal="left" vertical="center"/>
    </xf>
    <xf numFmtId="49" fontId="23" fillId="40" borderId="15" xfId="0" applyFont="1" applyFill="1" applyBorder="1" applyNumberFormat="1">
      <alignment horizontal="right" vertical="center" wrapText="1"/>
    </xf>
    <xf numFmtId="0" fontId="45" fillId="0" borderId="0" xfId="0" applyFont="1" applyNumberFormat="1">
      <alignment horizontal="center" vertical="center" wrapText="1"/>
    </xf>
    <xf numFmtId="0" fontId="23" fillId="0" borderId="23" xfId="0" applyFont="1" applyBorder="1" applyNumberFormat="1">
      <alignment vertical="center" wrapText="1"/>
    </xf>
    <xf numFmtId="0" fontId="23" fillId="0" borderId="0" xfId="0" applyFont="1" applyNumberFormat="1">
      <alignment vertical="center" wrapText="1"/>
    </xf>
    <xf numFmtId="0" fontId="53" fillId="0" borderId="0" xfId="0" applyFont="1" applyNumberFormat="1">
      <alignment vertical="center" wrapText="1"/>
    </xf>
    <xf numFmtId="0" fontId="99" fillId="0" borderId="0" xfId="0" applyFont="1" applyNumberFormat="1">
      <alignment vertical="center" wrapText="1"/>
    </xf>
    <xf numFmtId="0" fontId="57" fillId="0" borderId="0" xfId="0" applyFont="1" applyNumberFormat="1">
      <alignment horizontal="center" vertical="center" wrapText="1"/>
    </xf>
    <xf numFmtId="49" fontId="0"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0" xfId="0" applyFont="1" applyNumberFormat="1">
      <alignment vertical="center"/>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54" fillId="0" borderId="0" xfId="0" applyFont="1" applyNumberFormat="1">
      <alignment vertical="center"/>
    </xf>
    <xf numFmtId="0" fontId="49" fillId="0" borderId="0" xfId="0" applyFont="1" applyNumberFormat="1">
      <alignment vertical="center"/>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49" fillId="0" borderId="0" xfId="0" applyFont="1" applyNumberFormat="1">
      <alignmen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7" fillId="0" borderId="0" xfId="0" applyFont="1" applyNumberFormat="1">
      <alignment vertical="center"/>
    </xf>
    <xf numFmtId="0" fontId="49" fillId="0" borderId="0" xfId="0" applyFont="1" applyNumberFormat="1">
      <alignment vertical="center"/>
    </xf>
    <xf numFmtId="0" fontId="23" fillId="44" borderId="0" xfId="0" applyFont="1" applyFill="1" applyNumberFormat="1">
      <alignment horizontal="center" vertical="center" wrapText="1"/>
    </xf>
    <xf numFmtId="0" fontId="23" fillId="0" borderId="0" xfId="0" applyFont="1" applyNumberFormat="1">
      <alignment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80" fillId="0" borderId="14" xfId="0" applyFont="1" applyBorder="1" applyNumberFormat="1">
      <alignment horizontal="center" vertical="center" wrapText="1"/>
    </xf>
    <xf numFmtId="0" fontId="23" fillId="0" borderId="0" xfId="0" applyFont="1" applyNumberFormat="1">
      <alignment horizontal="center" vertical="center" wrapText="1"/>
    </xf>
    <xf numFmtId="0" fontId="87"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54" fillId="0" borderId="24" xfId="0" applyFont="1" applyBorder="1" applyNumberFormat="1">
      <alignment vertical="center"/>
    </xf>
    <xf numFmtId="0" fontId="0" fillId="0" borderId="0" xfId="0" applyFont="1" applyNumberFormat="1">
      <alignment vertical="center"/>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54" fillId="0" borderId="24" xfId="0" applyFont="1" applyBorder="1" applyNumberFormat="1">
      <alignment vertical="center"/>
    </xf>
    <xf numFmtId="0" fontId="55"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43" xfId="0" applyFont="1" applyFill="1" applyBorder="1" applyNumberFormat="1">
      <alignment horizontal="center" vertical="center" wrapText="1"/>
    </xf>
    <xf numFmtId="49" fontId="0" fillId="40" borderId="17" xfId="0" applyFont="1" applyFill="1" applyBorder="1" applyNumberFormat="1">
      <alignment horizontal="left" vertical="center"/>
    </xf>
    <xf numFmtId="0" fontId="0" fillId="40" borderId="15"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5" xfId="0" applyFont="1" applyBorder="1" applyNumberFormat="1">
      <alignment horizontal="center" vertical="center" wrapText="1"/>
    </xf>
    <xf numFmtId="0" fontId="23" fillId="0" borderId="75"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0" borderId="14" xfId="0" applyFont="1" applyBorder="1" applyNumberFormat="1">
      <alignment horizontal="left" vertical="center" wrapText="1" indent="1"/>
    </xf>
    <xf numFmtId="0" fontId="54" fillId="0" borderId="24" xfId="0" applyFont="1" applyBorder="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1"/>
      <protection locked="0"/>
    </xf>
    <xf numFmtId="49" fontId="48" fillId="40" borderId="15" xfId="0" applyFont="1" applyFill="1" applyBorder="1" applyNumberFormat="1">
      <alignment horizontal="left" vertical="center" indent="1"/>
    </xf>
    <xf numFmtId="0" fontId="23" fillId="43" borderId="25" xfId="0" applyFont="1" applyFill="1" applyBorder="1" applyNumberFormat="1">
      <alignment horizontal="left" vertical="center" wrapText="1" indent="2"/>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0" fontId="80" fillId="44" borderId="0" xfId="0" applyFont="1" applyFill="1" applyNumberFormat="1">
      <alignment vertical="top"/>
    </xf>
    <xf numFmtId="49" fontId="23" fillId="0" borderId="0" xfId="0" applyFont="1" applyNumberFormat="1">
      <alignment vertical="center" wrapText="1"/>
    </xf>
    <xf numFmtId="49" fontId="23" fillId="0" borderId="0" xfId="0" applyFont="1" applyNumberFormat="1">
      <alignment horizontal="center" vertical="center" wrapText="1"/>
    </xf>
    <xf numFmtId="49" fontId="48" fillId="40" borderId="17" xfId="0" applyFont="1" applyFill="1" applyBorder="1" applyNumberFormat="1">
      <alignment horizontal="left" vertical="center" indent="2"/>
    </xf>
    <xf numFmtId="0" fontId="0" fillId="0" borderId="0" xfId="0" applyFont="1" applyNumberFormat="1">
      <alignment vertical="center"/>
    </xf>
    <xf numFmtId="0" fontId="54"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5" fillId="0" borderId="0" xfId="0" applyFont="1" applyNumberFormat="1">
      <alignment vertical="center"/>
    </xf>
    <xf numFmtId="0" fontId="49" fillId="0" borderId="0" xfId="0" applyFont="1" applyNumberFormat="1">
      <alignment vertical="center"/>
    </xf>
    <xf numFmtId="0" fontId="56" fillId="0" borderId="0" xfId="0" applyFont="1" applyNumberFormat="1">
      <alignment vertical="center"/>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69"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113" fillId="0" borderId="0" xfId="0" applyFont="1" applyNumberFormat="1">
      <alignment vertical="center"/>
    </xf>
    <xf numFmtId="0" fontId="23" fillId="0" borderId="29" xfId="0" applyFont="1" applyBorder="1" applyNumberFormat="1">
      <alignment horizontal="left" vertical="center" indent="1"/>
    </xf>
    <xf numFmtId="0" fontId="72" fillId="0" borderId="0" xfId="0" applyFont="1" applyNumberFormat="1">
      <alignment vertical="center"/>
    </xf>
    <xf numFmtId="0" fontId="55" fillId="0" borderId="0" xfId="0" applyFont="1" applyNumberFormat="1">
      <alignment vertical="center"/>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72" fillId="0" borderId="0" xfId="0" applyFont="1" applyNumberFormat="1">
      <alignment vertical="center"/>
    </xf>
    <xf numFmtId="0" fontId="23" fillId="0" borderId="0" xfId="0" applyFont="1" applyNumberFormat="1">
      <alignment vertical="center"/>
    </xf>
    <xf numFmtId="0" fontId="37" fillId="0" borderId="0" xfId="0" applyFont="1" applyNumberFormat="1">
      <alignment vertical="center"/>
    </xf>
    <xf numFmtId="0" fontId="49" fillId="0" borderId="0" xfId="0" applyFont="1" applyNumberFormat="1">
      <alignment vertical="center"/>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xf>
    <xf numFmtId="0" fontId="55" fillId="0" borderId="0" xfId="0" applyFont="1" applyNumberFormat="1">
      <alignment vertical="center"/>
    </xf>
    <xf numFmtId="49" fontId="55" fillId="37" borderId="0" xfId="0" applyFont="1" applyFill="1" applyNumberFormat="1">
      <alignment horizontal="center" vertical="center" wrapText="1"/>
    </xf>
    <xf numFmtId="49" fontId="55" fillId="37" borderId="29" xfId="0" applyFont="1" applyFill="1" applyBorder="1" applyNumberFormat="1">
      <alignment horizontal="center" vertical="center" wrapText="1"/>
    </xf>
    <xf numFmtId="0" fontId="45" fillId="0" borderId="0" xfId="0" applyFont="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4" xfId="0" applyFont="1" applyBorder="1" applyNumberFormat="1">
      <alignment horizontal="center" vertical="top"/>
    </xf>
    <xf numFmtId="0" fontId="23" fillId="0" borderId="14" xfId="0" applyFont="1" applyBorder="1" applyNumberFormat="1">
      <alignment horizontal="left" vertical="top" wrapText="1"/>
    </xf>
    <xf numFmtId="0" fontId="23" fillId="43" borderId="19"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22" xfId="0" applyFont="1" applyBorder="1" applyNumberFormat="1">
      <alignment horizontal="left" vertical="center" wrapText="1"/>
    </xf>
    <xf numFmtId="0" fontId="23" fillId="0" borderId="0" xfId="0" applyFont="1" applyNumberFormat="1">
      <alignment horizontal="left" vertical="center" indent="1"/>
    </xf>
    <xf numFmtId="0" fontId="0" fillId="0" borderId="0" xfId="0" applyFont="1" applyNumberFormat="1">
      <alignment vertical="center"/>
    </xf>
    <xf numFmtId="0" fontId="23" fillId="43" borderId="38" xfId="0" applyFont="1" applyFill="1" applyBorder="1" applyNumberFormat="1">
      <alignment horizontal="center" vertical="top" wrapText="1"/>
    </xf>
    <xf numFmtId="0" fontId="0" fillId="0" borderId="24" xfId="0" applyFont="1" applyBorder="1" applyNumberFormat="1">
      <alignment horizontal="center" vertical="center"/>
    </xf>
    <xf numFmtId="0" fontId="0" fillId="0" borderId="0" xfId="0" applyFont="1" applyNumberFormat="1">
      <alignment horizontal="center" vertical="center"/>
    </xf>
    <xf numFmtId="49" fontId="23" fillId="0" borderId="0" xfId="0" applyFont="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horizontal="left" vertical="top"/>
    </xf>
    <xf numFmtId="0" fontId="23" fillId="43" borderId="25" xfId="0" applyFont="1" applyFill="1" applyBorder="1" applyNumberFormat="1">
      <alignment horizontal="center" vertical="top" wrapText="1"/>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0" fontId="0" fillId="0" borderId="0" xfId="0" applyFont="1" applyNumberFormat="1">
      <alignment vertical="center"/>
    </xf>
    <xf numFmtId="49" fontId="23"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9" xfId="0" applyFont="1" applyBorder="1" applyNumberFormat="1">
      <alignment horizontal="center" vertical="top"/>
    </xf>
    <xf numFmtId="0" fontId="23" fillId="0" borderId="19" xfId="0" applyFont="1" applyBorder="1" applyNumberFormat="1">
      <alignment horizontal="left" vertical="top" wrapText="1"/>
    </xf>
    <xf numFmtId="0" fontId="0" fillId="0" borderId="38" xfId="0" applyFont="1" applyBorder="1" applyNumberFormat="1">
      <alignment horizontal="center" vertical="top"/>
    </xf>
    <xf numFmtId="0" fontId="23" fillId="0" borderId="38" xfId="0" applyFont="1" applyBorder="1" applyNumberFormat="1">
      <alignment horizontal="left" vertical="top" wrapText="1"/>
    </xf>
    <xf numFmtId="0" fontId="0" fillId="0" borderId="25" xfId="0" applyFont="1" applyBorder="1" applyNumberFormat="1">
      <alignment horizontal="center" vertical="top"/>
    </xf>
    <xf numFmtId="0" fontId="23" fillId="0" borderId="25" xfId="0" applyFont="1" applyBorder="1" applyNumberFormat="1">
      <alignment horizontal="left" vertical="top"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43" borderId="14" xfId="0" applyFont="1" applyFill="1" applyBorder="1" applyNumberFormat="1">
      <alignment horizontal="left" vertical="top" wrapText="1"/>
    </xf>
    <xf numFmtId="0" fontId="0"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49" fontId="23" fillId="43" borderId="19"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0" fillId="37" borderId="14" xfId="0" applyFont="1" applyFill="1" applyBorder="1" applyNumberFormat="1">
      <alignment horizontal="left" vertical="center" wrapText="1"/>
    </xf>
    <xf numFmtId="49" fontId="0" fillId="37" borderId="14" xfId="0" applyFont="1" applyFill="1" applyBorder="1" applyNumberFormat="1">
      <alignment horizontal="left" vertical="center" wrapText="1"/>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49" fontId="23" fillId="43" borderId="38" xfId="0" applyFont="1" applyFill="1" applyBorder="1" applyNumberFormat="1">
      <alignment horizontal="center"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49" fontId="0" fillId="0" borderId="14" xfId="0" applyFont="1" applyBorder="1" applyNumberFormat="1">
      <alignment vertical="top"/>
    </xf>
    <xf numFmtId="49" fontId="0" fillId="39" borderId="14" xfId="0" applyFont="1" applyFill="1" applyBorder="1" applyNumberFormat="1">
      <alignment horizontal="left" vertical="top"/>
      <protection locked="0"/>
    </xf>
    <xf numFmtId="49" fontId="23" fillId="43" borderId="25" xfId="0" applyFont="1" applyFill="1" applyBorder="1" applyNumberFormat="1">
      <alignment horizontal="center" vertical="center" wrapText="1"/>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31" xfId="0" applyFont="1" applyFill="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15" xfId="0" applyFont="1" applyFill="1" applyBorder="1" applyNumberFormat="1">
      <alignment horizontal="left" vertical="center"/>
    </xf>
    <xf numFmtId="49" fontId="0" fillId="43" borderId="14" xfId="0" applyFont="1" applyFill="1" applyBorder="1" applyNumberFormat="1">
      <alignment horizontal="left" vertical="top"/>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15" xfId="0" applyFont="1" applyFill="1" applyBorder="1" applyNumberFormat="1">
      <alignment horizontal="left" vertical="center"/>
    </xf>
    <xf numFmtId="0" fontId="23" fillId="37" borderId="14" xfId="0" applyFont="1" applyFill="1" applyBorder="1" applyNumberFormat="1">
      <alignment horizontal="left" vertical="top" wrapText="1"/>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2" xfId="0" applyFont="1" applyBorder="1" applyNumberFormat="1">
      <alignment horizontal="left" vertical="center" wrapText="1"/>
    </xf>
    <xf numFmtId="0" fontId="0" fillId="0" borderId="24" xfId="0" applyFont="1" applyBorder="1" applyNumberFormat="1">
      <alignment horizontal="center" vertical="center"/>
    </xf>
    <xf numFmtId="0" fontId="0" fillId="0" borderId="0" xfId="0" applyFont="1" applyNumberFormat="1">
      <alignment horizontal="center" vertical="center"/>
    </xf>
    <xf numFmtId="49" fontId="23" fillId="0" borderId="0" xfId="0" applyFont="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0" fillId="37" borderId="14" xfId="0" applyFont="1" applyFill="1" applyBorder="1" applyNumberFormat="1">
      <alignment horizontal="left" vertical="top"/>
    </xf>
    <xf numFmtId="49" fontId="0" fillId="0" borderId="0" xfId="0" applyFont="1" applyNumberFormat="1">
      <alignment horizontal="left" vertical="top"/>
    </xf>
    <xf numFmtId="0" fontId="0" fillId="0" borderId="0" xfId="0" applyFont="1" applyNumberFormat="1">
      <alignment vertical="center"/>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0" fontId="0"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0" fontId="23" fillId="0" borderId="0" xfId="0" applyFont="1" applyNumberFormat="1">
      <alignment vertical="center"/>
    </xf>
    <xf numFmtId="49" fontId="55" fillId="0" borderId="0" xfId="0" applyFont="1" applyNumberFormat="1">
      <alignment vertical="top"/>
    </xf>
    <xf numFmtId="49" fontId="55" fillId="0" borderId="0" xfId="0" applyFont="1" applyNumberFormat="1">
      <alignment horizontal="center" vertical="center"/>
    </xf>
    <xf numFmtId="49" fontId="55" fillId="0" borderId="0" xfId="0" applyFont="1" applyNumberFormat="1">
      <alignment horizontal="center" vertical="center"/>
    </xf>
    <xf numFmtId="49" fontId="54" fillId="0" borderId="0" xfId="0" applyFont="1" applyNumberFormat="1">
      <alignment horizontal="center" vertical="center"/>
    </xf>
    <xf numFmtId="49" fontId="72"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21" xfId="0" applyFont="1" applyBorder="1" applyNumberFormat="1">
      <alignment horizontal="left" vertical="center" wrapText="1" indent="1"/>
    </xf>
    <xf numFmtId="0" fontId="22" fillId="0" borderId="0" xfId="0" applyFont="1" applyNumberFormat="1">
      <alignment horizontal="left" vertical="center" wrapText="1" indent="1"/>
    </xf>
    <xf numFmtId="0" fontId="50" fillId="0" borderId="0" xfId="0" applyFont="1" applyNumberFormat="1">
      <alignment vertical="center"/>
    </xf>
    <xf numFmtId="0" fontId="118" fillId="0" borderId="0" xfId="0" applyFont="1" applyNumberFormat="1">
      <alignment vertical="center" wrapText="1"/>
    </xf>
    <xf numFmtId="0" fontId="119" fillId="0" borderId="0" xfId="0" applyFont="1" applyNumberFormat="1">
      <alignment vertical="center" wrapText="1"/>
    </xf>
    <xf numFmtId="0" fontId="5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49" fontId="23" fillId="0" borderId="0" xfId="0" applyFont="1" applyNumberFormat="1">
      <alignment vertical="top"/>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xf>
    <xf numFmtId="49" fontId="23" fillId="43" borderId="19" xfId="0" applyFont="1" applyFill="1" applyBorder="1" applyNumberFormat="1">
      <alignment horizontal="center" vertical="center" wrapText="1"/>
    </xf>
    <xf numFmtId="49" fontId="23" fillId="0" borderId="39" xfId="0" applyFont="1" applyBorder="1" applyNumberFormat="1">
      <alignment vertical="center" wrapText="1"/>
    </xf>
    <xf numFmtId="0" fontId="23"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23" fillId="0" borderId="21" xfId="0" applyFont="1" applyBorder="1" applyNumberFormat="1">
      <alignment vertical="center" wrapText="1"/>
    </xf>
    <xf numFmtId="49" fontId="23" fillId="43" borderId="38" xfId="0" applyFont="1" applyFill="1" applyBorder="1" applyNumberFormat="1">
      <alignment horizontal="center" vertical="center" wrapText="1"/>
    </xf>
    <xf numFmtId="49" fontId="23" fillId="0" borderId="24" xfId="0" applyFont="1" applyBorder="1" applyNumberFormat="1">
      <alignment vertical="center" wrapText="1"/>
    </xf>
    <xf numFmtId="0" fontId="23" fillId="0" borderId="0" xfId="0" applyFont="1" applyNumberFormat="1">
      <alignment horizontal="center" vertical="center"/>
    </xf>
    <xf numFmtId="0" fontId="23"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49" fontId="45" fillId="0" borderId="0" xfId="0" applyFont="1" applyNumberFormat="1">
      <alignment horizontal="center" vertical="center" wrapText="1"/>
    </xf>
    <xf numFmtId="0" fontId="48" fillId="0" borderId="0" xfId="0" applyFont="1" applyNumberFormat="1">
      <alignment vertical="center"/>
    </xf>
    <xf numFmtId="0" fontId="48" fillId="0" borderId="24" xfId="0" applyFont="1" applyBorder="1" applyNumberFormat="1">
      <alignment horizontal="left" vertical="center"/>
    </xf>
    <xf numFmtId="49" fontId="23" fillId="0" borderId="19" xfId="0" applyFont="1" applyBorder="1" applyNumberFormat="1">
      <alignment horizontal="center" vertical="center"/>
    </xf>
    <xf numFmtId="0" fontId="23" fillId="0" borderId="19" xfId="0" applyFont="1" applyBorder="1" applyNumberFormat="1">
      <alignment horizontal="left" vertical="center" wrapText="1"/>
    </xf>
    <xf numFmtId="0" fontId="23" fillId="0" borderId="39" xfId="0" applyFont="1" applyBorder="1" applyNumberFormat="1">
      <alignment horizontal="left" vertical="center" wrapText="1"/>
    </xf>
    <xf numFmtId="49" fontId="72" fillId="0" borderId="32" xfId="0" applyFont="1" applyBorder="1" applyNumberFormat="1">
      <alignment vertical="top"/>
    </xf>
    <xf numFmtId="49" fontId="72" fillId="0" borderId="29" xfId="0" applyFont="1" applyBorder="1" applyNumberFormat="1">
      <alignment vertical="top"/>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0" borderId="0" xfId="0" applyFont="1" applyNumberFormat="1">
      <alignment horizontal="left" vertical="center" wrapText="1"/>
    </xf>
    <xf numFmtId="0" fontId="23" fillId="0" borderId="16" xfId="0" applyFont="1" applyBorder="1" applyNumberFormat="1">
      <alignment horizontal="left" vertical="center" wrapText="1"/>
    </xf>
    <xf numFmtId="49" fontId="0"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23" fillId="37" borderId="0" xfId="0" applyFont="1" applyFill="1" applyNumberFormat="1"/>
    <xf numFmtId="0" fontId="66" fillId="37" borderId="0" xfId="0" applyFont="1" applyFill="1" applyNumberFormat="1"/>
    <xf numFmtId="0" fontId="55" fillId="37" borderId="0" xfId="0" applyFont="1" applyFill="1" applyNumberFormat="1"/>
    <xf numFmtId="0" fontId="66" fillId="37" borderId="0" xfId="0" applyFont="1" applyFill="1" applyNumberFormat="1">
      <alignment horizontal="center"/>
    </xf>
    <xf numFmtId="0" fontId="95" fillId="0" borderId="0" xfId="0" applyFont="1" applyNumberFormat="1">
      <alignment vertical="center"/>
    </xf>
    <xf numFmtId="0" fontId="94" fillId="0" borderId="0" xfId="0" applyFont="1" applyNumberFormat="1">
      <alignment vertical="center"/>
    </xf>
    <xf numFmtId="0" fontId="78" fillId="37" borderId="0" xfId="0" applyFont="1" applyFill="1" applyNumberFormat="1">
      <alignment horizontal="right" vertical="center"/>
    </xf>
    <xf numFmtId="0" fontId="23" fillId="37" borderId="0" xfId="0" applyFont="1" applyFill="1" applyNumberFormat="1">
      <alignment vertical="center" wrapText="1"/>
    </xf>
    <xf numFmtId="0" fontId="55" fillId="37" borderId="0" xfId="0" applyFont="1" applyFill="1" applyNumberFormat="1">
      <alignment vertical="center" wrapText="1"/>
    </xf>
    <xf numFmtId="0" fontId="23" fillId="37" borderId="0" xfId="0" applyFont="1" applyFill="1" applyNumberFormat="1">
      <alignment horizontal="center" vertical="center" wrapText="1"/>
    </xf>
    <xf numFmtId="0" fontId="98" fillId="37" borderId="0" xfId="0" applyFont="1" applyFill="1" applyNumberFormat="1">
      <alignment horizontal="left" vertical="center"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44" fillId="37" borderId="0" xfId="0" applyFont="1" applyFill="1" applyNumberFormat="1">
      <alignment horizontal="center" vertical="center"/>
    </xf>
    <xf numFmtId="49" fontId="55" fillId="0" borderId="14" xfId="0" applyFont="1" applyBorder="1" applyNumberFormat="1">
      <alignment horizontal="center" vertical="center"/>
    </xf>
    <xf numFmtId="0" fontId="55" fillId="0" borderId="14" xfId="0" applyFont="1" applyBorder="1" applyNumberFormat="1">
      <alignment vertical="center" wrapText="1"/>
    </xf>
    <xf numFmtId="0" fontId="55" fillId="0" borderId="14" xfId="0" applyFont="1" applyBorder="1" applyNumberFormat="1">
      <alignment horizontal="left" vertical="center" wrapText="1"/>
    </xf>
    <xf numFmtId="0" fontId="70" fillId="37" borderId="0" xfId="0" applyFont="1" applyFill="1" applyNumberFormat="1"/>
    <xf numFmtId="49" fontId="0" fillId="37" borderId="14" xfId="0" applyFont="1" applyFill="1" applyBorder="1" applyNumberFormat="1">
      <alignment horizontal="center" vertical="center"/>
    </xf>
    <xf numFmtId="0" fontId="0" fillId="37" borderId="14" xfId="0" applyFont="1" applyFill="1" applyBorder="1" applyNumberFormat="1">
      <alignment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vertical="center" wrapText="1"/>
    </xf>
    <xf numFmtId="0" fontId="0" fillId="37" borderId="14" xfId="0" applyFont="1" applyFill="1" applyBorder="1" applyNumberFormat="1">
      <alignment horizontal="left" vertical="center" wrapText="1" indent="1"/>
    </xf>
    <xf numFmtId="49" fontId="0" fillId="42" borderId="14" xfId="0" applyFont="1" applyFill="1" applyBorder="1" applyNumberFormat="1">
      <alignment horizontal="left" vertical="center" wrapText="1"/>
      <protection locked="0"/>
    </xf>
    <xf numFmtId="0" fontId="55" fillId="0" borderId="14" xfId="0" applyFont="1" applyBorder="1" applyNumberFormat="1">
      <alignment horizontal="left" vertical="center" wrapText="1" indent="1"/>
    </xf>
    <xf numFmtId="49" fontId="23"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95" fillId="0" borderId="0" xfId="0" applyFont="1" applyNumberFormat="1">
      <alignment vertical="center" wrapText="1"/>
    </xf>
    <xf numFmtId="0" fontId="0" fillId="37" borderId="14" xfId="0" applyFont="1" applyFill="1" applyBorder="1" applyNumberFormat="1">
      <alignment horizontal="center" vertical="center"/>
    </xf>
    <xf numFmtId="0" fontId="0" fillId="37" borderId="14" xfId="0" applyFont="1" applyFill="1" applyBorder="1" applyNumberFormat="1">
      <alignment horizontal="left" vertical="center" wrapText="1" indent="2"/>
    </xf>
    <xf numFmtId="49" fontId="0" fillId="0" borderId="14" xfId="0" applyFont="1" applyBorder="1" applyNumberFormat="1">
      <alignment horizontal="left" vertical="center" wrapText="1"/>
    </xf>
    <xf numFmtId="49" fontId="23" fillId="37" borderId="0" xfId="0" applyFont="1" applyFill="1" applyNumberFormat="1">
      <alignment vertical="center" wrapText="1"/>
    </xf>
    <xf numFmtId="0" fontId="23" fillId="37" borderId="26" xfId="0" applyFont="1" applyFill="1" applyBorder="1" applyNumberFormat="1">
      <alignment vertical="center" wrapText="1"/>
    </xf>
    <xf numFmtId="0" fontId="23" fillId="40" borderId="16" xfId="0" applyFont="1" applyFill="1" applyBorder="1" applyNumberFormat="1">
      <alignment horizontal="center"/>
    </xf>
    <xf numFmtId="49" fontId="48" fillId="40" borderId="17" xfId="0" applyFont="1" applyFill="1" applyBorder="1" applyNumberFormat="1">
      <alignment horizontal="left" vertical="center" indent="1"/>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0" fontId="55" fillId="37" borderId="0" xfId="0" applyFont="1" applyFill="1" applyNumberFormat="1"/>
    <xf numFmtId="49" fontId="55" fillId="37" borderId="14" xfId="0" applyFont="1" applyFill="1" applyBorder="1" applyNumberFormat="1">
      <alignment horizontal="center" vertical="center"/>
    </xf>
    <xf numFmtId="0" fontId="55" fillId="37" borderId="14" xfId="0" applyFont="1" applyFill="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0" fontId="0" fillId="37" borderId="14" xfId="0" applyFont="1" applyFill="1" applyBorder="1" applyNumberFormat="1">
      <alignment horizontal="left" vertical="center" wrapText="1"/>
    </xf>
    <xf numFmtId="49" fontId="0" fillId="39" borderId="14" xfId="0" applyFont="1" applyFill="1" applyBorder="1" applyNumberFormat="1">
      <alignment horizontal="left" vertical="center" wrapText="1"/>
      <protection locked="0"/>
    </xf>
    <xf numFmtId="0" fontId="0" fillId="37" borderId="19" xfId="0" applyFont="1" applyFill="1" applyBorder="1" applyNumberFormat="1">
      <alignment horizontal="left" vertical="center" wrapText="1"/>
    </xf>
    <xf numFmtId="0" fontId="23" fillId="37" borderId="19" xfId="0" applyFont="1" applyFill="1" applyBorder="1" applyNumberFormat="1">
      <alignment horizontal="left" vertical="top" wrapText="1"/>
    </xf>
    <xf numFmtId="49" fontId="0" fillId="0" borderId="14" xfId="0" applyFont="1" applyBorder="1" applyNumberFormat="1">
      <alignment horizontal="left" vertical="center" wrapText="1" indent="1"/>
    </xf>
    <xf numFmtId="0" fontId="23" fillId="37" borderId="38" xfId="0" applyFont="1" applyFill="1" applyBorder="1" applyNumberFormat="1">
      <alignment horizontal="left" vertical="top" wrapText="1"/>
    </xf>
    <xf numFmtId="0" fontId="45" fillId="37" borderId="0" xfId="0" applyFont="1" applyFill="1" applyNumberFormat="1">
      <alignment horizontal="center" vertical="center"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37" borderId="25" xfId="0" applyFont="1" applyFill="1" applyBorder="1" applyNumberFormat="1">
      <alignment horizontal="left" vertical="top" wrapText="1"/>
    </xf>
    <xf numFmtId="0" fontId="58" fillId="37" borderId="0" xfId="0" applyFont="1" applyFill="1" applyNumberFormat="1"/>
    <xf numFmtId="49" fontId="23" fillId="42" borderId="14" xfId="0" applyFont="1" applyFill="1" applyBorder="1" applyNumberFormat="1" quotePrefix="1">
      <alignment horizontal="left" vertical="center" wrapText="1"/>
      <protection locked="0"/>
    </xf>
    <xf numFmtId="49" fontId="23" fillId="39"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0" fillId="37" borderId="16" xfId="0" applyFont="1" applyFill="1" applyBorder="1" applyNumberFormat="1">
      <alignment horizontal="left" vertical="center" wrapText="1" indent="1"/>
    </xf>
    <xf numFmtId="49" fontId="23" fillId="43" borderId="16" xfId="0" applyFont="1" applyFill="1" applyBorder="1" applyNumberFormat="1">
      <alignment horizontal="left" vertical="center" wrapText="1"/>
    </xf>
    <xf numFmtId="0" fontId="0" fillId="37" borderId="14" xfId="0" applyFont="1" applyFill="1" applyBorder="1" applyNumberFormat="1">
      <alignment vertical="top" wrapText="1"/>
    </xf>
    <xf numFmtId="49" fontId="23" fillId="37" borderId="0" xfId="0" applyFont="1" applyFill="1" applyNumberFormat="1">
      <alignment horizontal="center" vertical="center" wrapText="1"/>
    </xf>
    <xf numFmtId="0" fontId="0" fillId="37" borderId="16" xfId="0" applyFont="1" applyFill="1" applyBorder="1" applyNumberFormat="1">
      <alignment horizontal="left" vertical="center" wrapText="1"/>
    </xf>
    <xf numFmtId="0" fontId="0" fillId="37" borderId="25" xfId="0" applyFont="1" applyFill="1" applyBorder="1" applyNumberFormat="1">
      <alignment vertical="center" wrapText="1"/>
    </xf>
    <xf numFmtId="0" fontId="81" fillId="37" borderId="0" xfId="0" applyFont="1" applyFill="1" applyNumberFormat="1"/>
    <xf numFmtId="0" fontId="23" fillId="0" borderId="0" xfId="0" applyFont="1" applyNumberFormat="1">
      <alignment vertical="top" wrapText="1"/>
    </xf>
    <xf numFmtId="0" fontId="55" fillId="0" borderId="0" xfId="0" applyFont="1" applyNumberFormat="1">
      <alignment vertical="center" wrapText="1"/>
    </xf>
    <xf numFmtId="0" fontId="53" fillId="0" borderId="0" xfId="0" applyFont="1" applyNumberFormat="1">
      <alignment horizontal="right" vertical="top" wrapText="1"/>
    </xf>
    <xf numFmtId="0" fontId="53" fillId="0" borderId="0" xfId="0" applyFont="1" applyNumberFormat="1">
      <alignment horizontal="left" vertical="top" wrapText="1" indent="1"/>
    </xf>
    <xf numFmtId="0" fontId="53" fillId="0" borderId="0" xfId="0" applyFont="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2" fillId="37" borderId="0" xfId="0" applyFont="1" applyFill="1" applyNumberFormat="1">
      <alignment horizontal="right" vertical="center"/>
    </xf>
    <xf numFmtId="0" fontId="83" fillId="37" borderId="0" xfId="0" applyFont="1" applyFill="1" applyNumberFormat="1">
      <alignment vertical="center"/>
    </xf>
    <xf numFmtId="0" fontId="82" fillId="37" borderId="0" xfId="0" applyFont="1" applyFill="1" applyNumberFormat="1">
      <alignment horizontal="right" vertical="top"/>
    </xf>
    <xf numFmtId="0" fontId="83" fillId="37" borderId="0" xfId="0" applyFont="1" applyFill="1" applyNumberFormat="1">
      <alignment vertical="center" wrapText="1"/>
    </xf>
    <xf numFmtId="0" fontId="23" fillId="37" borderId="0" xfId="0" applyFont="1" applyFill="1" applyNumberFormat="1"/>
    <xf numFmtId="0" fontId="0" fillId="37" borderId="0" xfId="0" applyFont="1" applyFill="1" applyNumberFormat="1"/>
    <xf numFmtId="0" fontId="0" fillId="37" borderId="0" xfId="0" applyFont="1" applyFill="1" applyNumberFormat="1">
      <alignment horizontal="center"/>
    </xf>
    <xf numFmtId="0" fontId="54" fillId="0" borderId="0" xfId="0" applyFont="1" applyNumberFormat="1">
      <alignment horizontal="center" vertical="center" wrapTex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45" fillId="37" borderId="0" xfId="0" applyFont="1" applyFill="1" applyNumberFormat="1">
      <alignment horizontal="center" vertical="center" wrapText="1"/>
    </xf>
    <xf numFmtId="0" fontId="22" fillId="0" borderId="0" xfId="0" applyFont="1" applyNumberFormat="1">
      <alignment horizontal="left" vertical="center" wrapText="1" indent="3"/>
    </xf>
    <xf numFmtId="0" fontId="69" fillId="0" borderId="0" xfId="0" applyFont="1" applyNumberFormat="1">
      <alignment horizontal="center" vertical="center" wrapText="1"/>
    </xf>
    <xf numFmtId="0" fontId="69" fillId="0" borderId="0" xfId="0" applyFont="1" applyNumberFormat="1">
      <alignment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65" fillId="0" borderId="0" xfId="0" applyFont="1" applyNumberFormat="1">
      <alignment vertical="center" wrapText="1"/>
    </xf>
    <xf numFmtId="0" fontId="63" fillId="0" borderId="0" xfId="0" applyFont="1" applyNumberFormat="1">
      <alignment vertical="center" wrapText="1"/>
    </xf>
    <xf numFmtId="0" fontId="84" fillId="37" borderId="0" xfId="0" applyFont="1" applyFill="1" applyNumberFormat="1">
      <alignment horizontal="center" vertical="center" wrapText="1"/>
    </xf>
    <xf numFmtId="0" fontId="65" fillId="0" borderId="0" xfId="0" applyFont="1" applyNumberFormat="1">
      <alignment horizontal="left" vertical="center" wrapText="1" indent="1"/>
    </xf>
    <xf numFmtId="0" fontId="23" fillId="0" borderId="0" xfId="0" applyFont="1" applyNumberFormat="1">
      <alignment horizontal="right" vertical="center"/>
    </xf>
    <xf numFmtId="0" fontId="55" fillId="0" borderId="0" xfId="0" applyFont="1" applyNumberFormat="1">
      <alignment vertical="center" wrapText="1"/>
    </xf>
    <xf numFmtId="0" fontId="0" fillId="0" borderId="16"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44" fillId="37" borderId="0" xfId="0" applyFont="1" applyFill="1" applyNumberFormat="1">
      <alignment horizontal="center" vertical="center" wrapText="1"/>
    </xf>
    <xf numFmtId="49" fontId="44" fillId="37" borderId="0" xfId="0" applyFont="1" applyFill="1" applyNumberFormat="1">
      <alignment horizontal="center" vertical="center" wrapText="1"/>
    </xf>
    <xf numFmtId="0" fontId="23" fillId="0" borderId="0" xfId="0" applyFont="1" applyNumberFormat="1">
      <alignment vertical="center" wrapText="1"/>
    </xf>
    <xf numFmtId="0" fontId="77" fillId="0" borderId="0" xfId="0" applyFont="1" applyNumberFormat="1">
      <alignmen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49" fontId="77" fillId="0" borderId="14" xfId="0" applyFont="1" applyBorder="1" applyNumberFormat="1">
      <alignment horizontal="left" vertical="center" wrapText="1"/>
    </xf>
    <xf numFmtId="49" fontId="0" fillId="0" borderId="14" xfId="0" applyFont="1" applyBorder="1" applyNumberFormat="1">
      <alignment vertical="top" wrapText="1"/>
    </xf>
    <xf numFmtId="49" fontId="0" fillId="0" borderId="14" xfId="0" applyFont="1" applyBorder="1" applyNumberFormat="1">
      <alignment horizontal="center" vertical="center" wrapText="1"/>
    </xf>
    <xf numFmtId="49" fontId="0" fillId="39"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 fontId="0" fillId="42"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 fontId="0" fillId="42" borderId="15" xfId="0" applyFont="1" applyFill="1" applyBorder="1" applyNumberFormat="1">
      <alignment horizontal="right" vertical="center" wrapText="1"/>
      <protection locked="0"/>
    </xf>
    <xf numFmtId="0" fontId="0" fillId="39" borderId="14" xfId="0" applyFont="1" applyFill="1" applyBorder="1" applyNumberFormat="1">
      <alignment horizontal="right" vertical="center" wrapText="1"/>
      <protection locked="0"/>
    </xf>
    <xf numFmtId="3" fontId="0" fillId="0" borderId="15" xfId="0" applyFont="1" applyBorder="1" applyNumberFormat="1">
      <alignment horizontal="right" vertical="center" wrapText="1"/>
    </xf>
    <xf numFmtId="0" fontId="0" fillId="0" borderId="19" xfId="0" applyFont="1" applyBorder="1" applyNumberFormat="1">
      <alignment horizontal="left" vertical="top" wrapText="1"/>
    </xf>
    <xf numFmtId="49" fontId="36" fillId="40" borderId="16" xfId="0" applyFont="1" applyFill="1" applyBorder="1" applyNumberFormat="1">
      <alignment horizontal="center" vertical="center"/>
    </xf>
    <xf numFmtId="0" fontId="48" fillId="40" borderId="17" xfId="0" applyFont="1" applyFill="1" applyBorder="1" applyNumberFormat="1">
      <alignment vertical="center"/>
    </xf>
    <xf numFmtId="49" fontId="48" fillId="40" borderId="17" xfId="0" applyFont="1" applyFill="1" applyBorder="1" applyNumberFormat="1">
      <alignment vertical="center"/>
    </xf>
    <xf numFmtId="49" fontId="78" fillId="40" borderId="17" xfId="0" applyFont="1" applyFill="1" applyBorder="1" applyNumberFormat="1">
      <alignment vertical="center"/>
    </xf>
    <xf numFmtId="49" fontId="78" fillId="40" borderId="15" xfId="0" applyFont="1" applyFill="1" applyBorder="1" applyNumberFormat="1">
      <alignment vertical="center"/>
    </xf>
    <xf numFmtId="0" fontId="0" fillId="0" borderId="25" xfId="0" applyFont="1" applyBorder="1" applyNumberFormat="1">
      <alignment horizontal="left" vertical="top" wrapText="1"/>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50" fillId="0" borderId="0" xfId="0" applyFont="1" applyNumberFormat="1">
      <alignment vertical="center" wrapText="1"/>
    </xf>
    <xf numFmtId="0" fontId="55" fillId="0" borderId="0" xfId="0" applyFont="1" applyNumberFormat="1">
      <alignment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49" fontId="0" fillId="0" borderId="39" xfId="0" applyFont="1" applyBorder="1" applyNumberFormat="1">
      <alignment horizontal="center" vertical="center" wrapText="1"/>
    </xf>
    <xf numFmtId="0" fontId="23" fillId="43" borderId="21" xfId="0" applyFont="1" applyFill="1" applyBorder="1" applyNumberFormat="1">
      <alignment horizontal="lef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0" fontId="55" fillId="0" borderId="0" xfId="0" applyFont="1" applyNumberFormat="1">
      <alignment vertical="center"/>
    </xf>
    <xf numFmtId="49" fontId="0" fillId="0" borderId="32" xfId="0" applyFont="1" applyBorder="1" applyNumberFormat="1">
      <alignment horizontal="center" vertical="center" wrapText="1"/>
    </xf>
    <xf numFmtId="0" fontId="23" fillId="43" borderId="29" xfId="0" applyFont="1" applyFill="1" applyBorder="1" applyNumberFormat="1">
      <alignment horizontal="left" vertical="center" wrapText="1"/>
    </xf>
    <xf numFmtId="0" fontId="93" fillId="0" borderId="0" xfId="0" applyFont="1" applyNumberFormat="1">
      <alignment vertical="center" wrapText="1"/>
    </xf>
    <xf numFmtId="0" fontId="55" fillId="0" borderId="0" xfId="0" applyFont="1" applyNumberFormat="1">
      <alignment vertical="center" wrapText="1"/>
    </xf>
    <xf numFmtId="0" fontId="45" fillId="37" borderId="0" xfId="0" applyFont="1" applyFill="1" applyNumberFormat="1">
      <alignment horizontal="center" vertical="center" wrapText="1"/>
    </xf>
    <xf numFmtId="0" fontId="23" fillId="0" borderId="21" xfId="0" applyFont="1" applyBorder="1" applyNumberFormat="1">
      <alignment horizontal="left" vertical="top" wrapText="1" indent="1"/>
    </xf>
    <xf numFmtId="0" fontId="69" fillId="0" borderId="0" xfId="0" applyFont="1" applyNumberFormat="1">
      <alignment vertical="center" wrapText="1"/>
    </xf>
    <xf numFmtId="0" fontId="65" fillId="0" borderId="0" xfId="0" applyFont="1" applyNumberFormat="1">
      <alignment vertical="center" wrapText="1"/>
    </xf>
    <xf numFmtId="0" fontId="63" fillId="0" borderId="0" xfId="0" applyFont="1" applyNumberFormat="1">
      <alignment vertical="center" wrapText="1"/>
    </xf>
    <xf numFmtId="0" fontId="23" fillId="0" borderId="25" xfId="0" applyFont="1" applyBorder="1" applyNumberFormat="1">
      <alignment horizontal="center" vertical="center" wrapText="1"/>
    </xf>
    <xf numFmtId="0" fontId="23" fillId="0" borderId="0" xfId="0" applyFont="1" applyNumberFormat="1">
      <alignmen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40" fillId="0" borderId="0" xfId="0" applyFont="1" applyNumberFormat="1">
      <alignment vertical="center" wrapText="1"/>
    </xf>
    <xf numFmtId="0" fontId="23" fillId="0" borderId="0" xfId="0" applyFont="1" applyNumberFormat="1">
      <alignment vertical="center" wrapText="1"/>
    </xf>
    <xf numFmtId="0" fontId="55" fillId="0" borderId="0" xfId="0" applyFont="1" applyNumberFormat="1">
      <alignment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2" fillId="0" borderId="0" xfId="0" applyFont="1" applyNumberFormat="1">
      <alignment horizontal="center" vertical="center" wrapText="1"/>
    </xf>
    <xf numFmtId="0" fontId="50" fillId="0" borderId="0" xfId="0" applyFont="1" applyNumberFormat="1">
      <alignment vertical="center" wrapText="1"/>
    </xf>
    <xf numFmtId="4" fontId="65" fillId="0" borderId="0" xfId="0" applyFont="1" applyNumberFormat="1">
      <alignment horizontal="right"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44" fillId="37" borderId="17" xfId="0" applyFont="1" applyFill="1" applyBorder="1" applyNumberFormat="1">
      <alignment horizontal="center" vertical="center" wrapText="1"/>
    </xf>
    <xf numFmtId="49" fontId="44" fillId="37" borderId="17" xfId="0" applyFont="1" applyFill="1" applyBorder="1" applyNumberFormat="1">
      <alignment horizontal="center"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top"/>
    </xf>
    <xf numFmtId="0" fontId="45" fillId="37" borderId="26" xfId="0" applyFont="1" applyFill="1" applyBorder="1" applyNumberFormat="1">
      <alignment vertical="top"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49" fontId="34" fillId="40" borderId="15" xfId="0" applyFont="1" applyFill="1" applyBorder="1" applyNumberFormat="1">
      <alignment horizontal="left" vertical="center" wrapText="1"/>
    </xf>
    <xf numFmtId="0" fontId="0" fillId="0" borderId="38" xfId="0" applyFont="1" applyBorder="1" applyNumberFormat="1">
      <alignment horizontal="left" vertical="top"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45" fillId="37" borderId="0" xfId="0" applyFont="1" applyFill="1" applyNumberFormat="1">
      <alignment vertical="top" wrapText="1"/>
    </xf>
    <xf numFmtId="0" fontId="55" fillId="37" borderId="25" xfId="0" applyFont="1" applyFill="1" applyBorder="1" applyNumberFormat="1">
      <alignment horizontal="center" vertical="center" wrapText="1"/>
    </xf>
    <xf numFmtId="14" fontId="23" fillId="43" borderId="25" xfId="0" applyFont="1" applyFill="1" applyBorder="1" applyNumberFormat="1">
      <alignment horizontal="left" vertical="center" wrapText="1"/>
    </xf>
    <xf numFmtId="14" fontId="23" fillId="43" borderId="14" xfId="0" applyFont="1" applyFill="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6" fillId="40" borderId="17" xfId="0" applyFont="1" applyFill="1" applyBorder="1" applyNumberFormat="1">
      <alignment horizontal="center" vertical="center"/>
    </xf>
    <xf numFmtId="49" fontId="78" fillId="40" borderId="17" xfId="0" applyFont="1" applyFill="1" applyBorder="1" applyNumberFormat="1">
      <alignment horizontal="left" vertical="center" indent="1"/>
    </xf>
    <xf numFmtId="49" fontId="78" fillId="40" borderId="15" xfId="0" applyFont="1" applyFill="1" applyBorder="1" applyNumberFormat="1">
      <alignment horizontal="left" vertical="center" indent="1"/>
    </xf>
    <xf numFmtId="0" fontId="65" fillId="0" borderId="0" xfId="0" applyFont="1" applyNumberFormat="1">
      <alignment vertical="center" wrapText="1"/>
    </xf>
    <xf numFmtId="0" fontId="84" fillId="0" borderId="0" xfId="0" applyFont="1" applyNumberFormat="1">
      <alignment horizontal="center" vertical="center" wrapText="1"/>
    </xf>
    <xf numFmtId="0" fontId="53" fillId="0" borderId="0" xfId="0" applyFont="1" applyNumberFormat="1">
      <alignment vertical="top" wrapText="1"/>
    </xf>
    <xf numFmtId="0" fontId="23" fillId="0" borderId="0" xfId="0" applyFont="1" applyNumberFormat="1">
      <alignment horizontal="right" vertical="top" wrapText="1"/>
    </xf>
    <xf numFmtId="0" fontId="53"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horizontal="left" vertical="center" indent="1"/>
    </xf>
    <xf numFmtId="0" fontId="54" fillId="0" borderId="14" xfId="0" applyFont="1" applyBorder="1" applyNumberFormat="1">
      <alignment horizontal="center" vertical="center"/>
    </xf>
    <xf numFmtId="0" fontId="54" fillId="0" borderId="0" xfId="0" applyFont="1" applyNumberFormat="1">
      <alignment horizontal="center" vertical="center"/>
    </xf>
    <xf numFmtId="0" fontId="54"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4" xfId="0" applyFont="1" applyBorder="1" applyNumberFormat="1">
      <alignment horizontal="left" vertical="center" wrapText="1" indent="6"/>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53" fillId="0" borderId="14" xfId="0" applyFont="1" applyBorder="1" applyNumberFormat="1">
      <alignment vertical="top" wrapText="1"/>
    </xf>
    <xf numFmtId="0" fontId="54" fillId="0" borderId="16" xfId="0" applyFont="1" applyBorder="1" applyNumberFormat="1">
      <alignment horizontal="center" vertical="center"/>
    </xf>
    <xf numFmtId="0" fontId="23" fillId="0" borderId="0" xfId="0" applyFont="1" applyNumberFormat="1">
      <alignment horizontal="center"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23" fillId="37" borderId="14" xfId="0" applyFont="1" applyFill="1" applyBorder="1" applyNumberFormat="1">
      <alignment horizontal="left" vertical="center" wrapText="1" indent="1"/>
    </xf>
    <xf numFmtId="0" fontId="45" fillId="0" borderId="0" xfId="0" applyFont="1" applyNumberFormat="1">
      <alignment vertical="center" wrapTex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54" fillId="0" borderId="14" xfId="0" applyFont="1" applyBorder="1" applyNumberFormat="1">
      <alignment horizontal="center" vertical="center" wrapText="1"/>
    </xf>
    <xf numFmtId="0" fontId="54"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54" fillId="0" borderId="16" xfId="0" applyFont="1" applyBorder="1" applyNumberFormat="1">
      <alignment horizontal="center" vertical="center" wrapText="1"/>
    </xf>
    <xf numFmtId="0" fontId="54" fillId="0" borderId="0" xfId="0" applyFont="1" applyNumberFormat="1">
      <alignment vertical="center" wrapText="1"/>
    </xf>
    <xf numFmtId="0" fontId="55" fillId="0" borderId="26" xfId="0" applyFont="1" applyBorder="1" applyNumberFormat="1">
      <alignment vertical="center" wrapText="1"/>
    </xf>
    <xf numFmtId="0" fontId="23" fillId="37" borderId="14" xfId="0" applyFont="1" applyFill="1" applyBorder="1" applyNumberFormat="1">
      <alignment horizontal="left" vertical="center" wrapText="1" indent="5"/>
    </xf>
    <xf numFmtId="0" fontId="23" fillId="43" borderId="14" xfId="0" applyFont="1" applyFill="1" applyBorder="1" applyNumberFormat="1">
      <alignment horizontal="left" vertical="center" wrapText="1" indent="6"/>
    </xf>
    <xf numFmtId="4" fontId="23" fillId="39" borderId="14" xfId="0" applyFont="1" applyFill="1" applyBorder="1" applyNumberFormat="1">
      <alignment horizontal="right" vertical="center" wrapText="1"/>
      <protection locked="0"/>
    </xf>
    <xf numFmtId="4" fontId="23" fillId="0" borderId="14" xfId="0" applyFont="1" applyBorder="1" applyNumberFormat="1">
      <alignment horizontal="right" vertical="center" wrapText="1"/>
    </xf>
    <xf numFmtId="164" fontId="23" fillId="39" borderId="14" xfId="0" applyFont="1" applyFill="1" applyBorder="1" applyNumberFormat="1">
      <alignment horizontal="right" vertical="center" wrapText="1"/>
      <protection locked="0"/>
    </xf>
    <xf numFmtId="167" fontId="0" fillId="42" borderId="14" xfId="0" applyFont="1" applyFill="1" applyBorder="1" applyNumberFormat="1">
      <alignment horizontal="center" vertical="center" wrapText="1"/>
      <protection locked="0"/>
    </xf>
    <xf numFmtId="0" fontId="53" fillId="0" borderId="19" xfId="0" applyFont="1" applyBorder="1" applyNumberFormat="1">
      <alignment horizontal="left" vertical="top" wrapText="1"/>
    </xf>
    <xf numFmtId="49" fontId="23" fillId="0" borderId="14" xfId="0" applyFont="1" applyBorder="1" applyNumberFormat="1">
      <alignment horizontal="left" vertical="center" wrapText="1"/>
    </xf>
    <xf numFmtId="4" fontId="55" fillId="0" borderId="14" xfId="0" applyFont="1" applyBorder="1" applyNumberFormat="1">
      <alignment horizontal="center" vertical="center" wrapText="1"/>
    </xf>
    <xf numFmtId="49" fontId="0" fillId="42" borderId="14" xfId="0" applyFont="1" applyFill="1" applyBorder="1" applyNumberFormat="1">
      <alignment horizontal="center" vertical="center" wrapText="1"/>
      <protection locked="0"/>
    </xf>
    <xf numFmtId="0" fontId="53" fillId="0" borderId="38" xfId="0" applyFont="1" applyBorder="1" applyNumberFormat="1">
      <alignment horizontal="left" vertical="top"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6"/>
    </xf>
    <xf numFmtId="49" fontId="23" fillId="40" borderId="15" xfId="0" applyFont="1" applyFill="1" applyBorder="1" applyNumberFormat="1">
      <alignment horizontal="center" vertical="center" wrapText="1"/>
    </xf>
    <xf numFmtId="0" fontId="53" fillId="0" borderId="25" xfId="0" applyFont="1" applyBorder="1" applyNumberFormat="1">
      <alignment horizontal="left" vertical="top" wrapText="1"/>
    </xf>
    <xf numFmtId="49" fontId="48" fillId="40" borderId="17" xfId="0" applyFont="1" applyFill="1" applyBorder="1" applyNumberFormat="1">
      <alignment horizontal="left" vertical="center" indent="5"/>
    </xf>
    <xf numFmtId="49" fontId="0" fillId="40" borderId="17" xfId="0" applyFont="1" applyFill="1" applyBorder="1" applyNumberFormat="1">
      <alignment horizontal="center" vertical="center" wrapText="1"/>
    </xf>
    <xf numFmtId="49" fontId="0" fillId="40" borderId="15" xfId="0" applyFont="1" applyFill="1" applyBorder="1" applyNumberFormat="1">
      <alignment horizontal="center" vertical="center" wrapText="1"/>
    </xf>
    <xf numFmtId="49" fontId="47" fillId="0" borderId="0" xfId="0" applyFont="1" applyNumberFormat="1">
      <alignment vertical="top"/>
    </xf>
    <xf numFmtId="49" fontId="48" fillId="40" borderId="17" xfId="0" applyFont="1" applyFill="1" applyBorder="1" applyNumberFormat="1">
      <alignment horizontal="left" vertical="center" indent="4"/>
    </xf>
    <xf numFmtId="0" fontId="55" fillId="0" borderId="0" xfId="0" applyFont="1" applyNumberFormat="1">
      <alignmen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49" fontId="23" fillId="0" borderId="0" xfId="0" applyFont="1" applyNumberFormat="1">
      <alignment vertical="center" wrapText="1"/>
    </xf>
    <xf numFmtId="4" fontId="54" fillId="0" borderId="14" xfId="0" applyFont="1" applyBorder="1" applyNumberFormat="1">
      <alignment horizontal="right" vertical="center" wrapText="1"/>
    </xf>
    <xf numFmtId="164" fontId="54" fillId="0" borderId="14" xfId="0" applyFont="1" applyBorder="1" applyNumberFormat="1">
      <alignment horizontal="right" vertical="center" wrapText="1"/>
    </xf>
    <xf numFmtId="167"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54"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54" fillId="0" borderId="14" xfId="0" applyFont="1" applyBorder="1" applyNumberFormat="1">
      <alignment vertical="center" wrapText="1"/>
    </xf>
    <xf numFmtId="0" fontId="74" fillId="0" borderId="0" xfId="0" applyFont="1" applyNumberFormat="1">
      <alignment vertical="center" wrapText="1"/>
    </xf>
    <xf numFmtId="0" fontId="54" fillId="0" borderId="0" xfId="0" applyFont="1" applyNumberFormat="1">
      <alignment horizontal="left" vertical="center" wrapText="1"/>
    </xf>
    <xf numFmtId="0" fontId="54" fillId="0" borderId="0" xfId="0" applyFont="1" applyNumberFormat="1">
      <alignment vertical="center" wrapText="1"/>
    </xf>
    <xf numFmtId="0" fontId="47" fillId="37" borderId="0" xfId="0" applyFont="1" applyFill="1" applyNumberFormat="1">
      <alignment vertical="center" wrapText="1"/>
    </xf>
    <xf numFmtId="0" fontId="23" fillId="37" borderId="0" xfId="0" applyFont="1" applyFill="1" applyNumberFormat="1">
      <alignment horizontal="left" vertical="center" wrapText="1"/>
    </xf>
    <xf numFmtId="0" fontId="23" fillId="37" borderId="0" xfId="0" applyFont="1" applyFill="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0" fillId="0" borderId="0" xfId="0" applyFont="1" applyNumberFormat="1">
      <alignment vertical="center"/>
    </xf>
    <xf numFmtId="0" fontId="54" fillId="0" borderId="0" xfId="0" applyFont="1" applyNumberFormat="1">
      <alignment vertical="center"/>
    </xf>
    <xf numFmtId="0" fontId="54" fillId="0" borderId="0" xfId="0" applyFont="1" applyNumberFormat="1">
      <alignment horizontal="center" vertical="center"/>
    </xf>
    <xf numFmtId="0" fontId="0" fillId="37" borderId="14" xfId="0" applyFont="1" applyFill="1" applyBorder="1" applyNumberFormat="1">
      <alignment horizontal="right" vertical="center" wrapText="1" indent="1"/>
    </xf>
    <xf numFmtId="0" fontId="0" fillId="0" borderId="17" xfId="0" applyFont="1" applyBorder="1" applyNumberFormat="1">
      <alignment vertical="center"/>
    </xf>
    <xf numFmtId="0" fontId="23" fillId="38" borderId="14" xfId="0" applyFont="1" applyFill="1" applyBorder="1" applyNumberFormat="1">
      <alignment horizontal="left" vertical="center" wrapText="1" indent="1"/>
    </xf>
    <xf numFmtId="0" fontId="23" fillId="0" borderId="0" xfId="0" applyFont="1" applyNumberFormat="1">
      <alignment vertical="center" wrapText="1"/>
    </xf>
    <xf numFmtId="0" fontId="73" fillId="0" borderId="0" xfId="0" applyFont="1" applyNumberFormat="1">
      <alignment vertical="center"/>
    </xf>
    <xf numFmtId="0" fontId="55" fillId="0" borderId="0" xfId="0" applyFont="1" applyNumberFormat="1">
      <alignment vertical="center"/>
    </xf>
    <xf numFmtId="167" fontId="23" fillId="38" borderId="14" xfId="0" applyFont="1" applyFill="1" applyBorder="1" applyNumberFormat="1">
      <alignment horizontal="left" vertical="center" wrapText="1" indent="1"/>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wrapText="1"/>
    </xf>
    <xf numFmtId="0" fontId="23" fillId="37" borderId="29" xfId="0" applyFont="1" applyFill="1" applyBorder="1" applyNumberFormat="1">
      <alignment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19" xfId="0" applyFont="1" applyBorder="1" applyNumberFormat="1">
      <alignmen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0" fontId="23" fillId="0" borderId="38" xfId="0" applyFont="1" applyBorder="1" applyNumberFormat="1">
      <alignment vertical="center" wrapText="1"/>
    </xf>
    <xf numFmtId="0" fontId="23" fillId="0" borderId="19" xfId="0" applyFont="1" applyBorder="1" applyNumberFormat="1">
      <alignment horizontal="center" vertical="center" wrapText="1"/>
    </xf>
    <xf numFmtId="0" fontId="54"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7" xfId="0" applyFont="1" applyBorder="1" applyNumberFormat="1">
      <alignment horizontal="center" vertical="center" wrapText="1"/>
    </xf>
    <xf numFmtId="0" fontId="23" fillId="37" borderId="38" xfId="0" applyFont="1" applyFill="1" applyBorder="1" applyNumberFormat="1">
      <alignment horizontal="center" vertical="center" wrapText="1"/>
    </xf>
    <xf numFmtId="49" fontId="48" fillId="40" borderId="38" xfId="0" applyFont="1" applyFill="1" applyBorder="1" applyNumberFormat="1">
      <alignment horizontal="center" vertical="center" textRotation="90" wrapText="1"/>
    </xf>
    <xf numFmtId="0" fontId="54" fillId="0" borderId="0" xfId="0" applyFont="1" applyNumberFormat="1">
      <alignment vertical="center"/>
    </xf>
    <xf numFmtId="0" fontId="23" fillId="0" borderId="25" xfId="0" applyFont="1" applyBorder="1" applyNumberFormat="1">
      <alignment vertical="center" wrapText="1"/>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8" fillId="40" borderId="25" xfId="0" applyFont="1" applyFill="1" applyBorder="1" applyNumberFormat="1">
      <alignment horizontal="center" vertical="center" textRotation="90" wrapText="1"/>
    </xf>
    <xf numFmtId="49" fontId="77" fillId="0" borderId="0" xfId="0" applyFont="1" applyNumberFormat="1">
      <alignment vertical="center" wrapText="1"/>
    </xf>
    <xf numFmtId="0" fontId="111" fillId="37" borderId="0" xfId="0" applyFont="1" applyFill="1" applyNumberFormat="1">
      <alignment vertical="center" wrapText="1"/>
    </xf>
    <xf numFmtId="0" fontId="112" fillId="37" borderId="0" xfId="0" applyFont="1" applyFill="1" applyNumberFormat="1">
      <alignment vertical="center" wrapText="1"/>
    </xf>
    <xf numFmtId="49" fontId="85" fillId="37" borderId="21" xfId="0" applyFont="1" applyFill="1" applyBorder="1" applyNumberFormat="1">
      <alignment horizontal="left" vertical="center" wrapText="1"/>
    </xf>
    <xf numFmtId="49" fontId="85" fillId="37" borderId="21" xfId="0" applyFont="1" applyFill="1" applyBorder="1" applyNumberFormat="1">
      <alignment horizontal="center" vertical="center" wrapText="1"/>
    </xf>
    <xf numFmtId="0" fontId="5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167" fontId="0" fillId="42" borderId="19" xfId="0" applyFont="1" applyFill="1" applyBorder="1" applyNumberFormat="1">
      <alignment horizontal="center" vertical="center" wrapText="1"/>
      <protection locked="0"/>
    </xf>
    <xf numFmtId="4" fontId="23" fillId="0" borderId="19" xfId="0" applyFont="1" applyBorder="1" applyNumberFormat="1">
      <alignment horizontal="right" vertical="center" wrapText="1"/>
    </xf>
    <xf numFmtId="49" fontId="23" fillId="0" borderId="14" xfId="0" applyFont="1" applyBorder="1" applyNumberFormat="1">
      <alignment horizontal="left" vertical="center" wrapText="1"/>
    </xf>
    <xf numFmtId="49" fontId="0" fillId="42" borderId="25" xfId="0" applyFont="1" applyFill="1" applyBorder="1" applyNumberFormat="1">
      <alignment horizontal="center" vertical="center" wrapText="1"/>
      <protection locked="0"/>
    </xf>
    <xf numFmtId="4" fontId="23" fillId="0" borderId="25" xfId="0" applyFont="1" applyBorder="1" applyNumberFormat="1">
      <alignment horizontal="right" vertical="center" wrapText="1"/>
    </xf>
    <xf numFmtId="0" fontId="55" fillId="0" borderId="0" xfId="0" applyFont="1" applyNumberFormat="1">
      <alignment horizontal="left" vertical="center" indent="1"/>
    </xf>
    <xf numFmtId="0" fontId="55" fillId="0" borderId="0" xfId="0" applyFont="1" applyNumberFormat="1">
      <alignment vertical="center" wrapText="1"/>
    </xf>
    <xf numFmtId="0" fontId="55" fillId="0" borderId="0" xfId="0" applyFont="1" applyNumberFormat="1">
      <alignment horizontal="center" vertical="center"/>
    </xf>
    <xf numFmtId="0" fontId="55" fillId="0" borderId="0" xfId="0" applyFont="1" applyNumberFormat="1">
      <alignment vertical="center" wrapText="1"/>
    </xf>
    <xf numFmtId="49" fontId="55" fillId="0" borderId="0" xfId="0" applyFont="1" applyNumberFormat="1">
      <alignment vertical="top"/>
    </xf>
    <xf numFmtId="49" fontId="112" fillId="0" borderId="0" xfId="0" applyFont="1" applyNumberFormat="1">
      <alignment vertical="top"/>
    </xf>
    <xf numFmtId="0" fontId="23" fillId="0" borderId="0" xfId="0" applyFont="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23" fillId="0" borderId="0" xfId="0" applyFont="1" applyNumberFormat="1">
      <alignment vertical="center" wrapText="1"/>
    </xf>
    <xf numFmtId="0" fontId="47" fillId="0" borderId="0" xfId="0" applyFont="1" applyNumberFormat="1">
      <alignment vertical="center" wrapText="1"/>
    </xf>
    <xf numFmtId="0" fontId="23" fillId="0" borderId="0" xfId="0" applyFont="1" applyNumberFormat="1">
      <alignment horizontal="left" vertical="center" wrapText="1"/>
    </xf>
    <xf numFmtId="0" fontId="23"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49" fontId="23" fillId="0" borderId="0" xfId="0" applyFont="1" applyNumberFormat="1">
      <alignment vertical="center" wrapText="1"/>
    </xf>
    <xf numFmtId="0" fontId="23" fillId="0" borderId="14" xfId="0" applyFont="1" applyBorder="1" applyNumberFormat="1">
      <alignment horizontal="center" vertical="center"/>
    </xf>
    <xf numFmtId="0" fontId="23" fillId="0" borderId="0" xfId="0" applyFont="1" applyNumberFormat="1">
      <alignment horizontal="center" vertical="center"/>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0" fontId="23" fillId="37" borderId="14" xfId="0" applyFont="1" applyFill="1" applyBorder="1" applyNumberFormat="1">
      <alignment horizontal="left" vertical="center" wrapText="1" indent="1"/>
    </xf>
    <xf numFmtId="0" fontId="23"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vertical="center" wrapText="1"/>
    </xf>
    <xf numFmtId="49" fontId="23" fillId="0" borderId="14" xfId="0" applyFont="1" applyBorder="1" applyNumberFormat="1">
      <alignment horizontal="left" vertical="center" wrapText="1"/>
    </xf>
    <xf numFmtId="0" fontId="55" fillId="0" borderId="0" xfId="0" applyFont="1" applyNumberFormat="1">
      <alignment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77" fillId="0" borderId="0" xfId="0" applyFont="1" applyNumberFormat="1">
      <alignment horizontal="left" vertical="center" wrapText="1"/>
    </xf>
    <xf numFmtId="0" fontId="77" fillId="0" borderId="0" xfId="0" applyFont="1" applyNumberFormat="1">
      <alignment vertical="center" wrapText="1"/>
    </xf>
    <xf numFmtId="0" fontId="55" fillId="0" borderId="0" xfId="0" applyFont="1" applyNumberFormat="1">
      <alignment vertical="center"/>
    </xf>
    <xf numFmtId="49" fontId="77" fillId="0" borderId="0" xfId="0" applyFont="1" applyNumberFormat="1">
      <alignment horizontal="left" vertical="center"/>
    </xf>
    <xf numFmtId="0" fontId="54" fillId="0" borderId="0" xfId="0" applyFont="1" applyNumberFormat="1">
      <alignment vertical="center" wrapText="1"/>
    </xf>
    <xf numFmtId="0" fontId="23" fillId="0" borderId="0" xfId="0" applyFont="1" applyNumberFormat="1">
      <alignment horizontal="center" vertical="center" wrapText="1"/>
    </xf>
    <xf numFmtId="49" fontId="23" fillId="0" borderId="0" xfId="0" applyFont="1" applyNumberFormat="1">
      <alignment vertical="center" wrapText="1"/>
    </xf>
    <xf numFmtId="49" fontId="23" fillId="0" borderId="14" xfId="0" applyFont="1" applyBorder="1" applyNumberFormat="1">
      <alignment vertical="center" wrapText="1"/>
    </xf>
    <xf numFmtId="0" fontId="23" fillId="0" borderId="0" xfId="0" applyFont="1" applyNumberFormat="1">
      <alignment vertical="center"/>
    </xf>
    <xf numFmtId="0" fontId="23" fillId="0" borderId="0" xfId="0" applyFont="1" applyNumberFormat="1">
      <alignment horizontal="center" vertical="center"/>
    </xf>
    <xf numFmtId="0" fontId="23" fillId="0" borderId="0" xfId="0" applyFont="1" applyNumberFormat="1">
      <alignment horizontal="right" vertical="center" wrapText="1"/>
    </xf>
    <xf numFmtId="0" fontId="55" fillId="0" borderId="0" xfId="0" applyFont="1" applyNumberFormat="1">
      <alignment vertical="center" wrapText="1"/>
    </xf>
    <xf numFmtId="0" fontId="23" fillId="0" borderId="19" xfId="0" applyFont="1" applyBorder="1" applyNumberFormat="1">
      <alignment vertical="center" wrapText="1"/>
    </xf>
    <xf numFmtId="0" fontId="0" fillId="0" borderId="14" xfId="0" applyFont="1" applyBorder="1" applyNumberFormat="1">
      <alignment horizontal="center" vertical="center" wrapText="1"/>
    </xf>
    <xf numFmtId="0" fontId="77" fillId="0" borderId="0" xfId="0" applyFont="1" applyNumberFormat="1">
      <alignment vertical="center" wrapText="1"/>
    </xf>
    <xf numFmtId="0" fontId="85" fillId="37" borderId="21" xfId="0" applyFont="1" applyFill="1" applyBorder="1" applyNumberFormat="1">
      <alignment horizontal="center" vertical="center" wrapText="1"/>
    </xf>
    <xf numFmtId="0" fontId="77" fillId="0" borderId="0" xfId="0" applyFont="1" applyNumberFormat="1">
      <alignment horizontal="left" vertical="center" indent="1"/>
    </xf>
    <xf numFmtId="0" fontId="55" fillId="0" borderId="0" xfId="0" applyFont="1" applyNumberFormat="1">
      <alignment vertical="center" wrapText="1"/>
    </xf>
    <xf numFmtId="0" fontId="77" fillId="0" borderId="0" xfId="0" applyFont="1" applyNumberFormat="1">
      <alignment horizontal="center" vertical="center"/>
    </xf>
    <xf numFmtId="0" fontId="23" fillId="0" borderId="0" xfId="0" applyFont="1" applyNumberFormat="1">
      <alignment vertical="center" wrapText="1"/>
    </xf>
    <xf numFmtId="0" fontId="23" fillId="0" borderId="0" xfId="0" applyFont="1" applyNumberFormat="1">
      <alignment horizontal="center" vertical="center" wrapText="1"/>
    </xf>
    <xf numFmtId="49" fontId="23" fillId="0" borderId="0" xfId="0" applyFont="1" applyNumberFormat="1">
      <alignment vertical="center" wrapText="1"/>
    </xf>
    <xf numFmtId="0" fontId="23" fillId="0" borderId="0" xfId="0" applyFont="1" applyNumberFormat="1">
      <alignment horizontal="left" vertical="center" indent="1"/>
    </xf>
    <xf numFmtId="49" fontId="23" fillId="0" borderId="0" xfId="0" applyFont="1" applyNumberFormat="1">
      <alignment horizontal="left" vertical="center"/>
    </xf>
    <xf numFmtId="164" fontId="23" fillId="0" borderId="14" xfId="0" applyFont="1" applyBorder="1" applyNumberFormat="1">
      <alignment horizontal="right" vertical="center" wrapText="1"/>
    </xf>
    <xf numFmtId="0" fontId="0" fillId="37" borderId="21" xfId="0" applyFont="1" applyFill="1" applyBorder="1" applyNumberFormat="1">
      <alignment horizontal="center" vertical="center" wrapText="1"/>
    </xf>
    <xf numFmtId="0" fontId="55"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55" fillId="0" borderId="14" xfId="0" applyFont="1" applyBorder="1" applyNumberFormat="1">
      <alignment vertical="center" wrapText="1"/>
    </xf>
    <xf numFmtId="0" fontId="23" fillId="0" borderId="0" xfId="0" applyFont="1" applyNumberFormat="1">
      <alignment vertical="center"/>
    </xf>
    <xf numFmtId="0" fontId="55" fillId="0" borderId="25" xfId="0" applyFont="1" applyBorder="1" applyNumberFormat="1">
      <alignment horizontal="center" vertical="center" wrapText="1"/>
    </xf>
    <xf numFmtId="0" fontId="23" fillId="0" borderId="32" xfId="0" applyFont="1" applyBorder="1" applyNumberFormat="1">
      <alignment horizontal="center" vertical="center" wrapText="1"/>
    </xf>
    <xf numFmtId="0" fontId="55"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0" xfId="0" applyFont="1" applyFill="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9" fontId="55" fillId="0" borderId="0" xfId="0" applyFont="1" applyNumberFormat="1">
      <alignment vertical="center" wrapText="1"/>
    </xf>
    <xf numFmtId="0" fontId="0" fillId="0" borderId="0" xfId="0" applyFont="1" applyNumberFormat="1">
      <alignment horizontal="left" vertical="top" wrapText="1"/>
    </xf>
    <xf numFmtId="0" fontId="54" fillId="0" borderId="0" xfId="0" applyFont="1" applyNumberFormat="1">
      <alignment vertical="top" wrapText="1"/>
    </xf>
    <xf numFmtId="0" fontId="23" fillId="0" borderId="21" xfId="0" applyFont="1" applyBorder="1" applyNumberFormat="1">
      <alignment horizontal="left" vertical="center" wrapText="1" indent="1"/>
    </xf>
    <xf numFmtId="0" fontId="23" fillId="0" borderId="0" xfId="0" applyFont="1" applyNumberFormat="1">
      <alignment horizontal="left" vertical="center" wrapText="1"/>
    </xf>
    <xf numFmtId="0" fontId="23" fillId="43" borderId="22" xfId="0" applyFont="1" applyFill="1" applyBorder="1" applyNumberFormat="1">
      <alignment horizontal="left" vertical="center" wrapText="1"/>
    </xf>
    <xf numFmtId="0" fontId="23" fillId="0" borderId="0" xfId="0" applyFont="1" applyNumberFormat="1">
      <alignment horizontal="center" vertical="center" wrapText="1"/>
    </xf>
    <xf numFmtId="164" fontId="23" fillId="39" borderId="16" xfId="0" applyFont="1" applyFill="1" applyBorder="1" applyNumberFormat="1">
      <alignment horizontal="right" vertical="center" wrapText="1"/>
      <protection locked="0"/>
    </xf>
    <xf numFmtId="4" fontId="23" fillId="39" borderId="15" xfId="0" applyFont="1" applyFill="1" applyBorder="1" applyNumberFormat="1">
      <alignment horizontal="right" vertical="center" wrapText="1"/>
      <protection locked="0"/>
    </xf>
    <xf numFmtId="0" fontId="53" fillId="0" borderId="19" xfId="0" applyFont="1" applyBorder="1" applyNumberFormat="1">
      <alignment vertical="top" wrapText="1"/>
    </xf>
    <xf numFmtId="0" fontId="23" fillId="39" borderId="14" xfId="0" applyFont="1" applyFill="1" applyBorder="1" applyNumberFormat="1">
      <alignment horizontal="left" vertical="center" wrapText="1" indent="7"/>
      <protection locked="0"/>
    </xf>
    <xf numFmtId="49" fontId="0" fillId="42" borderId="14" xfId="0" applyFont="1" applyFill="1" applyBorder="1" applyNumberFormat="1">
      <alignment horizontal="center" vertical="center" wrapText="1"/>
      <protection locked="0"/>
    </xf>
    <xf numFmtId="4" fontId="55" fillId="0" borderId="16" xfId="0" applyFont="1" applyBorder="1" applyNumberFormat="1">
      <alignment horizontal="center" vertical="center" wrapText="1"/>
    </xf>
    <xf numFmtId="4" fontId="23" fillId="0" borderId="15" xfId="0" applyFont="1" applyBorder="1" applyNumberFormat="1">
      <alignment horizontal="right" vertical="center" wrapText="1"/>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9" fontId="23" fillId="40" borderId="29"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7"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61" fillId="0" borderId="0" xfId="0" applyFont="1" applyNumberFormat="1">
      <alignment vertical="center" wrapText="1"/>
    </xf>
    <xf numFmtId="0" fontId="55" fillId="0" borderId="14" xfId="0" applyFont="1" applyBorder="1" applyNumberFormat="1">
      <alignment horizontal="left" vertical="center" wrapText="1" indent="5"/>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45"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23" fillId="0" borderId="14" xfId="0" applyFont="1" applyBorder="1" applyNumberFormat="1">
      <alignment horizontal="left" vertical="center" wrapText="1" indent="4"/>
    </xf>
    <xf numFmtId="49" fontId="23" fillId="37" borderId="14" xfId="0" applyFont="1" applyFill="1" applyBorder="1" applyNumberFormat="1">
      <alignment horizontal="center" vertical="center" wrapText="1"/>
    </xf>
    <xf numFmtId="0" fontId="23" fillId="43" borderId="14" xfId="0" applyFont="1" applyFill="1" applyBorder="1" applyNumberFormat="1">
      <alignment horizontal="left" vertical="center" wrapText="1" indent="1"/>
    </xf>
    <xf numFmtId="167"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23" fillId="37" borderId="38" xfId="0" applyFont="1" applyFill="1" applyBorder="1" applyNumberFormat="1">
      <alignment horizontal="left" vertical="center" wrapText="1"/>
    </xf>
    <xf numFmtId="49" fontId="23" fillId="42" borderId="38" xfId="0" applyFont="1" applyFill="1" applyBorder="1" applyNumberFormat="1">
      <alignment horizontal="left" vertical="center" wrapText="1" indent="6"/>
      <protection locked="0"/>
    </xf>
    <xf numFmtId="164" fontId="23" fillId="40" borderId="15" xfId="0" applyFont="1" applyFill="1" applyBorder="1" applyNumberFormat="1">
      <alignment horizontal="right" vertical="center" wrapText="1"/>
    </xf>
    <xf numFmtId="49" fontId="48" fillId="40" borderId="16" xfId="0" applyFont="1" applyFill="1" applyBorder="1" applyNumberFormat="1">
      <alignment horizontal="left" vertical="center"/>
    </xf>
    <xf numFmtId="164" fontId="23" fillId="40" borderId="17" xfId="0" applyFont="1" applyFill="1" applyBorder="1" applyNumberFormat="1">
      <alignment horizontal="right" vertical="center" wrapText="1"/>
    </xf>
    <xf numFmtId="4" fontId="23" fillId="0" borderId="38" xfId="0" applyFont="1" applyBorder="1" applyNumberFormat="1">
      <alignment horizontal="right" vertical="center" wrapText="1"/>
    </xf>
    <xf numFmtId="49" fontId="48" fillId="40" borderId="16" xfId="0" applyFont="1" applyFill="1" applyBorder="1" applyNumberFormat="1">
      <alignment horizontal="left" vertical="center" indent="1"/>
    </xf>
    <xf numFmtId="0" fontId="23" fillId="37" borderId="25" xfId="0" applyFont="1" applyFill="1" applyBorder="1" applyNumberFormat="1">
      <alignment horizontal="left" vertical="center" wrapText="1"/>
    </xf>
    <xf numFmtId="49" fontId="23" fillId="42" borderId="25" xfId="0" applyFont="1" applyFill="1" applyBorder="1" applyNumberFormat="1">
      <alignment horizontal="left" vertical="center" wrapText="1" indent="6"/>
      <protection locked="0"/>
    </xf>
    <xf numFmtId="4" fontId="55" fillId="40" borderId="15" xfId="0" applyFont="1" applyFill="1" applyBorder="1" applyNumberFormat="1">
      <alignment horizontal="center"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55" fillId="0" borderId="26" xfId="0" applyFont="1" applyBorder="1" applyNumberFormat="1">
      <alignment vertical="top"/>
    </xf>
    <xf numFmtId="0" fontId="116" fillId="0" borderId="0" xfId="0" applyFont="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26" xfId="0" applyFont="1" applyBorder="1" applyNumberFormat="1">
      <alignment horizontal="left" vertical="center" wrapText="1" indent="1"/>
    </xf>
    <xf numFmtId="4" fontId="55" fillId="0" borderId="14" xfId="0" applyFont="1" applyBorder="1" applyNumberFormat="1">
      <alignment horizontal="right" vertical="center" wrapText="1"/>
    </xf>
    <xf numFmtId="164" fontId="55" fillId="0" borderId="14" xfId="0" applyFont="1" applyBorder="1" applyNumberFormat="1">
      <alignment horizontal="right" vertical="center" wrapText="1"/>
    </xf>
    <xf numFmtId="167"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left" vertical="center"/>
    </xf>
    <xf numFmtId="49" fontId="54" fillId="0" borderId="0" xfId="0" applyFont="1" applyNumberFormat="1">
      <alignment horizontal="left" vertical="center"/>
    </xf>
    <xf numFmtId="0" fontId="54" fillId="0" borderId="0" xfId="0" applyFont="1" applyNumberFormat="1">
      <alignment horizontal="left" vertical="center"/>
    </xf>
    <xf numFmtId="0" fontId="74" fillId="0" borderId="0" xfId="0" applyFont="1" applyNumberFormat="1">
      <alignment horizontal="left" vertical="center"/>
    </xf>
    <xf numFmtId="0" fontId="54" fillId="0" borderId="0" xfId="0" applyFont="1" applyNumberFormat="1">
      <alignment horizontal="left" vertical="center"/>
    </xf>
    <xf numFmtId="0" fontId="55" fillId="0" borderId="0" xfId="0" applyFont="1" applyNumberFormat="1">
      <alignment horizontal="left" vertical="center"/>
    </xf>
    <xf numFmtId="0" fontId="74" fillId="37" borderId="0" xfId="0" applyFont="1" applyFill="1" applyNumberFormat="1">
      <alignment vertical="center" wrapText="1"/>
    </xf>
    <xf numFmtId="0" fontId="23" fillId="37" borderId="3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23" fillId="37" borderId="24"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26"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23" fillId="0" borderId="14" xfId="0" applyFont="1" applyBorder="1" applyNumberFormat="1">
      <alignment horizontal="left" vertical="center" wrapText="1" indent="1"/>
    </xf>
    <xf numFmtId="0" fontId="23" fillId="0" borderId="14" xfId="0" applyFont="1" applyBorder="1" applyNumberFormat="1">
      <alignment horizontal="left" vertical="center" wrapText="1" indent="1"/>
    </xf>
    <xf numFmtId="49" fontId="23" fillId="40" borderId="16" xfId="0" applyFont="1" applyFill="1" applyBorder="1" applyNumberFormat="1">
      <alignment horizontal="center" vertical="center" wrapText="1"/>
    </xf>
    <xf numFmtId="49" fontId="77" fillId="0" borderId="26" xfId="0" applyFont="1" applyBorder="1" applyNumberFormat="1">
      <alignment vertical="top"/>
    </xf>
    <xf numFmtId="0" fontId="23" fillId="0" borderId="0" xfId="0" applyFont="1" applyNumberFormat="1">
      <alignment horizontal="left" vertical="top" wrapText="1"/>
    </xf>
    <xf numFmtId="0" fontId="74"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pplyNumberFormat="1">
      <alignment horizontal="left" vertical="top" wrapText="1"/>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49" fontId="48" fillId="40" borderId="17" xfId="0" applyFont="1" applyFill="1" applyBorder="1" applyNumberFormat="1">
      <alignment horizontal="left" vertical="center" indent="3"/>
    </xf>
    <xf numFmtId="0" fontId="55" fillId="0" borderId="0" xfId="0" applyFont="1" applyNumberFormat="1">
      <alignment horizontal="center" vertical="center"/>
    </xf>
    <xf numFmtId="0" fontId="54" fillId="0" borderId="0" xfId="0" applyFont="1" applyNumberFormat="1">
      <alignment horizontal="center" vertical="center" wrapText="1"/>
    </xf>
    <xf numFmtId="0" fontId="115" fillId="0" borderId="0" xfId="0" applyFont="1" applyNumberFormat="1">
      <alignment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23" fillId="38" borderId="17" xfId="0" applyFont="1" applyFill="1" applyBorder="1" applyNumberFormat="1">
      <alignment horizontal="left" vertical="center" wrapText="1"/>
    </xf>
    <xf numFmtId="0" fontId="54" fillId="0" borderId="0" xfId="0" applyFont="1" applyNumberFormat="1">
      <alignment horizontal="center" vertical="center" wrapText="1"/>
    </xf>
    <xf numFmtId="0" fontId="55" fillId="0" borderId="17" xfId="0" applyFont="1" applyBorder="1" applyNumberFormat="1">
      <alignment horizontal="left" vertical="center" wrapText="1"/>
    </xf>
    <xf numFmtId="49" fontId="23" fillId="43" borderId="14" xfId="0" applyFont="1" applyFill="1" applyBorder="1" applyNumberFormat="1">
      <alignment horizontal="center" vertical="center" wrapText="1"/>
    </xf>
    <xf numFmtId="167" fontId="0" fillId="42" borderId="14" xfId="0" applyFont="1" applyFill="1" applyBorder="1" applyNumberFormat="1">
      <alignment horizontal="center" vertical="center" wrapText="1"/>
      <protection locked="0"/>
    </xf>
    <xf numFmtId="49" fontId="23" fillId="43" borderId="17"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77" fillId="0" borderId="0" xfId="0" applyFont="1" applyNumberFormat="1">
      <alignment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45" fillId="0" borderId="29" xfId="0" applyFont="1" applyBorder="1" applyNumberFormat="1">
      <alignment horizontal="center" vertical="center" wrapText="1"/>
    </xf>
    <xf numFmtId="0" fontId="23" fillId="42" borderId="15"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0" fontId="55" fillId="0" borderId="0" xfId="0" applyFont="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23" fillId="39" borderId="38" xfId="0" applyFont="1" applyFill="1" applyBorder="1" applyNumberFormat="1">
      <alignment horizontal="left" vertical="center" wrapText="1" indent="6"/>
      <protection locked="0"/>
    </xf>
    <xf numFmtId="49" fontId="23" fillId="43" borderId="31" xfId="0" applyFont="1" applyFill="1" applyBorder="1" applyNumberFormat="1">
      <alignment horizontal="center" vertical="center" wrapText="1"/>
    </xf>
    <xf numFmtId="49" fontId="48" fillId="40" borderId="29" xfId="0" applyFont="1" applyFill="1" applyBorder="1" applyNumberFormat="1">
      <alignment horizontal="left" vertical="center"/>
    </xf>
    <xf numFmtId="49" fontId="23" fillId="39" borderId="25" xfId="0" applyFont="1" applyFill="1" applyBorder="1" applyNumberFormat="1">
      <alignment horizontal="left" vertical="center" wrapText="1" indent="6"/>
      <protection locked="0"/>
    </xf>
    <xf numFmtId="0" fontId="55" fillId="0" borderId="0" xfId="0" applyFont="1" applyNumberFormat="1">
      <alignment horizontal="center" vertical="center"/>
    </xf>
    <xf numFmtId="0" fontId="55" fillId="0" borderId="0" xfId="0" applyFont="1" applyNumberFormat="1">
      <alignment horizontal="left" vertical="center" wrapText="1" indent="1"/>
    </xf>
    <xf numFmtId="0" fontId="23" fillId="37" borderId="14" xfId="0" applyFont="1" applyFill="1" applyBorder="1" applyNumberFormat="1">
      <alignment horizontal="center" vertical="center" wrapText="1"/>
    </xf>
    <xf numFmtId="0" fontId="55" fillId="0" borderId="21" xfId="0" applyFont="1" applyBorder="1" applyNumberFormat="1">
      <alignment horizontal="left" vertical="center" wrapText="1"/>
    </xf>
    <xf numFmtId="0" fontId="23" fillId="0" borderId="0" xfId="0" applyFont="1" applyNumberFormat="1">
      <alignment horizontal="left" vertical="top" wrapText="1"/>
    </xf>
    <xf numFmtId="0" fontId="54" fillId="0" borderId="0" xfId="0" applyFont="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49" fontId="23" fillId="43"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55" fillId="0" borderId="14"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center" wrapText="1"/>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4" fontId="23" fillId="39" borderId="14" xfId="0" applyFont="1" applyFill="1" applyBorder="1" applyNumberFormat="1">
      <alignment horizontal="right" vertical="center" wrapText="1"/>
      <protection locked="0"/>
    </xf>
    <xf numFmtId="167"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 fontId="23" fillId="0" borderId="14" xfId="0" applyFont="1" applyBorder="1" applyNumberFormat="1">
      <alignment horizontal="right" vertical="center" wrapText="1"/>
    </xf>
    <xf numFmtId="49" fontId="0" fillId="42" borderId="14" xfId="0" applyFont="1" applyFill="1" applyBorder="1" applyNumberFormat="1">
      <alignment horizontal="center" vertical="center" wrapText="1"/>
      <protection locked="0"/>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40" borderId="17" xfId="0" applyFont="1" applyFill="1" applyBorder="1" applyNumberFormat="1">
      <alignment horizontal="center" vertical="center" wrapText="1"/>
    </xf>
    <xf numFmtId="49" fontId="55" fillId="0" borderId="0" xfId="0" applyFont="1" applyNumberFormat="1">
      <alignment horizontal="center" vertical="center" wrapText="1"/>
    </xf>
    <xf numFmtId="0" fontId="54" fillId="0" borderId="0" xfId="0" applyFont="1" applyNumberFormat="1">
      <alignment vertical="center" wrapText="1"/>
    </xf>
    <xf numFmtId="49" fontId="54" fillId="0" borderId="14" xfId="0" applyFont="1" applyBorder="1" applyNumberFormat="1">
      <alignment vertical="center" wrapText="1"/>
    </xf>
    <xf numFmtId="0" fontId="54" fillId="0" borderId="0" xfId="0" applyFont="1" applyNumberFormat="1">
      <alignment vertical="center"/>
    </xf>
    <xf numFmtId="0" fontId="23" fillId="0" borderId="21" xfId="0" applyFont="1" applyBorder="1" applyNumberFormat="1">
      <alignment horizontal="left" vertical="top" wrapText="1" inden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23" fillId="38" borderId="14" xfId="0" applyFont="1" applyFill="1" applyBorder="1" applyNumberFormat="1">
      <alignment horizontal="left" vertical="center" wrapText="1" indent="1"/>
    </xf>
    <xf numFmtId="167" fontId="23" fillId="38" borderId="14" xfId="0" applyFont="1" applyFill="1" applyBorder="1" applyNumberFormat="1">
      <alignment horizontal="left" vertical="center" wrapText="1" indent="1"/>
    </xf>
    <xf numFmtId="0" fontId="55" fillId="0" borderId="0" xfId="0" applyFont="1" applyNumberFormat="1">
      <alignment vertical="center" wrapText="1"/>
    </xf>
    <xf numFmtId="0" fontId="45" fillId="0" borderId="29" xfId="0" applyFont="1" applyBorder="1" applyNumberFormat="1">
      <alignment horizontal="center" vertical="center" wrapText="1"/>
    </xf>
    <xf numFmtId="0" fontId="23" fillId="0" borderId="14" xfId="0" applyFont="1" applyBorder="1" applyNumberFormat="1">
      <alignment horizontal="center" vertical="center" wrapText="1"/>
    </xf>
    <xf numFmtId="0" fontId="0" fillId="37" borderId="16" xfId="0" applyFont="1" applyFill="1" applyBorder="1" applyNumberFormat="1">
      <alignment horizontal="center" vertical="center" wrapText="1"/>
    </xf>
    <xf numFmtId="0" fontId="0" fillId="37" borderId="21"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23"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23" fillId="0" borderId="39"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37" borderId="38" xfId="0" applyFont="1" applyFill="1" applyBorder="1" applyNumberFormat="1">
      <alignment horizontal="center" vertical="center" wrapText="1"/>
    </xf>
    <xf numFmtId="0" fontId="54" fillId="0" borderId="0" xfId="0" applyFont="1" applyNumberFormat="1">
      <alignment horizontal="center" vertical="center" wrapText="1"/>
    </xf>
    <xf numFmtId="0" fontId="23" fillId="0" borderId="32"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0" xfId="0" applyFont="1" applyFill="1" applyNumberFormat="1">
      <alignment horizontal="center" vertical="center" wrapText="1"/>
    </xf>
    <xf numFmtId="167" fontId="0" fillId="42" borderId="19" xfId="0" applyFont="1" applyFill="1" applyBorder="1" applyNumberFormat="1">
      <alignment horizontal="center" vertical="center" wrapText="1"/>
      <protection locked="0"/>
    </xf>
    <xf numFmtId="49" fontId="0" fillId="42" borderId="25" xfId="0" applyFont="1" applyFill="1" applyBorder="1" applyNumberFormat="1">
      <alignment horizontal="center" vertical="center" wrapText="1"/>
      <protection locked="0"/>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40" borderId="17" xfId="0" applyFont="1" applyFill="1" applyBorder="1" applyNumberFormat="1">
      <alignment horizontal="center" vertical="center" wrapText="1"/>
    </xf>
    <xf numFmtId="0" fontId="23" fillId="0" borderId="0" xfId="0" applyFont="1" applyNumberFormat="1">
      <alignment horizontal="left" vertical="top" wrapText="1"/>
    </xf>
    <xf numFmtId="0" fontId="54" fillId="0" borderId="0" xfId="0" applyFont="1" applyNumberFormat="1">
      <alignment horizontal="center" vertical="center" wrapText="1"/>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4" fontId="23" fillId="37" borderId="14" xfId="0" applyFont="1" applyFill="1" applyBorder="1" applyNumberFormat="1">
      <alignment horizontal="left" vertical="center" wrapText="1" indent="1"/>
    </xf>
    <xf numFmtId="49" fontId="23" fillId="37" borderId="14" xfId="0" applyFont="1" applyFill="1" applyBorder="1" applyNumberFormat="1">
      <alignment horizontal="left" vertical="center" wrapText="1" indent="1"/>
    </xf>
    <xf numFmtId="4" fontId="23" fillId="37" borderId="14" xfId="0" applyFont="1" applyFill="1" applyBorder="1" applyNumberFormat="1">
      <alignment horizontal="center" vertical="center" wrapText="1"/>
    </xf>
    <xf numFmtId="49" fontId="23" fillId="37" borderId="14" xfId="0" applyFont="1" applyFill="1" applyBorder="1" applyNumberFormat="1">
      <alignment horizontal="left" vertical="center" wrapText="1" indent="1"/>
    </xf>
    <xf numFmtId="167" fontId="0" fillId="42" borderId="14" xfId="0" applyFont="1" applyFill="1" applyBorder="1" applyNumberFormat="1">
      <alignment horizontal="center" vertical="center" wrapText="1"/>
      <protection locked="0"/>
    </xf>
    <xf numFmtId="49" fontId="55"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0" fontId="23" fillId="0" borderId="14" xfId="0" applyFont="1" applyBorder="1" applyNumberFormat="1">
      <alignment horizontal="center" vertical="center" wrapText="1"/>
    </xf>
    <xf numFmtId="0" fontId="23" fillId="0" borderId="14" xfId="0" applyFont="1" applyBorder="1" applyNumberFormat="1">
      <alignment vertical="center" wrapText="1"/>
    </xf>
    <xf numFmtId="0" fontId="89" fillId="0" borderId="0" xfId="0" applyFont="1" applyNumberFormat="1">
      <alignment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4" fontId="23" fillId="39" borderId="14" xfId="0" applyFont="1" applyFill="1" applyBorder="1" applyNumberFormat="1">
      <alignment horizontal="right" vertical="center" wrapText="1"/>
      <protection locked="0"/>
    </xf>
    <xf numFmtId="0" fontId="23" fillId="39" borderId="14" xfId="0" applyFont="1" applyFill="1" applyBorder="1" applyNumberFormat="1">
      <alignment horizontal="left" vertical="center" wrapText="1"/>
      <protection locked="0"/>
    </xf>
    <xf numFmtId="49" fontId="96" fillId="0" borderId="0" xfId="0" applyFont="1" applyNumberFormat="1">
      <alignment horizontal="center" vertical="center" wrapText="1"/>
    </xf>
    <xf numFmtId="49" fontId="23" fillId="0" borderId="0" xfId="0" applyFont="1" applyNumberFormat="1">
      <alignment horizontal="center" vertical="top" wrapText="1"/>
    </xf>
    <xf numFmtId="0" fontId="23" fillId="0" borderId="14" xfId="0" applyFont="1" applyBorder="1" applyNumberFormat="1">
      <alignment horizontal="center" vertical="center" wrapText="1"/>
    </xf>
    <xf numFmtId="0" fontId="23" fillId="0" borderId="15" xfId="0" applyFont="1" applyBorder="1" applyNumberFormat="1">
      <alignment vertical="top" wrapText="1"/>
    </xf>
    <xf numFmtId="0" fontId="59" fillId="0" borderId="0" xfId="0" applyFont="1" applyNumberFormat="1">
      <alignment vertical="center" wrapText="1"/>
    </xf>
    <xf numFmtId="0" fontId="23" fillId="0" borderId="15" xfId="0" applyFont="1" applyBorder="1" applyNumberFormat="1">
      <alignment horizontal="center" vertical="center" wrapText="1"/>
    </xf>
    <xf numFmtId="166" fontId="23" fillId="39" borderId="14" xfId="0" applyFont="1" applyFill="1" applyBorder="1" applyNumberFormat="1">
      <alignment horizontal="right" vertical="center" wrapText="1"/>
      <protection locked="0"/>
    </xf>
    <xf numFmtId="0" fontId="23" fillId="0" borderId="22" xfId="0" applyFont="1" applyBorder="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2" fillId="0" borderId="0" xfId="0" applyFont="1" applyNumberFormat="1">
      <alignment vertical="center" wrapText="1"/>
    </xf>
    <xf numFmtId="0" fontId="23" fillId="0" borderId="0" xfId="0" applyFont="1" applyNumberFormat="1">
      <alignment horizontal="left" vertical="center" wrapText="1" indent="3"/>
    </xf>
    <xf numFmtId="0" fontId="102" fillId="37" borderId="0" xfId="0" applyFont="1" applyFill="1" applyNumberFormat="1">
      <alignment horizontal="right" vertical="center"/>
    </xf>
    <xf numFmtId="0" fontId="23" fillId="0" borderId="16" xfId="0" applyFont="1" applyBorder="1" applyNumberFormat="1">
      <alignment vertical="center"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38" borderId="16" xfId="0" applyFont="1" applyFill="1" applyBorder="1" applyNumberFormat="1">
      <alignment horizontal="left" vertical="top" wrapTex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0" fontId="23" fillId="0" borderId="14" xfId="0" applyFont="1" applyBorder="1" applyNumberFormat="1">
      <alignment horizontal="center" vertical="center" wrapText="1"/>
    </xf>
    <xf numFmtId="4" fontId="23" fillId="42" borderId="14" xfId="0" applyFont="1" applyFill="1" applyBorder="1" applyNumberFormat="1">
      <alignment horizontal="right" vertical="center" wrapText="1"/>
      <protection locked="0"/>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center" wrapText="1" inden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77" fillId="0" borderId="0" xfId="0" applyFont="1" applyNumberFormat="1">
      <alignment horizontal="center" vertical="center" wrapText="1"/>
    </xf>
    <xf numFmtId="49" fontId="77" fillId="0" borderId="30" xfId="0" applyFont="1" applyBorder="1" applyNumberFormat="1">
      <alignment horizontal="center" vertical="center" wrapText="1"/>
    </xf>
    <xf numFmtId="0" fontId="77" fillId="0" borderId="14" xfId="0" applyFont="1" applyBorder="1" applyNumberFormat="1">
      <alignment horizontal="left" vertical="center" wrapText="1" indent="2"/>
    </xf>
    <xf numFmtId="0" fontId="77" fillId="0" borderId="14" xfId="0" applyFont="1" applyBorder="1" applyNumberFormat="1">
      <alignment horizontal="center" vertical="center" wrapText="1"/>
    </xf>
    <xf numFmtId="0" fontId="77" fillId="0" borderId="14" xfId="0" applyFont="1" applyBorder="1" applyNumberFormat="1">
      <alignment vertical="center" wrapText="1"/>
    </xf>
    <xf numFmtId="0" fontId="90" fillId="0" borderId="0" xfId="0" applyFont="1" applyNumberFormat="1">
      <alignment vertical="center" wrapText="1"/>
    </xf>
    <xf numFmtId="0" fontId="68" fillId="0" borderId="0" xfId="0" applyFont="1" applyNumberFormat="1">
      <alignment vertical="center" wrapText="1"/>
    </xf>
    <xf numFmtId="0" fontId="77" fillId="0" borderId="30" xfId="0" applyFont="1" applyBorder="1" applyNumberFormat="1">
      <alignment horizontal="center" vertical="center" wrapText="1"/>
    </xf>
    <xf numFmtId="0" fontId="77" fillId="0" borderId="14" xfId="0" applyFont="1" applyBorder="1" applyNumberFormat="1">
      <alignment horizontal="left" vertical="center" wrapText="1" indent="3"/>
    </xf>
    <xf numFmtId="4" fontId="77" fillId="0" borderId="14" xfId="0" applyFont="1" applyBorder="1" applyNumberFormat="1">
      <alignment horizontal="right" vertical="center" wrapText="1"/>
    </xf>
    <xf numFmtId="0" fontId="45" fillId="0" borderId="0" xfId="0" applyFont="1" applyNumberFormat="1">
      <alignment horizontal="center" vertical="center" wrapText="1"/>
    </xf>
    <xf numFmtId="49"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23" fillId="0" borderId="14" xfId="0" applyFont="1" applyBorder="1" applyNumberFormat="1">
      <alignment horizontal="left" vertical="center" wrapText="1" indent="2"/>
    </xf>
    <xf numFmtId="14" fontId="23" fillId="0" borderId="0" xfId="0" applyFont="1" applyNumberFormat="1">
      <alignment horizontal="center" vertical="center" wrapText="1"/>
    </xf>
    <xf numFmtId="49" fontId="96" fillId="48" borderId="0" xfId="0" applyFont="1" applyFill="1" applyNumberFormat="1">
      <alignment horizontal="center" vertical="center" wrapText="1"/>
    </xf>
    <xf numFmtId="49" fontId="36" fillId="0" borderId="0" xfId="0" applyFont="1" applyNumberFormat="1">
      <alignment horizontal="center" vertical="center"/>
    </xf>
    <xf numFmtId="166" fontId="23" fillId="42" borderId="14" xfId="0" applyFont="1" applyFill="1" applyBorder="1" applyNumberFormat="1">
      <alignment horizontal="right" vertical="center" wrapText="1"/>
      <protection locked="0"/>
    </xf>
    <xf numFmtId="0" fontId="54" fillId="0" borderId="0" xfId="0" applyFont="1" applyNumberFormat="1">
      <alignment horizontal="left" vertical="center" wrapText="1"/>
    </xf>
    <xf numFmtId="49" fontId="96" fillId="0" borderId="0" xfId="0" applyFont="1" applyNumberFormat="1">
      <alignment horizontal="left" vertical="center" wrapText="1"/>
    </xf>
    <xf numFmtId="0" fontId="55" fillId="0" borderId="0" xfId="0" applyFont="1" applyNumberFormat="1">
      <alignment horizontal="left" vertical="center" wrapText="1"/>
    </xf>
    <xf numFmtId="49" fontId="23" fillId="0" borderId="0" xfId="0" applyFont="1" applyNumberFormat="1">
      <alignment horizontal="left" vertical="center" wrapText="1"/>
    </xf>
    <xf numFmtId="0" fontId="59" fillId="0" borderId="0" xfId="0" applyFont="1" applyNumberFormat="1">
      <alignment horizontal="left" vertical="center" wrapText="1"/>
    </xf>
    <xf numFmtId="0" fontId="40" fillId="0" borderId="0" xfId="0" applyFont="1" applyNumberFormat="1">
      <alignment horizontal="left" vertical="center" wrapText="1"/>
    </xf>
    <xf numFmtId="49" fontId="23" fillId="43" borderId="14" xfId="0" applyFont="1" applyFill="1" applyBorder="1" applyNumberFormat="1">
      <alignment horizontal="left" vertical="center" wrapText="1"/>
    </xf>
    <xf numFmtId="0" fontId="23" fillId="0" borderId="19" xfId="0" applyFont="1" applyBorder="1" applyNumberFormat="1">
      <alignment horizontal="center" vertical="center" wrapText="1"/>
    </xf>
    <xf numFmtId="4" fontId="23" fillId="38" borderId="19" xfId="0" applyFont="1" applyFill="1" applyBorder="1" applyNumberFormat="1">
      <alignment horizontal="right" vertical="center"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0" fontId="55" fillId="0" borderId="19" xfId="0" applyFont="1" applyBorder="1" applyNumberFormat="1">
      <alignment vertical="top" wrapText="1"/>
    </xf>
    <xf numFmtId="4" fontId="23" fillId="42" borderId="15" xfId="0" applyFont="1" applyFill="1" applyBorder="1" applyNumberFormat="1">
      <alignment horizontal="right" vertical="center" wrapText="1"/>
      <protection locked="0"/>
    </xf>
    <xf numFmtId="49" fontId="34" fillId="39" borderId="15"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0" fontId="54" fillId="0" borderId="0" xfId="0" applyFont="1" applyNumberFormat="1">
      <alignment vertical="center" wrapText="1"/>
    </xf>
    <xf numFmtId="0" fontId="55" fillId="0" borderId="0" xfId="0" applyFont="1" applyNumberFormat="1">
      <alignment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center" wrapText="1"/>
    </xf>
    <xf numFmtId="166" fontId="23" fillId="42" borderId="15" xfId="0" applyFont="1" applyFill="1" applyBorder="1" applyNumberFormat="1">
      <alignment horizontal="right" vertical="center" wrapText="1"/>
      <protection locked="0"/>
    </xf>
    <xf numFmtId="0" fontId="89"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23" fillId="0" borderId="0" xfId="0" applyFont="1" applyNumberFormat="1">
      <alignment vertical="center" wrapText="1"/>
    </xf>
    <xf numFmtId="0" fontId="54" fillId="0" borderId="0" xfId="0" applyFont="1" applyNumberFormat="1">
      <alignment vertical="center" wrapText="1"/>
    </xf>
    <xf numFmtId="166" fontId="23" fillId="38" borderId="15" xfId="0" applyFont="1" applyFill="1" applyBorder="1" applyNumberFormat="1">
      <alignment horizontal="right" vertical="center" wrapText="1"/>
    </xf>
    <xf numFmtId="166" fontId="23" fillId="38" borderId="14" xfId="0" applyFont="1" applyFill="1" applyBorder="1" applyNumberFormat="1">
      <alignment horizontal="right" vertical="center" wrapText="1"/>
    </xf>
    <xf numFmtId="49" fontId="96" fillId="48" borderId="0" xfId="0" applyFont="1" applyFill="1" applyNumberFormat="1">
      <alignment horizontal="center" vertical="center" textRotation="90" wrapText="1"/>
    </xf>
    <xf numFmtId="0" fontId="23" fillId="42" borderId="14" xfId="0" applyFont="1" applyFill="1" applyBorder="1" applyNumberFormat="1">
      <alignment horizontal="center" vertical="center" wrapText="1"/>
      <protection locked="0"/>
    </xf>
    <xf numFmtId="4" fontId="23" fillId="42" borderId="31"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0" fontId="55" fillId="0" borderId="38" xfId="0" applyFont="1" applyBorder="1" applyNumberFormat="1">
      <alignment horizontal="left" vertical="center" wrapText="1" indent="1"/>
    </xf>
    <xf numFmtId="0" fontId="55" fillId="0" borderId="38" xfId="0" applyFont="1" applyBorder="1" applyNumberFormat="1">
      <alignment horizontal="center" vertical="center" wrapText="1"/>
    </xf>
    <xf numFmtId="0" fontId="55" fillId="0" borderId="19" xfId="0" applyFont="1" applyBorder="1" applyNumberFormat="1">
      <alignment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0" borderId="25" xfId="0" applyFont="1" applyBorder="1" applyNumberFormat="1">
      <alignment vertical="top" wrapText="1"/>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22" xfId="0" applyFont="1" applyBorder="1" applyNumberFormat="1">
      <alignment horizontal="center" vertical="center" wrapText="1"/>
    </xf>
    <xf numFmtId="166" fontId="23" fillId="42" borderId="19" xfId="0" applyFont="1" applyFill="1" applyBorder="1" applyNumberFormat="1">
      <alignment horizontal="right" vertical="center" wrapText="1"/>
      <protection locked="0"/>
    </xf>
    <xf numFmtId="0" fontId="55" fillId="0" borderId="25" xfId="0" applyFont="1" applyBorder="1" applyNumberFormat="1">
      <alignment horizontal="left" vertical="center" wrapText="1" indent="1"/>
    </xf>
    <xf numFmtId="0" fontId="55" fillId="0" borderId="19" xfId="0" applyFont="1" applyBorder="1" applyNumberFormat="1">
      <alignment horizontal="center" vertical="center" wrapText="1"/>
    </xf>
    <xf numFmtId="0" fontId="45" fillId="0" borderId="0" xfId="0" applyFont="1" applyNumberForma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55" fillId="0" borderId="19" xfId="0" applyFont="1" applyBorder="1" applyNumberFormat="1">
      <alignment horizontal="left" vertical="center" wrapText="1" indent="1"/>
    </xf>
    <xf numFmtId="49" fontId="34" fillId="39" borderId="14" xfId="0" applyFont="1" applyFill="1" applyBorder="1" applyNumberFormat="1">
      <alignment horizontal="left" vertical="center" wrapText="1"/>
      <protection locked="0"/>
    </xf>
    <xf numFmtId="0" fontId="23" fillId="0" borderId="0" xfId="0" applyFont="1" applyNumberFormat="1">
      <alignment vertical="top" wrapText="1"/>
    </xf>
    <xf numFmtId="0" fontId="23" fillId="0" borderId="0" xfId="0" applyFont="1" applyNumberFormat="1">
      <alignment horizontal="left" vertical="top" wrapText="1"/>
    </xf>
    <xf numFmtId="0" fontId="23" fillId="0" borderId="0" xfId="0" applyFont="1" applyNumberFormat="1">
      <alignment horizontal="left" vertical="center" wrapText="1"/>
    </xf>
    <xf numFmtId="0" fontId="59" fillId="0" borderId="0" xfId="0" applyFont="1" applyNumberFormat="1">
      <alignment vertical="center"/>
    </xf>
    <xf numFmtId="0" fontId="96" fillId="0" borderId="0" xfId="0" applyFont="1" applyNumberFormat="1">
      <alignment vertical="center" wrapText="1"/>
    </xf>
    <xf numFmtId="49" fontId="96" fillId="0" borderId="0" xfId="0" applyFont="1" applyNumberFormat="1">
      <alignment horizontal="center" vertical="center" wrapText="1"/>
    </xf>
    <xf numFmtId="0" fontId="23" fillId="0" borderId="0" xfId="0" applyFont="1" applyNumberFormat="1">
      <alignment vertical="center" wrapText="1"/>
    </xf>
    <xf numFmtId="0" fontId="59" fillId="0" borderId="0" xfId="0" applyFont="1" applyNumberFormat="1">
      <alignment vertical="center" wrapText="1"/>
    </xf>
    <xf numFmtId="0" fontId="23" fillId="0" borderId="21" xfId="0" applyFont="1" applyBorder="1" applyNumberFormat="1">
      <alignment vertical="center" wrapText="1"/>
    </xf>
    <xf numFmtId="0" fontId="23" fillId="0" borderId="0" xfId="0" applyFont="1" applyNumberFormat="1">
      <alignment horizontal="center" vertical="center" wrapText="1"/>
    </xf>
    <xf numFmtId="49" fontId="40" fillId="0" borderId="0" xfId="0" applyFont="1" applyNumberFormat="1">
      <alignment horizontal="center" vertical="center" wrapText="1"/>
    </xf>
    <xf numFmtId="0" fontId="23" fillId="0" borderId="29" xfId="0" applyFont="1" applyBorder="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36" fillId="0" borderId="0" xfId="0" applyFont="1" applyNumberFormat="1">
      <alignment horizontal="center" vertical="center" wrapText="1"/>
    </xf>
    <xf numFmtId="49" fontId="68" fillId="0" borderId="0" xfId="0" applyFont="1" applyNumberFormat="1">
      <alignment horizontal="center" vertical="center" wrapText="1"/>
    </xf>
    <xf numFmtId="0" fontId="77" fillId="0" borderId="0" xfId="0" applyFont="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68" fillId="0" borderId="0" xfId="0" applyFont="1" applyNumberFormat="1">
      <alignment vertical="center" wrapText="1"/>
    </xf>
    <xf numFmtId="0" fontId="76" fillId="0" borderId="0" xfId="0" applyFont="1" applyNumberFormat="1">
      <alignment vertical="center" wrapText="1"/>
    </xf>
    <xf numFmtId="0" fontId="23" fillId="0" borderId="14" xfId="0" applyFont="1" applyBorder="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center" vertical="center" wrapText="1"/>
    </xf>
    <xf numFmtId="0" fontId="23" fillId="0" borderId="0" xfId="0" applyFont="1" applyNumberFormat="1">
      <alignment vertical="center" wrapText="1"/>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19" xfId="0" applyFont="1" applyBorder="1" applyNumberFormat="1">
      <alignment horizontal="center" vertical="center" wrapText="1"/>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38" borderId="14" xfId="0" applyFont="1" applyFill="1" applyBorder="1" applyNumberFormat="1">
      <alignment horizontal="left" vertical="center" wrapText="1" indent="1"/>
    </xf>
    <xf numFmtId="0" fontId="23" fillId="0" borderId="15" xfId="0" applyFont="1" applyBorder="1" applyNumberFormat="1">
      <alignment horizontal="left" vertical="center" wrapText="1" indent="1"/>
    </xf>
    <xf numFmtId="49" fontId="55" fillId="0" borderId="24" xfId="0" applyFont="1" applyBorder="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0" fontId="54" fillId="0" borderId="0" xfId="0" applyFont="1" applyNumberFormat="1">
      <alignment horizontal="center"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49" fontId="55"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25" xfId="0" applyFont="1" applyBorder="1" applyNumberFormat="1">
      <alignment horizontal="left" vertical="center" wrapText="1"/>
    </xf>
    <xf numFmtId="2" fontId="23" fillId="0" borderId="25" xfId="0" applyFont="1" applyBorder="1" applyNumberFormat="1">
      <alignment horizontal="center" vertical="center" wrapText="1"/>
    </xf>
    <xf numFmtId="0" fontId="23" fillId="0" borderId="14" xfId="0" applyFont="1" applyBorder="1" applyNumberFormat="1">
      <alignment horizontal="left" vertical="center" wrapText="1"/>
    </xf>
    <xf numFmtId="49" fontId="55" fillId="0" borderId="24" xfId="0" applyFont="1" applyBorder="1" applyNumberFormat="1">
      <alignment vertical="top"/>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24" xfId="0" applyFont="1" applyBorder="1" applyNumberFormat="1">
      <alignmen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23" fillId="0" borderId="25" xfId="0" applyFont="1" applyBorder="1" applyNumberFormat="1">
      <alignment horizontal="left" vertical="center" wrapText="1"/>
    </xf>
    <xf numFmtId="0" fontId="23" fillId="0" borderId="14" xfId="0" applyFont="1" applyBorder="1" applyNumberFormat="1">
      <alignment horizontal="left" vertical="center" wrapText="1"/>
    </xf>
    <xf numFmtId="0" fontId="54" fillId="0" borderId="0" xfId="0" applyFont="1" applyNumberFormat="1">
      <alignment horizontal="center" vertical="top"/>
    </xf>
    <xf numFmtId="0" fontId="55" fillId="0" borderId="0" xfId="0" applyFont="1" applyNumberFormat="1">
      <alignment horizontal="center" vertical="center" wrapText="1"/>
    </xf>
    <xf numFmtId="49" fontId="55" fillId="0" borderId="25" xfId="0" applyFont="1" applyBorder="1" applyNumberFormat="1">
      <alignment horizontal="center" vertical="center" wrapText="1"/>
    </xf>
    <xf numFmtId="49" fontId="48" fillId="0" borderId="21" xfId="0" applyFont="1" applyBorder="1" applyNumberFormat="1">
      <alignment horizontal="right" vertical="center"/>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53" fillId="0" borderId="0" xfId="0" applyFont="1" applyNumberFormat="1">
      <alignment horizontal="left" vertical="top" wrapText="1"/>
    </xf>
    <xf numFmtId="49" fontId="40" fillId="0" borderId="0" xfId="0" applyFont="1" applyNumberFormat="1">
      <alignment horizontal="center" vertical="center" wrapText="1"/>
    </xf>
    <xf numFmtId="0" fontId="55" fillId="0" borderId="0" xfId="0" applyFont="1" applyNumberFormat="1">
      <alignment vertical="center" wrapText="1"/>
    </xf>
    <xf numFmtId="0" fontId="40"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55" fillId="0" borderId="16" xfId="0" applyFont="1" applyBorder="1" applyNumberFormat="1">
      <alignment vertical="center" wrapTex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0" fontId="55" fillId="0" borderId="16" xfId="0" applyFont="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14" xfId="0" applyFont="1" applyBorder="1" applyNumberFormat="1">
      <alignment horizontal="left" vertical="center" wrapText="1"/>
    </xf>
    <xf numFmtId="49" fontId="23" fillId="0" borderId="61" xfId="0" applyFont="1" applyBorder="1" applyNumberFormat="1">
      <alignment horizontal="center" vertical="center" wrapText="1"/>
    </xf>
    <xf numFmtId="0" fontId="23"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49" fontId="23" fillId="0" borderId="62" xfId="0" applyFont="1" applyBorder="1" applyNumberFormat="1">
      <alignment horizontal="center" vertical="center" wrapText="1"/>
    </xf>
    <xf numFmtId="0" fontId="23" fillId="0" borderId="15"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9" fontId="48" fillId="40" borderId="21" xfId="0" applyFont="1" applyFill="1" applyBorder="1" applyNumberFormat="1">
      <alignment horizontal="left" vertical="center" indent="2"/>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9" xfId="0" applyFont="1" applyBorder="1" applyNumberFormat="1">
      <alignment horizontal="left" vertical="center" wrapText="1"/>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60" xfId="0" applyFont="1" applyBorder="1" applyNumberFormat="1">
      <alignment horizontal="center" vertical="center" wrapText="1"/>
    </xf>
    <xf numFmtId="0" fontId="23" fillId="0" borderId="19" xfId="0" applyFont="1" applyBorder="1" applyNumberFormat="1">
      <alignment horizontal="left" vertical="center" wrapText="1" indent="1"/>
    </xf>
    <xf numFmtId="0" fontId="23" fillId="0" borderId="19"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left" vertical="center" wrapText="1" inden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55" fillId="0" borderId="29" xfId="0" applyFont="1" applyBorder="1" applyNumberFormat="1">
      <alignment vertical="center" wrapTex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0" xfId="0" applyFont="1" applyNumberFormat="1">
      <alignment horizontal="left" vertical="top"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49" fontId="23" fillId="58" borderId="0" xfId="0" applyFont="1" applyFill="1" applyNumberFormat="1">
      <alignment horizontal="center" vertical="center" textRotation="90"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76" fillId="0" borderId="24" xfId="0" applyFont="1" applyBorder="1" applyNumberFormat="1">
      <alignment vertical="center" wrapText="1"/>
    </xf>
    <xf numFmtId="49"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23" fillId="0" borderId="14" xfId="0" applyFont="1" applyBorder="1" applyNumberFormat="1">
      <alignment horizontal="center" vertical="center" wrapText="1"/>
    </xf>
    <xf numFmtId="49" fontId="23" fillId="39" borderId="14" xfId="0" applyFont="1" applyFill="1" applyBorder="1" applyNumberFormat="1">
      <alignment horizontal="left" vertical="center" wrapText="1"/>
      <protection locked="0"/>
    </xf>
    <xf numFmtId="3"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88" fillId="0" borderId="0" xfId="0" applyFont="1" applyNumberFormat="1">
      <alignment vertical="center" wrapText="1"/>
    </xf>
    <xf numFmtId="0" fontId="23" fillId="0" borderId="14" xfId="0" applyFont="1" applyBorder="1" applyNumberFormat="1">
      <alignment horizontal="left" vertical="center" wrapText="1" indent="2"/>
    </xf>
    <xf numFmtId="3" fontId="53" fillId="39" borderId="14" xfId="0" applyFont="1" applyFill="1" applyBorder="1" applyNumberFormat="1">
      <alignment horizontal="right" vertical="center"/>
      <protection locked="0"/>
    </xf>
    <xf numFmtId="49" fontId="23" fillId="39" borderId="16" xfId="0" applyFont="1" applyFill="1" applyBorder="1" applyNumberFormat="1">
      <alignment horizontal="left" vertical="center" wrapText="1"/>
      <protection locked="0"/>
    </xf>
    <xf numFmtId="0" fontId="53" fillId="0" borderId="0" xfId="0" applyFont="1" applyNumberFormat="1">
      <alignment vertical="center" wrapText="1"/>
    </xf>
    <xf numFmtId="0" fontId="23" fillId="0" borderId="0" xfId="0" applyFont="1" applyNumberFormat="1">
      <alignment vertical="top" wrapText="1"/>
    </xf>
    <xf numFmtId="0" fontId="23" fillId="0" borderId="0" xfId="0" applyFont="1" applyNumberFormat="1">
      <alignment vertical="top"/>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9" fontId="34" fillId="0" borderId="14" xfId="0" applyFont="1" applyBorder="1" applyNumberFormat="1">
      <alignment horizontal="left" vertical="center" wrapText="1"/>
    </xf>
    <xf numFmtId="49" fontId="23" fillId="0" borderId="34" xfId="0" applyFont="1" applyBorder="1" applyNumberFormat="1">
      <alignment horizontal="center" vertical="center" wrapText="1"/>
    </xf>
    <xf numFmtId="0" fontId="23" fillId="0" borderId="34"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9" fontId="23" fillId="0" borderId="33" xfId="0" applyFont="1" applyBorder="1" applyNumberFormat="1">
      <alignment horizontal="center" vertical="center" wrapText="1"/>
    </xf>
    <xf numFmtId="0" fontId="23" fillId="0" borderId="35"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0" borderId="19"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0" fontId="23" fillId="0" borderId="35" xfId="0" applyFont="1" applyBorder="1" applyNumberFormat="1">
      <alignment horizontal="left" vertical="center" wrapText="1"/>
    </xf>
    <xf numFmtId="49" fontId="34" fillId="0" borderId="17"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0" borderId="34" xfId="0" applyFont="1" applyBorder="1" applyNumberFormat="1">
      <alignment horizontal="center" vertical="center" wrapText="1"/>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2"/>
    </xf>
    <xf numFmtId="4" fontId="23" fillId="0" borderId="33" xfId="0" applyFont="1" applyBorder="1" applyNumberFormat="1">
      <alignment horizontal="center" vertical="center" wrapText="1"/>
    </xf>
    <xf numFmtId="49" fontId="23" fillId="0" borderId="36" xfId="0" applyFont="1" applyBorder="1" applyNumberFormat="1">
      <alignment horizontal="center" vertical="center" wrapText="1"/>
    </xf>
    <xf numFmtId="49" fontId="34" fillId="42" borderId="14" xfId="0" applyFont="1" applyFill="1" applyBorder="1" applyNumberFormat="1">
      <alignment horizontal="left" vertical="center" wrapText="1"/>
      <protection locked="0"/>
    </xf>
    <xf numFmtId="0" fontId="23" fillId="0" borderId="37" xfId="0" applyFont="1" applyBorder="1" applyNumberFormat="1">
      <alignment horizontal="left" vertical="center" wrapText="1"/>
    </xf>
    <xf numFmtId="4" fontId="23" fillId="0" borderId="37" xfId="0" applyFont="1" applyBorder="1" applyNumberFormat="1">
      <alignment horizontal="center" vertical="center" wrapText="1"/>
    </xf>
    <xf numFmtId="49" fontId="34" fillId="0" borderId="39" xfId="0" applyFont="1" applyBorder="1" applyNumberFormat="1">
      <alignment horizontal="left" vertical="center" wrapText="1"/>
    </xf>
    <xf numFmtId="49" fontId="23" fillId="0" borderId="35"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 fontId="23" fillId="42" borderId="36" xfId="0" applyFont="1" applyFill="1" applyBorder="1" applyNumberFormat="1">
      <alignment horizontal="right" vertical="center" wrapText="1"/>
      <protection locked="0"/>
    </xf>
    <xf numFmtId="49" fontId="34" fillId="42" borderId="16" xfId="0" applyFont="1" applyFill="1" applyBorder="1" applyNumberFormat="1">
      <alignment horizontal="left" vertical="center" wrapText="1"/>
      <protection locked="0"/>
    </xf>
    <xf numFmtId="49" fontId="54" fillId="0" borderId="0" xfId="0" applyFont="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44" fillId="0" borderId="26" xfId="0" applyFont="1" applyBorder="1" applyNumberFormat="1">
      <alignment horizontal="center" vertical="center" wrapText="1"/>
    </xf>
    <xf numFmtId="0" fontId="0" fillId="0" borderId="16" xfId="0" applyFont="1" applyBorder="1" applyNumberFormat="1">
      <alignment horizontal="center" vertical="center"/>
    </xf>
    <xf numFmtId="0" fontId="23" fillId="0" borderId="15" xfId="0" applyFont="1" applyBorder="1" applyNumberFormat="1">
      <alignment horizontal="center" vertical="center" wrapText="1"/>
    </xf>
    <xf numFmtId="167" fontId="0" fillId="39"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44" fillId="0" borderId="0" xfId="0" applyFont="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0" borderId="15" xfId="0" applyFont="1" applyBorder="1" applyNumberFormat="1">
      <alignment horizontal="center" vertical="center" wrapText="1"/>
    </xf>
    <xf numFmtId="0" fontId="23" fillId="40" borderId="16" xfId="0" applyFont="1" applyFill="1" applyBorder="1" applyNumberFormat="1">
      <alignment vertical="center" wrapText="1"/>
    </xf>
    <xf numFmtId="0" fontId="23" fillId="0" borderId="15" xfId="0" applyFont="1" applyBorder="1" applyNumberFormat="1">
      <alignment horizontal="center" vertical="center" wrapText="1"/>
    </xf>
    <xf numFmtId="0" fontId="23" fillId="40" borderId="21" xfId="0" applyFont="1" applyFill="1" applyBorder="1" applyNumberFormat="1">
      <alignment vertical="center" wrapText="1"/>
    </xf>
    <xf numFmtId="0" fontId="23" fillId="0" borderId="17"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0" borderId="15" xfId="0" applyFont="1" applyBorder="1" applyNumberFormat="1">
      <alignment vertical="center" wrapText="1"/>
    </xf>
    <xf numFmtId="0" fontId="23" fillId="40" borderId="29" xfId="0" applyFont="1" applyFill="1" applyBorder="1" applyNumberFormat="1">
      <alignment vertical="center" wrapText="1"/>
    </xf>
    <xf numFmtId="0" fontId="44" fillId="0" borderId="0" xfId="0" applyFont="1" applyNumberFormat="1">
      <alignment horizontal="center" vertical="center" wrapText="1"/>
    </xf>
    <xf numFmtId="0" fontId="88" fillId="0" borderId="0" xfId="0" applyFont="1" applyNumberFormat="1">
      <alignment vertical="center" wrapText="1"/>
    </xf>
    <xf numFmtId="49" fontId="54" fillId="0" borderId="0" xfId="0" applyFont="1" applyNumberFormat="1">
      <alignment horizontal="center" vertical="center" wrapText="1"/>
    </xf>
    <xf numFmtId="0" fontId="40"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wrapText="1"/>
    </xf>
    <xf numFmtId="49" fontId="54" fillId="0" borderId="0" xfId="0" applyFont="1" applyNumberFormat="1">
      <alignment horizontal="center" vertical="center" wrapText="1"/>
    </xf>
    <xf numFmtId="0" fontId="23" fillId="0" borderId="0" xfId="0" applyFont="1" applyNumberFormat="1">
      <alignment vertical="center" wrapText="1"/>
    </xf>
    <xf numFmtId="49" fontId="54" fillId="0" borderId="0" xfId="0" applyFont="1" applyNumberFormat="1">
      <alignment horizontal="center" vertical="center" wrapText="1"/>
    </xf>
    <xf numFmtId="49" fontId="103" fillId="0" borderId="0" xfId="0" applyFont="1" applyNumberFormat="1">
      <alignment horizontal="center"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49" fontId="55" fillId="0" borderId="14" xfId="0" applyFont="1" applyBorder="1" applyNumberFormat="1">
      <alignment horizontal="center" vertical="center" wrapText="1"/>
    </xf>
    <xf numFmtId="0" fontId="0" fillId="0" borderId="14" xfId="0" applyFont="1" applyBorder="1" applyNumberFormat="1">
      <alignment horizontal="left" vertical="center" wrapText="1" indent="1"/>
    </xf>
    <xf numFmtId="49"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55" fillId="0" borderId="0" xfId="0" applyFont="1" applyNumberFormat="1">
      <alignment horizontal="center" vertical="center" wrapText="1"/>
    </xf>
    <xf numFmtId="49" fontId="23" fillId="0" borderId="16" xfId="0" applyFont="1" applyBorder="1" applyNumberFormat="1">
      <alignment horizontal="center" vertical="center" wrapText="1"/>
    </xf>
    <xf numFmtId="49" fontId="48" fillId="40" borderId="16" xfId="0" applyFont="1" applyFill="1" applyBorder="1" applyNumberFormat="1">
      <alignment horizontal="left" vertical="center" indent="1"/>
    </xf>
    <xf numFmtId="0" fontId="23" fillId="40" borderId="31" xfId="0" applyFont="1" applyFill="1" applyBorder="1" applyNumberFormat="1">
      <alignment vertical="center" wrapText="1"/>
    </xf>
    <xf numFmtId="49" fontId="54" fillId="0" borderId="0" xfId="0" applyFont="1" applyNumberFormat="1">
      <alignment horizontal="center" vertical="center" wrapText="1"/>
    </xf>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left" vertical="center" wrapText="1" indent="3"/>
    </xf>
    <xf numFmtId="0" fontId="23" fillId="37" borderId="0" xfId="0" applyFont="1" applyFill="1" applyNumberFormat="1">
      <alignment vertic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78" fillId="0" borderId="41" xfId="0" applyFont="1" applyBorder="1" applyNumberFormat="1">
      <alignment vertical="top"/>
    </xf>
    <xf numFmtId="49" fontId="78" fillId="0" borderId="41" xfId="0" applyFont="1" applyBorder="1" applyNumberFormat="1">
      <alignment vertical="top"/>
    </xf>
    <xf numFmtId="0" fontId="36" fillId="37" borderId="41" xfId="0" applyFont="1" applyFill="1" applyBorder="1" applyNumberFormat="1">
      <alignment horizontal="center" wrapText="1"/>
    </xf>
    <xf numFmtId="0" fontId="36" fillId="37" borderId="41" xfId="0" applyFont="1" applyFill="1" applyBorder="1" applyNumberFormat="1">
      <alignment horizont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23" fillId="0" borderId="0" xfId="0" applyFont="1" applyNumberFormat="1">
      <alignment vertical="top"/>
    </xf>
    <xf numFmtId="0" fontId="23" fillId="0" borderId="63" xfId="0" applyFont="1" applyBorder="1" applyNumberFormat="1">
      <alignment horizontal="center" vertical="center"/>
    </xf>
    <xf numFmtId="0" fontId="23" fillId="0" borderId="64" xfId="0" applyFont="1" applyBorder="1" applyNumberFormat="1">
      <alignment horizontal="center" vertical="center"/>
    </xf>
    <xf numFmtId="0" fontId="23" fillId="0" borderId="66" xfId="0" applyFont="1" applyBorder="1" applyNumberFormat="1">
      <alignment horizontal="center" vertical="center"/>
    </xf>
    <xf numFmtId="0" fontId="23" fillId="0" borderId="40" xfId="0" applyFont="1" applyBorder="1" applyNumberFormat="1">
      <alignmen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49" fontId="23" fillId="0" borderId="0" xfId="0" applyFont="1" applyNumberFormat="1">
      <alignment vertical="top"/>
    </xf>
    <xf numFmtId="0" fontId="23" fillId="0" borderId="0" xfId="0" applyFont="1" applyNumberFormat="1">
      <alignment vertical="center" wrapText="1"/>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0" fillId="0" borderId="14" xfId="0" applyFont="1" applyBorder="1" applyNumberFormat="1">
      <alignment horizontal="center" vertical="center" wrapText="1"/>
    </xf>
    <xf numFmtId="49" fontId="23" fillId="0" borderId="0" xfId="0" applyFont="1" applyNumberFormat="1">
      <alignment vertical="top"/>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xf>
    <xf numFmtId="49" fontId="23"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0" fontId="23" fillId="0" borderId="0" xfId="0" applyFont="1" applyNumberFormat="1">
      <alignment horizontal="left" vertical="center" wrapText="1"/>
    </xf>
    <xf numFmtId="0" fontId="23" fillId="0" borderId="0" xfId="0" applyFont="1" applyNumberFormat="1">
      <alignment vertical="center" wrapText="1"/>
    </xf>
    <xf numFmtId="0" fontId="23" fillId="0" borderId="0" xfId="0" applyFont="1" applyNumberFormat="1">
      <alignment vertical="center" wrapText="1"/>
    </xf>
    <xf numFmtId="0" fontId="40" fillId="0" borderId="0" xfId="0" applyFont="1" applyNumberFormat="1">
      <alignment vertical="center" wrapText="1"/>
    </xf>
    <xf numFmtId="0" fontId="23" fillId="37" borderId="0" xfId="0" applyFont="1" applyFill="1" applyNumberFormat="1">
      <alignment vertical="center" wrapText="1"/>
    </xf>
    <xf numFmtId="0" fontId="23" fillId="37" borderId="21" xfId="0" applyFont="1" applyFill="1" applyBorder="1" applyNumberFormat="1">
      <alignment vertical="center" wrapText="1"/>
    </xf>
    <xf numFmtId="49" fontId="23" fillId="0" borderId="0" xfId="0" applyFont="1" applyNumberFormat="1">
      <alignment vertical="top"/>
    </xf>
    <xf numFmtId="49" fontId="55" fillId="0" borderId="0" xfId="0" applyFont="1" applyNumberFormat="1">
      <alignment vertical="top"/>
    </xf>
    <xf numFmtId="0" fontId="55" fillId="0" borderId="41" xfId="0" applyFont="1" applyBorder="1" applyNumberFormat="1">
      <alignment vertical="center" wrapText="1"/>
    </xf>
    <xf numFmtId="0" fontId="23" fillId="0" borderId="76" xfId="0" applyFont="1" applyBorder="1" applyNumberFormat="1">
      <alignment horizontal="center" vertical="center"/>
    </xf>
    <xf numFmtId="0" fontId="23" fillId="0" borderId="45" xfId="0" applyFont="1" applyBorder="1" applyNumberFormat="1">
      <alignment horizontal="center" vertical="center"/>
    </xf>
    <xf numFmtId="0" fontId="23" fillId="0" borderId="40" xfId="0" applyFont="1" applyBorder="1" applyNumberFormat="1">
      <alignment vertical="center"/>
    </xf>
    <xf numFmtId="49" fontId="0" fillId="0" borderId="19"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23" fillId="0" borderId="24" xfId="0" applyFont="1" applyBorder="1" applyNumberFormat="1">
      <alignment vertical="top"/>
    </xf>
    <xf numFmtId="49" fontId="0" fillId="0" borderId="38"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xf>
    <xf numFmtId="49" fontId="0" fillId="38" borderId="14" xfId="0" applyFont="1" applyFill="1" applyBorder="1" applyNumberFormat="1">
      <alignment horizontal="center" vertical="center"/>
    </xf>
    <xf numFmtId="0" fontId="23" fillId="0" borderId="24" xfId="0" applyFont="1" applyBorder="1" applyNumberFormat="1">
      <alignment vertical="center" wrapText="1"/>
    </xf>
    <xf numFmtId="49" fontId="0" fillId="0" borderId="14"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 fontId="0" fillId="39"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horizontal="left" vertical="center" wrapText="1"/>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49" fontId="54" fillId="0" borderId="0" xfId="0" applyFont="1" applyNumberFormat="1">
      <alignment horizontal="center" vertical="center" wrapText="1"/>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23" fillId="0" borderId="0" xfId="0" applyFont="1" applyNumberFormat="1">
      <alignment horizontal="center" vertical="top" wrapText="1"/>
    </xf>
    <xf numFmtId="49" fontId="40" fillId="0" borderId="0" xfId="0" applyFont="1" applyNumberFormat="1">
      <alignment horizontal="center" vertical="top" wrapText="1"/>
    </xf>
    <xf numFmtId="49" fontId="23" fillId="37" borderId="0" xfId="0" applyFont="1" applyFill="1" applyNumberFormat="1">
      <alignment horizontal="center" vertical="top" wrapText="1"/>
    </xf>
    <xf numFmtId="0" fontId="23" fillId="0" borderId="22" xfId="0" applyFont="1" applyBorder="1" applyNumberFormat="1">
      <alignment horizontal="left" vertical="top" wrapText="1"/>
    </xf>
    <xf numFmtId="49" fontId="23" fillId="0" borderId="0" xfId="0" applyFont="1" applyNumberFormat="1">
      <alignment horizontal="center" vertical="center" wrapText="1"/>
    </xf>
    <xf numFmtId="49" fontId="40" fillId="0" borderId="0" xfId="0" applyFont="1" applyNumberFormat="1">
      <alignment horizontal="center" vertical="center" wrapText="1"/>
    </xf>
    <xf numFmtId="49" fontId="23" fillId="37" borderId="0" xfId="0" applyFont="1" applyFill="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0" fontId="53" fillId="0" borderId="0" xfId="0" applyFont="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0" xfId="0" applyFont="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49" fontId="53" fillId="37" borderId="0" xfId="0" applyFont="1" applyFill="1" applyNumberFormat="1">
      <alignment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37"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49" fontId="23" fillId="0" borderId="0" xfId="0" applyFont="1" applyNumberFormat="1">
      <alignment vertical="center" wrapText="1"/>
    </xf>
    <xf numFmtId="49" fontId="53" fillId="0" borderId="0" xfId="0" applyFont="1" applyNumberFormat="1">
      <alignment vertical="top"/>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49" fontId="23" fillId="34" borderId="29" xfId="0" applyFont="1" applyFill="1" applyBorder="1" applyNumberFormat="1">
      <alignment horizontal="center" vertical="center" wrapText="1"/>
    </xf>
    <xf numFmtId="49" fontId="53" fillId="0" borderId="0" xfId="0" applyFont="1" applyNumberFormat="1">
      <alignment vertical="center"/>
    </xf>
    <xf numFmtId="49" fontId="53" fillId="37" borderId="0" xfId="0" applyFont="1" applyFill="1" applyNumberFormat="1">
      <alignment vertical="center"/>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104"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49" fontId="53" fillId="0" borderId="0" xfId="0" applyFont="1" applyNumberFormat="1">
      <alignment vertical="center" wrapText="1"/>
    </xf>
    <xf numFmtId="49" fontId="53" fillId="0" borderId="0" xfId="0" applyFont="1" applyNumberFormat="1">
      <alignment vertical="top"/>
    </xf>
    <xf numFmtId="0" fontId="53" fillId="0" borderId="0" xfId="0" applyFont="1" applyNumberFormat="1">
      <alignment vertical="center" wrapText="1"/>
    </xf>
    <xf numFmtId="49" fontId="99" fillId="0" borderId="0" xfId="0" applyFont="1" applyNumberFormat="1">
      <alignment vertical="center" wrapText="1"/>
    </xf>
    <xf numFmtId="49" fontId="53" fillId="0" borderId="0" xfId="0" applyFont="1" applyNumberFormat="1">
      <alignment vertical="center" wrapText="1"/>
    </xf>
    <xf numFmtId="49" fontId="104" fillId="0" borderId="0" xfId="0" applyFont="1" applyNumberFormat="1">
      <alignment vertical="center"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indent="1"/>
    </xf>
    <xf numFmtId="0" fontId="23" fillId="0" borderId="16" xfId="0" applyFont="1" applyBorder="1" applyNumberFormat="1">
      <alignment horizontal="center" vertical="center" wrapText="1"/>
    </xf>
    <xf numFmtId="0" fontId="23" fillId="0" borderId="14" xfId="0" applyFont="1" applyBorder="1" applyNumberFormat="1">
      <alignment horizontal="left" vertical="top" wrapText="1"/>
    </xf>
    <xf numFmtId="3" fontId="23" fillId="42" borderId="16" xfId="0" applyFont="1" applyFill="1" applyBorder="1" applyNumberFormat="1">
      <alignment vertical="center" wrapText="1"/>
      <protection locked="0"/>
    </xf>
    <xf numFmtId="0" fontId="23" fillId="0" borderId="14" xfId="0" applyFont="1" applyBorder="1" applyNumberFormat="1">
      <alignment vertical="top" wrapText="1"/>
    </xf>
    <xf numFmtId="0" fontId="23" fillId="0" borderId="14" xfId="0" applyFont="1" applyBorder="1" applyNumberFormat="1">
      <alignment horizontal="left" vertical="top" wrapText="1"/>
    </xf>
    <xf numFmtId="4" fontId="23" fillId="38" borderId="16" xfId="0" applyFont="1" applyFill="1" applyBorder="1" applyNumberFormat="1">
      <alignment horizontal="right" vertical="center" wrapText="1"/>
    </xf>
    <xf numFmtId="0" fontId="54" fillId="0" borderId="14" xfId="0" applyFont="1" applyBorder="1" applyNumberFormat="1">
      <alignment vertical="top" wrapText="1"/>
    </xf>
    <xf numFmtId="0" fontId="45" fillId="0" borderId="0" xfId="0" applyFont="1" applyNumberFormat="1">
      <alignment horizontal="center" vertical="center" wrapText="1"/>
    </xf>
    <xf numFmtId="49" fontId="23" fillId="42" borderId="14" xfId="0" applyFont="1" applyFill="1" applyBorder="1" applyNumberFormat="1">
      <alignment horizontal="left" vertical="center" wrapText="1" indent="1"/>
      <protection locked="0"/>
    </xf>
    <xf numFmtId="0" fontId="23" fillId="0" borderId="0" xfId="0" applyFont="1" applyNumberFormat="1">
      <alignment horizontal="left" vertical="center" wrapText="1" indent="2"/>
    </xf>
    <xf numFmtId="0" fontId="47" fillId="37" borderId="0" xfId="0" applyFont="1" applyFill="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49" fontId="23" fillId="0" borderId="0" xfId="0" applyFont="1" applyNumberFormat="1">
      <alignment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0" xfId="0" applyFont="1" applyFill="1" applyNumberFormat="1">
      <alignment horizontal="center" vertical="center" wrapText="1"/>
    </xf>
    <xf numFmtId="0" fontId="23" fillId="37" borderId="0" xfId="0" applyFont="1" applyFill="1" applyNumberFormat="1">
      <alignment horizontal="right" vertical="center"/>
    </xf>
    <xf numFmtId="49" fontId="23" fillId="0" borderId="0" xfId="0" applyFont="1" applyNumberFormat="1">
      <alignment vertical="center" wrapText="1"/>
    </xf>
    <xf numFmtId="0" fontId="23"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0"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4" fillId="37" borderId="0" xfId="0" applyFont="1" applyFill="1" applyNumberFormat="1">
      <alignment horizontal="center" vertical="center" wrapText="1"/>
    </xf>
    <xf numFmtId="49" fontId="23" fillId="0" borderId="0" xfId="0" applyFont="1" applyNumberFormat="1">
      <alignment vertical="top"/>
    </xf>
    <xf numFmtId="49" fontId="0" fillId="37" borderId="14" xfId="0" applyFont="1" applyFill="1" applyBorder="1" applyNumberFormat="1">
      <alignment horizontal="center" vertical="center" wrapText="1"/>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34" fillId="42" borderId="14" xfId="0" applyFont="1" applyFill="1" applyBorder="1" applyNumberFormat="1">
      <alignment horizontal="left" vertical="center" wrapText="1"/>
      <protection locked="0"/>
    </xf>
    <xf numFmtId="0"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49" fontId="52" fillId="40" borderId="15" xfId="0" applyFont="1" applyFill="1" applyBorder="1" applyNumberFormat="1">
      <alignment horizontal="center" vertical="top"/>
    </xf>
    <xf numFmtId="0" fontId="23"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0" fontId="47" fillId="37" borderId="0" xfId="0" applyFont="1" applyFill="1" applyNumberFormat="1">
      <alignment vertical="center" wrapText="1"/>
    </xf>
    <xf numFmtId="49" fontId="52" fillId="40" borderId="17" xfId="0" applyFont="1" applyFill="1" applyBorder="1" applyNumberFormat="1">
      <alignment horizontal="center" vertical="top"/>
    </xf>
    <xf numFmtId="0" fontId="55" fillId="0" borderId="0" xfId="0" applyFont="1" applyNumberFormat="1">
      <alignment vertical="center"/>
    </xf>
    <xf numFmtId="49"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49" fontId="72" fillId="0" borderId="14" xfId="0" applyFont="1" applyBorder="1" applyNumberFormat="1">
      <alignment horizontal="center" vertical="center" wrapText="1"/>
    </xf>
    <xf numFmtId="0" fontId="72" fillId="0" borderId="14" xfId="0" applyFont="1" applyBorder="1" applyNumberFormat="1">
      <alignment horizontal="left" vertical="center" wrapText="1" indent="2"/>
    </xf>
    <xf numFmtId="49" fontId="75" fillId="0" borderId="16" xfId="0" applyFont="1" applyBorder="1" applyNumberFormat="1">
      <alignment horizontal="left" vertical="center" wrapText="1"/>
    </xf>
    <xf numFmtId="0" fontId="23" fillId="0" borderId="19" xfId="0" applyFont="1" applyBorder="1" applyNumberFormat="1">
      <alignment vertical="top" wrapText="1"/>
    </xf>
    <xf numFmtId="49" fontId="48" fillId="40" borderId="17" xfId="0" applyFont="1" applyFill="1" applyBorder="1" applyNumberFormat="1">
      <alignment horizontal="left" vertical="center" indent="1"/>
    </xf>
    <xf numFmtId="0" fontId="23" fillId="0" borderId="25" xfId="0" applyFont="1" applyBorder="1" applyNumberFormat="1">
      <alignment vertical="top" wrapText="1"/>
    </xf>
    <xf numFmtId="49" fontId="0"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23" fillId="0" borderId="0" xfId="0" applyFont="1" applyNumberFormat="1">
      <alignment vertical="top" wrapText="1"/>
    </xf>
    <xf numFmtId="49" fontId="23" fillId="0" borderId="0" xfId="0" applyFont="1" applyNumberFormat="1">
      <alignment vertical="center" wrapText="1"/>
    </xf>
    <xf numFmtId="0" fontId="54" fillId="0" borderId="0" xfId="0" applyFont="1" applyNumberFormat="1">
      <alignment vertical="center" wrapText="1"/>
    </xf>
    <xf numFmtId="0" fontId="47" fillId="0" borderId="0" xfId="0" applyFont="1" applyNumberFormat="1">
      <alignment vertical="center" wrapText="1"/>
    </xf>
    <xf numFmtId="49" fontId="54" fillId="0" borderId="0" xfId="0" applyFont="1" applyNumberFormat="1">
      <alignment vertical="top"/>
    </xf>
    <xf numFmtId="49" fontId="126" fillId="0" borderId="0" xfId="0" applyFont="1" applyNumberFormat="1">
      <alignment horizontal="center" vertical="center" wrapText="1"/>
    </xf>
    <xf numFmtId="0" fontId="0" fillId="42" borderId="14" xfId="0" applyFont="1" applyFill="1" applyBorder="1" applyNumberFormat="1">
      <alignment horizontal="left" vertical="center" wrapText="1" indent="1"/>
      <protection locked="0"/>
    </xf>
    <xf numFmtId="49" fontId="34" fillId="42" borderId="14" xfId="0" applyFont="1" applyFill="1" applyBorder="1" applyNumberFormat="1">
      <alignment horizontal="left" vertical="center" wrapText="1"/>
      <protection locked="0"/>
    </xf>
    <xf numFmtId="0" fontId="47" fillId="0" borderId="0" xfId="0" applyFont="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0" fillId="0" borderId="14" xfId="0" applyFont="1" applyBorder="1" applyNumberFormat="1">
      <alignment horizontal="left" vertical="center" wrapText="1"/>
    </xf>
    <xf numFmtId="167" fontId="0" fillId="42" borderId="14" xfId="0" applyFont="1" applyFill="1" applyBorder="1" applyNumberFormat="1">
      <alignment horizontal="left" vertical="center" wrapText="1"/>
      <protection locked="0"/>
    </xf>
    <xf numFmtId="0" fontId="130" fillId="42" borderId="14" xfId="0" applyFont="1" applyFill="1" applyBorder="1" applyNumberFormat="1">
      <alignment horizontal="left" vertical="center" wrapText="1"/>
      <protection locked="0"/>
    </xf>
    <xf numFmtId="49" fontId="13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0" fillId="0" borderId="14" xfId="0" applyFont="1" applyBorder="1" applyNumberFormat="1">
      <alignment horizontal="left" vertical="center" wrapText="1"/>
    </xf>
    <xf numFmtId="49" fontId="130" fillId="42" borderId="14" xfId="0" applyFont="1" applyFill="1" applyBorder="1" applyNumberFormat="1">
      <alignment horizontal="left" vertical="center" wrapText="1"/>
      <protection locked="0"/>
    </xf>
    <xf numFmtId="0" fontId="23"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23" fillId="0" borderId="14" xfId="0" applyFont="1" applyBorder="1" applyNumberFormat="1">
      <alignment vertical="top" wrapText="1"/>
    </xf>
    <xf numFmtId="49" fontId="48" fillId="40" borderId="17" xfId="0" applyFont="1" applyFill="1" applyBorder="1" applyNumberFormat="1">
      <alignment horizontal="left" vertical="center" indent="2"/>
    </xf>
    <xf numFmtId="0" fontId="23" fillId="0" borderId="0" xfId="0" applyFont="1" applyNumberFormat="1">
      <alignment vertical="center" wrapText="1"/>
    </xf>
    <xf numFmtId="49" fontId="54" fillId="0" borderId="0" xfId="0" applyFont="1" applyNumberFormat="1">
      <alignment vertical="top"/>
    </xf>
    <xf numFmtId="0" fontId="54" fillId="0" borderId="0" xfId="0" applyFont="1" applyNumberFormat="1">
      <alignment vertical="center" wrapText="1"/>
    </xf>
    <xf numFmtId="49" fontId="126" fillId="0" borderId="0" xfId="0" applyFont="1" applyNumberFormat="1">
      <alignment horizontal="center" vertical="center" wrapText="1"/>
    </xf>
    <xf numFmtId="49"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0" borderId="14" xfId="0" applyFont="1" applyBorder="1" applyNumberFormat="1">
      <alignment horizontal="center" vertical="center" wrapText="1"/>
    </xf>
    <xf numFmtId="0" fontId="0" fillId="42" borderId="14" xfId="0" applyFont="1" applyFill="1" applyBorder="1" applyNumberFormat="1">
      <alignment horizontal="left" vertical="center" wrapText="1"/>
      <protection locked="0"/>
    </xf>
    <xf numFmtId="0" fontId="23" fillId="0" borderId="0" xfId="0" applyFont="1" applyNumberFormat="1">
      <alignment vertical="center" wrapText="1"/>
    </xf>
    <xf numFmtId="0" fontId="55" fillId="0" borderId="0" xfId="0" applyFont="1" applyNumberFormat="1">
      <alignment vertical="center"/>
    </xf>
    <xf numFmtId="0" fontId="23" fillId="0" borderId="0" xfId="0" applyFont="1" applyNumberFormat="1">
      <alignment vertical="center" wrapText="1"/>
    </xf>
    <xf numFmtId="49" fontId="48" fillId="40" borderId="17" xfId="0" applyFont="1" applyFill="1" applyBorder="1" applyNumberFormat="1">
      <alignment horizontal="left" vertical="center" indent="3"/>
    </xf>
    <xf numFmtId="49" fontId="23" fillId="43" borderId="14" xfId="0" applyFont="1" applyFill="1" applyBorder="1" applyNumberFormat="1">
      <alignment horizontal="left" vertical="center" wrapText="1"/>
    </xf>
    <xf numFmtId="49" fontId="23" fillId="0" borderId="0" xfId="0" applyFont="1" applyNumberFormat="1">
      <alignment vertical="top"/>
    </xf>
    <xf numFmtId="49" fontId="55" fillId="0" borderId="0" xfId="0" applyFont="1" applyNumberFormat="1">
      <alignment vertical="top"/>
    </xf>
    <xf numFmtId="0" fontId="23" fillId="0" borderId="0" xfId="0" applyFont="1" applyNumberFormat="1">
      <alignment horizontal="right" vertical="top" wrapText="1"/>
    </xf>
    <xf numFmtId="49" fontId="23" fillId="0" borderId="0" xfId="0" applyFont="1" applyNumberFormat="1">
      <alignment vertical="top" wrapText="1"/>
    </xf>
    <xf numFmtId="49" fontId="23" fillId="0" borderId="0" xfId="0" applyFont="1" applyNumberFormat="1">
      <alignment vertical="top"/>
    </xf>
    <xf numFmtId="0" fontId="0" fillId="0" borderId="15" xfId="0" applyFont="1" applyBorder="1" applyNumberFormat="1">
      <alignment horizontal="center" vertical="center" wrapText="1"/>
    </xf>
    <xf numFmtId="167" fontId="0" fillId="42" borderId="15" xfId="0" applyFont="1" applyFill="1" applyBorder="1" applyNumberFormat="1">
      <alignment horizontal="left" vertical="center" wrapText="1"/>
      <protection locked="0"/>
    </xf>
    <xf numFmtId="167"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49" fontId="52" fillId="40" borderId="15" xfId="0" applyFont="1" applyFill="1" applyBorder="1" applyNumberFormat="1">
      <alignment horizontal="center" vertical="top"/>
    </xf>
    <xf numFmtId="0" fontId="0" fillId="0" borderId="15" xfId="0" applyFont="1" applyBorder="1" applyNumberFormat="1">
      <alignment horizontal="center" vertical="center" wrapText="1"/>
    </xf>
    <xf numFmtId="0" fontId="23" fillId="0" borderId="0" xfId="0" applyFont="1" applyNumberFormat="1">
      <alignment horizontal="left" vertical="center" wrapText="1" indent="1"/>
    </xf>
    <xf numFmtId="0" fontId="0" fillId="0" borderId="14" xfId="0" applyFont="1" applyBorder="1" applyNumberFormat="1">
      <alignment horizontal="center" vertical="center" wrapText="1"/>
    </xf>
    <xf numFmtId="0" fontId="23" fillId="0" borderId="17" xfId="0" applyFont="1" applyBorder="1" applyNumberFormat="1">
      <alignment horizontal="left" vertical="top" wrapText="1" indent="1"/>
    </xf>
    <xf numFmtId="0" fontId="22" fillId="0" borderId="0" xfId="0" applyFont="1" applyNumberFormat="1">
      <alignment vertical="center" wrapText="1"/>
    </xf>
    <xf numFmtId="0" fontId="0" fillId="37" borderId="16" xfId="0" applyFont="1" applyFill="1" applyBorder="1" applyNumberFormat="1">
      <alignment horizontal="right" vertical="center" wrapText="1" indent="1"/>
    </xf>
    <xf numFmtId="0" fontId="76" fillId="0" borderId="0" xfId="0" applyFont="1" applyNumberFormat="1">
      <alignment vertical="center" wrapText="1"/>
    </xf>
    <xf numFmtId="49" fontId="44" fillId="37" borderId="0" xfId="0" applyFont="1" applyFill="1" applyNumberFormat="1">
      <alignment horizontal="center" vertical="center" wrapText="1"/>
    </xf>
    <xf numFmtId="49" fontId="44" fillId="37" borderId="21" xfId="0" applyFont="1" applyFill="1" applyBorder="1" applyNumberFormat="1">
      <alignment horizontal="center" vertical="center" wrapText="1"/>
    </xf>
    <xf numFmtId="49" fontId="0" fillId="37" borderId="19"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23" fillId="0" borderId="14" xfId="0" applyFont="1" applyBorder="1" applyNumberFormat="1">
      <alignment horizontal="left" vertical="center" wrapText="1"/>
    </xf>
    <xf numFmtId="0" fontId="47" fillId="37" borderId="0" xfId="0" applyFont="1" applyFill="1" applyNumberFormat="1">
      <alignment horizontal="center" vertical="top" wrapText="1"/>
    </xf>
    <xf numFmtId="0" fontId="0" fillId="38" borderId="16" xfId="0" applyFont="1" applyFill="1" applyBorder="1" applyNumberFormat="1">
      <alignment horizontal="left" vertical="center" wrapText="1" indent="1"/>
    </xf>
    <xf numFmtId="0" fontId="0" fillId="0" borderId="15" xfId="0" applyFont="1" applyBorder="1" applyNumberFormat="1">
      <alignment horizontal="center" vertical="center" wrapText="1"/>
    </xf>
    <xf numFmtId="0" fontId="0" fillId="0" borderId="15" xfId="0" applyFont="1" applyBorder="1" applyNumberFormat="1">
      <alignment horizontal="center" vertical="center" wrapText="1"/>
    </xf>
    <xf numFmtId="49" fontId="48" fillId="40" borderId="29" xfId="0" applyFont="1" applyFill="1" applyBorder="1" applyNumberFormat="1">
      <alignment horizontal="left" vertical="center" indent="2"/>
    </xf>
    <xf numFmtId="49" fontId="48" fillId="40" borderId="17" xfId="0" applyFont="1" applyFill="1" applyBorder="1" applyNumberFormat="1">
      <alignment horizontal="left" vertical="center"/>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23" fillId="0" borderId="0" xfId="0" applyFont="1" applyNumberFormat="1">
      <alignment vertical="center" wrapText="1"/>
    </xf>
    <xf numFmtId="49" fontId="23" fillId="0" borderId="0" xfId="0" applyFont="1" applyNumberFormat="1">
      <alignment vertical="top"/>
    </xf>
    <xf numFmtId="0" fontId="23" fillId="0" borderId="0" xfId="0" applyFont="1" applyNumberFormat="1">
      <alignment vertical="top" wrapText="1"/>
    </xf>
    <xf numFmtId="0" fontId="47" fillId="0" borderId="0" xfId="0" applyFont="1" applyNumberFormat="1">
      <alignment vertical="center" wrapText="1"/>
    </xf>
    <xf numFmtId="0" fontId="23" fillId="0" borderId="38" xfId="0" applyFont="1" applyBorder="1" applyNumberFormat="1">
      <alignment vertical="center" wrapText="1"/>
    </xf>
    <xf numFmtId="0" fontId="0" fillId="38" borderId="14" xfId="0" applyFont="1" applyFill="1" applyBorder="1" applyNumberFormat="1">
      <alignment horizontal="center" vertical="center" wrapText="1"/>
    </xf>
    <xf numFmtId="0" fontId="0" fillId="0" borderId="15" xfId="0" applyFont="1" applyBorder="1" applyNumberFormat="1">
      <alignment horizontal="center" vertical="center" wrapText="1"/>
    </xf>
    <xf numFmtId="167" fontId="0" fillId="42" borderId="15" xfId="0" applyFont="1" applyFill="1" applyBorder="1" applyNumberFormat="1">
      <alignment horizontal="left" vertical="center" wrapText="1"/>
      <protection locked="0"/>
    </xf>
    <xf numFmtId="167"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xf>
    <xf numFmtId="0" fontId="23" fillId="0" borderId="0" xfId="0" applyFont="1" applyNumberFormat="1">
      <alignment vertical="center" wrapText="1"/>
    </xf>
    <xf numFmtId="0" fontId="23" fillId="0" borderId="0" xfId="0" applyFont="1" applyNumberFormat="1">
      <alignment vertical="center" wrapText="1"/>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0" fontId="23" fillId="0" borderId="14" xfId="0" applyFont="1" applyBorder="1" applyNumberFormat="1">
      <alignment vertical="top" wrapText="1"/>
    </xf>
    <xf numFmtId="49" fontId="0" fillId="37" borderId="16" xfId="0" applyFont="1" applyFill="1" applyBorder="1" applyNumberFormat="1">
      <alignment horizontal="center" vertical="center" wrapText="1"/>
    </xf>
    <xf numFmtId="0" fontId="23" fillId="0" borderId="38" xfId="0" applyFont="1" applyBorder="1" applyNumberFormat="1">
      <alignment horizontal="left" vertical="top" wrapText="1"/>
    </xf>
    <xf numFmtId="4" fontId="0" fillId="42" borderId="14" xfId="0" applyFont="1" applyFill="1" applyBorder="1" applyNumberFormat="1">
      <alignment horizontal="right" vertical="center" wrapText="1"/>
      <protection locked="0"/>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49" fontId="48" fillId="40" borderId="29" xfId="0" applyFont="1" applyFill="1" applyBorder="1" applyNumberFormat="1">
      <alignment horizontal="left" vertical="center"/>
    </xf>
    <xf numFmtId="49" fontId="48" fillId="40" borderId="17" xfId="0" applyFont="1" applyFill="1" applyBorder="1" applyNumberFormat="1">
      <alignment horizontal="left" vertical="center"/>
    </xf>
    <xf numFmtId="49" fontId="48" fillId="40" borderId="17" xfId="0" applyFont="1" applyFill="1" applyBorder="1" applyNumberFormat="1">
      <alignment horizontal="left" vertical="center" indent="2"/>
    </xf>
    <xf numFmtId="49" fontId="48" fillId="40" borderId="29" xfId="0" applyFont="1" applyFill="1" applyBorder="1" applyNumberFormat="1">
      <alignment horizontal="left" vertical="center"/>
    </xf>
    <xf numFmtId="49" fontId="52" fillId="40" borderId="15" xfId="0" applyFont="1" applyFill="1" applyBorder="1" applyNumberFormat="1">
      <alignment horizontal="center" vertical="top"/>
    </xf>
    <xf numFmtId="49" fontId="23" fillId="0" borderId="0" xfId="0" applyFont="1" applyNumberFormat="1">
      <alignment vertical="top"/>
    </xf>
    <xf numFmtId="49" fontId="23" fillId="0" borderId="21" xfId="0" applyFont="1" applyBorder="1" applyNumberFormat="1">
      <alignment vertical="top"/>
    </xf>
    <xf numFmtId="0" fontId="22" fillId="0" borderId="0" xfId="0" applyFont="1" applyNumberFormat="1">
      <alignment horizontal="right" vertical="top" wrapText="1"/>
    </xf>
    <xf numFmtId="49" fontId="23" fillId="0" borderId="0" xfId="0" applyFont="1" applyNumberFormat="1">
      <alignment vertical="top" wrapText="1"/>
    </xf>
    <xf numFmtId="0" fontId="23" fillId="0" borderId="0" xfId="0" applyFont="1" applyNumberFormat="1">
      <alignment vertical="top" wrapText="1"/>
    </xf>
    <xf numFmtId="0" fontId="23" fillId="0" borderId="0" xfId="0" applyFont="1" applyNumberFormat="1">
      <alignment vertical="center" wrapText="1"/>
    </xf>
    <xf numFmtId="0" fontId="55" fillId="0" borderId="0" xfId="0" applyFont="1" applyNumberFormat="1">
      <alignment vertical="center"/>
    </xf>
    <xf numFmtId="49" fontId="23" fillId="0" borderId="0" xfId="0" applyFont="1" applyNumberFormat="1">
      <alignment vertical="top"/>
    </xf>
    <xf numFmtId="49" fontId="0" fillId="42" borderId="14" xfId="0" applyFont="1" applyFill="1" applyBorder="1" applyNumberFormat="1">
      <alignment horizontal="left" vertical="center" wrapText="1" indent="1"/>
      <protection locked="0"/>
    </xf>
    <xf numFmtId="0" fontId="23" fillId="0" borderId="0" xfId="0" applyFont="1" applyNumberFormat="1">
      <alignment vertical="center" wrapText="1"/>
    </xf>
    <xf numFmtId="0" fontId="69" fillId="0" borderId="0" xfId="0" applyFont="1" applyNumberFormat="1">
      <alignment vertical="center" wrapText="1"/>
    </xf>
    <xf numFmtId="0" fontId="23" fillId="37" borderId="14" xfId="0" applyFont="1" applyFill="1" applyBorder="1" applyNumberFormat="1">
      <alignment horizontal="center" vertical="center" wrapText="1"/>
    </xf>
    <xf numFmtId="0" fontId="0" fillId="0" borderId="14" xfId="0" applyFont="1" applyBorder="1" applyNumberFormat="1">
      <alignment horizontal="left" vertical="top"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0" borderId="21" xfId="0" applyFont="1" applyBorder="1" applyNumberFormat="1">
      <alignment vertical="center" wrapText="1"/>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49" fontId="23" fillId="0" borderId="0" xfId="0" applyFont="1" applyNumberFormat="1">
      <alignment vertical="center" wrapText="1"/>
    </xf>
    <xf numFmtId="0" fontId="88"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0" borderId="14" xfId="0" applyFont="1" applyBorder="1" applyNumberFormat="1">
      <alignment horizontal="center"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34" fillId="0" borderId="0" xfId="0" applyFont="1" applyNumberFormat="1">
      <alignment vertical="center" wrapText="1"/>
    </xf>
    <xf numFmtId="49" fontId="23" fillId="0" borderId="0" xfId="0" applyFont="1" applyNumberFormat="1">
      <alignment horizontal="center" vertical="top"/>
    </xf>
    <xf numFmtId="49" fontId="40" fillId="49" borderId="0" xfId="0" applyFont="1" applyFill="1" applyNumberFormat="1">
      <alignment horizontal="center" vertical="center"/>
    </xf>
    <xf numFmtId="49" fontId="23" fillId="0" borderId="14" xfId="0" applyFont="1" applyBorder="1" applyNumberFormat="1">
      <alignment horizontal="center" vertical="top"/>
    </xf>
    <xf numFmtId="49" fontId="54" fillId="49" borderId="0" xfId="0" applyFont="1" applyFill="1" applyNumberFormat="1">
      <alignment horizontal="center" vertical="center" wrapText="1"/>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horizontal="center" vertical="top"/>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0" fontId="23" fillId="0" borderId="16" xfId="0" applyFont="1" applyBorder="1" applyNumberFormat="1">
      <alignment horizontal="left" vertical="center"/>
    </xf>
    <xf numFmtId="49" fontId="23" fillId="0" borderId="46" xfId="0" applyFont="1" applyBorder="1" applyNumberFormat="1">
      <alignment vertical="center"/>
    </xf>
    <xf numFmtId="49" fontId="23" fillId="0" borderId="47" xfId="0" applyFont="1" applyBorder="1" applyNumberFormat="1">
      <alignment vertical="top"/>
    </xf>
    <xf numFmtId="49" fontId="23" fillId="0" borderId="18"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0" fontId="0" fillId="50" borderId="0" xfId="0" applyFont="1" applyFill="1" applyNumberFormat="1">
      <alignment horizontal="right" vertical="center"/>
    </xf>
    <xf numFmtId="49" fontId="40" fillId="0" borderId="0" xfId="0" applyFont="1" applyNumberFormat="1">
      <alignment horizontal="center" vertical="center"/>
    </xf>
    <xf numFmtId="49" fontId="0" fillId="0" borderId="0" xfId="0" applyFont="1" applyNumberFormat="1">
      <alignment vertical="top"/>
    </xf>
    <xf numFmtId="49" fontId="40" fillId="49" borderId="0" xfId="0" applyFont="1" applyFill="1" applyNumberFormat="1">
      <alignment horizontal="center" vertical="center"/>
    </xf>
    <xf numFmtId="0" fontId="23" fillId="0" borderId="0" xfId="0" applyFont="1" applyNumberFormat="1">
      <alignment vertical="center"/>
    </xf>
    <xf numFmtId="0" fontId="0" fillId="50"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3" fillId="0" borderId="16" xfId="0" applyFont="1" applyBorder="1" applyNumberFormat="1">
      <alignment vertical="top"/>
    </xf>
    <xf numFmtId="0" fontId="0" fillId="50" borderId="0" xfId="0" applyFont="1" applyFill="1" applyNumberFormat="1">
      <alignment horizontal="right" vertical="center"/>
    </xf>
    <xf numFmtId="0" fontId="0" fillId="0" borderId="0" xfId="0" applyFont="1" applyNumberFormat="1">
      <alignment horizontal="left" vertical="center"/>
    </xf>
    <xf numFmtId="0" fontId="0" fillId="50" borderId="0" xfId="0" applyFont="1" applyFill="1" applyNumberFormat="1">
      <alignment horizontal="right" vertical="center"/>
    </xf>
    <xf numFmtId="0" fontId="0" fillId="50" borderId="0" xfId="0" applyFont="1" applyFill="1" applyNumberFormat="1">
      <alignment horizontal="left" vertical="center"/>
    </xf>
    <xf numFmtId="0" fontId="59" fillId="50" borderId="0" xfId="0" applyFont="1" applyFill="1" applyNumberFormat="1">
      <alignment horizontal="left" vertical="center"/>
    </xf>
    <xf numFmtId="0" fontId="0" fillId="0" borderId="0" xfId="0" applyFont="1" applyNumberFormat="1">
      <alignment vertical="center"/>
    </xf>
    <xf numFmtId="0" fontId="23" fillId="0" borderId="0" xfId="0" applyFont="1" applyNumberFormat="1">
      <alignment vertical="top"/>
    </xf>
    <xf numFmtId="0" fontId="59" fillId="0" borderId="0" xfId="0" applyFont="1" applyNumberFormat="1">
      <alignment horizontal="left" vertical="center"/>
    </xf>
    <xf numFmtId="49" fontId="0" fillId="0" borderId="16" xfId="0" applyFont="1" applyBorder="1" applyNumberFormat="1">
      <alignment vertical="top"/>
    </xf>
    <xf numFmtId="49" fontId="23" fillId="0" borderId="14" xfId="0" applyFont="1" applyBorder="1" applyNumberFormat="1">
      <alignment horizontal="right" vertical="top"/>
    </xf>
    <xf numFmtId="0" fontId="0" fillId="0" borderId="16" xfId="0" applyFont="1" applyBorder="1" applyNumberFormat="1">
      <alignment horizontal="left" vertical="center"/>
    </xf>
    <xf numFmtId="0" fontId="59" fillId="50" borderId="0" xfId="0" applyFont="1" applyFill="1" applyNumberFormat="1">
      <alignment horizontal="left" vertical="center"/>
    </xf>
    <xf numFmtId="49" fontId="23" fillId="0" borderId="19" xfId="0" applyFont="1" applyBorder="1" applyNumberFormat="1">
      <alignment horizontal="righ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14" xfId="0" applyFont="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0" fontId="23" fillId="50" borderId="0" xfId="0" applyFont="1" applyFill="1" applyNumberFormat="1">
      <alignment horizontal="left" vertical="center"/>
    </xf>
    <xf numFmtId="0" fontId="0" fillId="50" borderId="12" xfId="0" applyFont="1" applyFill="1" applyBorder="1" applyNumberFormat="1">
      <alignment horizontal="center"/>
    </xf>
    <xf numFmtId="49" fontId="109" fillId="0" borderId="18" xfId="0" applyFont="1" applyBorder="1" applyNumberFormat="1">
      <alignment vertical="top"/>
    </xf>
    <xf numFmtId="49" fontId="0" fillId="0" borderId="0" xfId="0" applyFont="1" applyNumberFormat="1">
      <alignment vertical="center"/>
    </xf>
    <xf numFmtId="49" fontId="53" fillId="56" borderId="0" xfId="0" applyFont="1" applyFill="1" applyNumberFormat="1">
      <alignment vertical="center" wrapText="1"/>
    </xf>
    <xf numFmtId="0" fontId="0" fillId="0" borderId="12" xfId="0" applyFont="1" applyBorder="1" applyNumberFormat="1">
      <alignment horizontal="center"/>
    </xf>
    <xf numFmtId="49" fontId="23" fillId="50" borderId="0" xfId="0" applyFont="1" applyFill="1" applyNumberFormat="1">
      <alignment horizontal="center" vertical="center"/>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0" fontId="0" fillId="34" borderId="14" xfId="0" applyFont="1" applyFill="1" applyBorder="1" applyNumberFormat="1">
      <alignment horizontal="right" vertical="center"/>
    </xf>
    <xf numFmtId="49" fontId="23" fillId="34" borderId="25" xfId="0" applyFont="1" applyFill="1" applyBorder="1" applyNumberFormat="1">
      <alignment vertical="top"/>
    </xf>
    <xf numFmtId="49" fontId="23" fillId="34" borderId="14" xfId="0" applyFont="1" applyFill="1" applyBorder="1" applyNumberFormat="1">
      <alignment vertical="top"/>
    </xf>
    <xf numFmtId="49" fontId="23" fillId="0" borderId="16" xfId="0" applyFont="1" applyBorder="1" applyNumberFormat="1">
      <alignment horizontal="center" vertical="top"/>
    </xf>
    <xf numFmtId="49" fontId="23" fillId="0" borderId="15" xfId="0" applyFont="1" applyBorder="1" applyNumberFormat="1">
      <alignment horizontal="center" vertical="top"/>
    </xf>
    <xf numFmtId="0" fontId="23" fillId="38" borderId="32" xfId="0" applyFont="1" applyFill="1" applyBorder="1" applyNumberFormat="1">
      <alignment horizontal="center" vertical="top"/>
    </xf>
    <xf numFmtId="0" fontId="23" fillId="38" borderId="32" xfId="0" applyFont="1" applyFill="1" applyBorder="1" applyNumberFormat="1">
      <alignment horizontal="left" vertical="top"/>
    </xf>
    <xf numFmtId="0" fontId="0" fillId="0" borderId="34" xfId="0" applyFont="1" applyBorder="1" applyNumberFormat="1">
      <alignment horizontal="center" vertical="center"/>
    </xf>
    <xf numFmtId="0" fontId="0" fillId="0" borderId="36" xfId="0" applyFont="1" applyBorder="1" applyNumberFormat="1">
      <alignment horizontal="center" vertical="center"/>
    </xf>
    <xf numFmtId="0" fontId="23" fillId="0" borderId="14" xfId="0" applyFont="1" applyBorder="1" applyNumberFormat="1">
      <alignment horizontal="left" vertical="top"/>
    </xf>
    <xf numFmtId="49" fontId="23" fillId="0" borderId="0" xfId="0" applyFont="1" applyNumberFormat="1">
      <alignment horizontal="left" vertical="top"/>
    </xf>
    <xf numFmtId="0" fontId="0" fillId="0" borderId="33" xfId="0" applyFont="1" applyBorder="1" applyNumberFormat="1">
      <alignment horizontal="center" vertical="center"/>
    </xf>
    <xf numFmtId="0" fontId="0" fillId="0" borderId="35" xfId="0" applyFont="1" applyBorder="1" applyNumberFormat="1">
      <alignment horizontal="center" vertical="center"/>
    </xf>
    <xf numFmtId="49" fontId="40" fillId="49" borderId="16" xfId="0" applyFont="1" applyFill="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50" borderId="0" xfId="0" applyFont="1" applyFill="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xf>
    <xf numFmtId="49" fontId="0"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49" fontId="0" fillId="0" borderId="0" xfId="0" applyFont="1" applyNumberFormat="1">
      <alignment vertical="center" wrapText="1"/>
    </xf>
    <xf numFmtId="49" fontId="0" fillId="0" borderId="0" xfId="0" applyFont="1" applyNumberFormat="1">
      <alignment vertical="center"/>
    </xf>
    <xf numFmtId="49" fontId="23" fillId="0" borderId="0" xfId="0" applyFont="1" applyNumberFormat="1">
      <alignment vertical="top"/>
    </xf>
    <xf numFmtId="49"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0" fontId="23" fillId="42" borderId="14" xfId="0" applyFont="1" applyFill="1" applyBorder="1" applyNumberFormat="1">
      <alignment horizontal="center" vertical="center" wrapText="1"/>
      <protection locked="0"/>
    </xf>
    <xf numFmtId="0" fontId="54" fillId="37" borderId="0" xfId="0" applyFont="1" applyFill="1" applyNumberFormat="1"/>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8" borderId="14" xfId="0" applyFont="1" applyFill="1" applyBorder="1" applyNumberFormat="1">
      <alignment horizontal="left" vertical="center" wrapText="1"/>
    </xf>
    <xf numFmtId="0" fontId="73" fillId="37" borderId="0" xfId="0" applyFont="1" applyFill="1" applyNumberFormat="1"/>
    <xf numFmtId="0" fontId="23" fillId="37" borderId="14" xfId="0" applyFont="1" applyFill="1" applyBorder="1" applyNumberFormat="1">
      <alignment horizontal="left"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0" fontId="55"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0" fillId="37" borderId="19" xfId="0" applyFont="1" applyFill="1" applyBorder="1" applyNumberFormat="1">
      <alignment horizontal="left" vertical="top" wrapText="1"/>
    </xf>
    <xf numFmtId="0" fontId="72" fillId="37" borderId="0" xfId="0" applyFont="1" applyFill="1" applyNumberFormat="1"/>
    <xf numFmtId="0" fontId="77" fillId="37" borderId="0" xfId="0" applyFont="1" applyFill="1" applyNumberFormat="1">
      <alignment vertical="center" wrapText="1"/>
    </xf>
    <xf numFmtId="0" fontId="55" fillId="37" borderId="14" xfId="0" applyFont="1" applyFill="1" applyBorder="1" applyNumberFormat="1">
      <alignment horizontal="center" vertical="center"/>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0" fontId="89" fillId="37" borderId="0" xfId="0" applyFont="1" applyFill="1" applyNumberFormat="1"/>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0" fontId="23" fillId="37" borderId="14" xfId="0" applyFont="1" applyFill="1" applyBorder="1" applyNumberFormat="1">
      <alignment vertical="top"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14" fontId="23" fillId="42" borderId="14" xfId="0" applyFont="1" applyFill="1" applyBorder="1" applyNumberFormat="1">
      <alignment horizontal="left" vertical="center" wrapText="1" indent="1"/>
      <protection locked="0"/>
    </xf>
    <xf numFmtId="0" fontId="117" fillId="0" borderId="0" xfId="0" applyFont="1" applyNumberFormat="1">
      <alignment vertical="center"/>
    </xf>
    <xf numFmtId="0" fontId="45" fillId="0" borderId="0" xfId="0" applyFont="1" applyNumberFormat="1">
      <alignment horizontal="center" vertical="center" wrapText="1"/>
    </xf>
    <xf numFmtId="4" fontId="23" fillId="0" borderId="19" xfId="0" applyFont="1" applyBorder="1" applyNumberFormat="1">
      <alignment horizontal="center" vertical="center" wrapText="1"/>
    </xf>
    <xf numFmtId="165" fontId="23" fillId="0" borderId="39" xfId="0" applyFont="1" applyBorder="1" applyNumberFormat="1">
      <alignment horizontal="center" vertical="center" wrapText="1"/>
    </xf>
    <xf numFmtId="165"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14" fontId="23" fillId="43" borderId="14" xfId="0" applyFont="1" applyFill="1" applyBorder="1" applyNumberFormat="1">
      <alignment horizontal="left" vertical="center" wrapText="1"/>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0" fillId="40" borderId="31" xfId="0" applyFont="1" applyFill="1" applyBorder="1" applyNumberFormat="1">
      <alignment horizontal="right" vertical="center" wrapText="1"/>
    </xf>
    <xf numFmtId="0" fontId="117" fillId="0" borderId="0" xfId="0" applyFont="1" applyNumberFormat="1">
      <alignment vertical="center" wrapText="1"/>
    </xf>
    <xf numFmtId="49" fontId="0" fillId="0" borderId="0" xfId="0" applyFont="1" applyNumberFormat="1">
      <alignment vertical="top"/>
    </xf>
    <xf numFmtId="0" fontId="55" fillId="0" borderId="0" xfId="0" applyFont="1" applyNumberFormat="1">
      <alignment vertical="center"/>
    </xf>
    <xf numFmtId="0" fontId="44"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38" borderId="14" xfId="0" applyFont="1" applyFill="1" applyBorder="1" applyNumberFormat="1">
      <alignment horizontal="left" vertical="center" wrapText="1" indent="1"/>
    </xf>
    <xf numFmtId="167" fontId="0" fillId="42" borderId="17" xfId="0" applyFont="1" applyFill="1" applyBorder="1" applyNumberFormat="1">
      <alignment horizontal="left" vertical="center" wrapText="1" indent="1"/>
      <protection locked="0"/>
    </xf>
    <xf numFmtId="168" fontId="23" fillId="42" borderId="14" xfId="0" applyFont="1" applyFill="1" applyBorder="1" applyNumberFormat="1">
      <alignment horizontal="left" vertical="center" wrapText="1" indent="1"/>
      <protection locked="0"/>
    </xf>
    <xf numFmtId="167" fontId="55" fillId="0" borderId="0" xfId="0" applyFont="1" applyNumberFormat="1">
      <alignment horizontal="center" vertical="center" wrapText="1"/>
    </xf>
    <xf numFmtId="165" fontId="23" fillId="0" borderId="19"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7" xfId="0" applyFont="1" applyBorder="1" applyNumberFormat="1">
      <alignment horizontal="center" vertical="center" wrapText="1"/>
    </xf>
    <xf numFmtId="165" fontId="23" fillId="0" borderId="15" xfId="0" applyFont="1" applyBorder="1" applyNumberFormat="1">
      <alignment horizontal="center" vertical="center" wrapText="1"/>
    </xf>
    <xf numFmtId="4" fontId="23" fillId="0" borderId="38" xfId="0" applyFont="1" applyBorder="1" applyNumberFormat="1">
      <alignment horizontal="center" vertical="center" wrapText="1"/>
    </xf>
    <xf numFmtId="165" fontId="23" fillId="0" borderId="25" xfId="0" applyFont="1" applyBorder="1" applyNumberFormat="1">
      <alignment horizontal="center" vertical="center" wrapText="1"/>
    </xf>
    <xf numFmtId="165" fontId="23" fillId="0" borderId="25"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25" xfId="0" applyFont="1" applyFill="1" applyBorder="1" applyNumberFormat="1">
      <alignment horizontal="left" vertical="center" wrapText="1" indent="1"/>
    </xf>
    <xf numFmtId="14" fontId="23" fillId="42" borderId="25" xfId="0" applyFont="1" applyFill="1" applyBorder="1" applyNumberFormat="1">
      <alignment horizontal="left" vertical="center" wrapText="1" indent="1"/>
      <protection locked="0"/>
    </xf>
    <xf numFmtId="0" fontId="23" fillId="0" borderId="31" xfId="0" applyFont="1" applyBorder="1" applyNumberFormat="1">
      <alignment horizontal="left" vertical="top" wrapText="1"/>
    </xf>
    <xf numFmtId="49" fontId="0" fillId="0" borderId="0" xfId="0" applyFont="1" applyNumberFormat="1">
      <alignment vertical="top"/>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left" vertical="center" wrapText="1" indent="1"/>
    </xf>
    <xf numFmtId="165" fontId="23" fillId="0" borderId="25" xfId="0" applyFont="1" applyBorder="1" applyNumberFormat="1">
      <alignment horizontal="center" vertical="center" wrapText="1"/>
    </xf>
    <xf numFmtId="0" fontId="23" fillId="0" borderId="25" xfId="0" applyFont="1" applyBorder="1" applyNumberFormat="1">
      <alignment horizontal="left" vertical="center" wrapText="1" indent="1"/>
    </xf>
    <xf numFmtId="14" fontId="23" fillId="0" borderId="25" xfId="0" applyFont="1" applyBorder="1" applyNumberFormat="1">
      <alignment horizontal="left" vertical="center" wrapText="1" indent="1"/>
    </xf>
    <xf numFmtId="0" fontId="45" fillId="0" borderId="0" xfId="0" applyFont="1" applyNumberFormat="1">
      <alignment horizontal="center" vertical="center" wrapText="1"/>
    </xf>
    <xf numFmtId="0" fontId="55" fillId="0" borderId="0" xfId="0" applyFont="1" applyNumberFormat="1">
      <alignment vertical="center"/>
    </xf>
    <xf numFmtId="0" fontId="23" fillId="38" borderId="14" xfId="0" applyFont="1" applyFill="1" applyBorder="1" applyNumberFormat="1">
      <alignment horizontal="left" vertical="center" wrapTex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0" borderId="16"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34" fillId="40" borderId="29" xfId="0" applyFont="1" applyFill="1" applyBorder="1" applyNumberFormat="1">
      <alignment horizontal="left" vertical="center" wrapText="1"/>
    </xf>
    <xf numFmtId="49" fontId="34" fillId="40" borderId="31" xfId="0" applyFont="1" applyFill="1" applyBorder="1" applyNumberFormat="1">
      <alignment horizontal="left" vertical="center" wrapText="1"/>
    </xf>
    <xf numFmtId="0" fontId="23" fillId="37" borderId="38" xfId="0" applyFont="1" applyFill="1" applyBorder="1" applyNumberFormat="1">
      <alignment vertical="center" wrapText="1"/>
    </xf>
    <xf numFmtId="0" fontId="55" fillId="0" borderId="0" xfId="0" applyFont="1" applyNumberFormat="1">
      <alignment horizontal="center"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14"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7" xfId="0" applyFont="1" applyBorder="1" applyNumberFormat="1">
      <alignment horizontal="left" vertical="center" wrapText="1"/>
    </xf>
    <xf numFmtId="0" fontId="50" fillId="0" borderId="0" xfId="0" applyFont="1" applyNumberFormat="1">
      <alignment horizontal="center" vertical="center" wrapText="1"/>
    </xf>
    <xf numFmtId="0" fontId="23" fillId="0" borderId="0" xfId="0" applyFont="1" applyNumberFormat="1">
      <alignment horizontal="center" vertical="center" wrapText="1"/>
    </xf>
    <xf numFmtId="165" fontId="53" fillId="0" borderId="21" xfId="0" applyFont="1" applyBorder="1" applyNumberFormat="1">
      <alignment horizontal="center" vertical="center" wrapText="1"/>
    </xf>
    <xf numFmtId="165" fontId="53" fillId="0" borderId="21" xfId="0" applyFont="1" applyBorder="1" applyNumberFormat="1">
      <alignment horizontal="center" vertical="center" wrapText="1"/>
    </xf>
    <xf numFmtId="165" fontId="53" fillId="0" borderId="22" xfId="0" applyFont="1" applyBorder="1" applyNumberFormat="1">
      <alignment horizontal="center" vertical="center" wrapText="1"/>
    </xf>
    <xf numFmtId="0" fontId="55" fillId="0" borderId="0" xfId="0" applyFont="1" applyNumberFormat="1">
      <alignment horizontal="center" vertical="center"/>
    </xf>
    <xf numFmtId="165" fontId="23" fillId="0" borderId="14" xfId="0" applyFont="1" applyBorder="1" applyNumberFormat="1">
      <alignment horizontal="center" vertical="center" wrapText="1"/>
    </xf>
    <xf numFmtId="165" fontId="23" fillId="0" borderId="38" xfId="0" applyFont="1" applyBorder="1" applyNumberFormat="1">
      <alignment horizontal="center" vertical="center" wrapText="1"/>
    </xf>
    <xf numFmtId="165" fontId="23" fillId="0" borderId="14" xfId="0" applyFont="1" applyBorder="1" applyNumberFormat="1">
      <alignment horizontal="center"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43" borderId="32" xfId="0" applyFont="1" applyFill="1" applyBorder="1" applyNumberFormat="1">
      <alignment horizontal="left" vertical="center" wrapText="1"/>
    </xf>
    <xf numFmtId="0" fontId="23" fillId="0" borderId="25" xfId="0" applyFont="1" applyBorder="1" applyNumberFormat="1">
      <alignment horizontal="center" vertical="center" wrapText="1"/>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23" fillId="0" borderId="14" xfId="0" applyFont="1" applyBorder="1" applyNumberFormat="1">
      <alignment horizontal="left" vertical="top" wrapText="1"/>
    </xf>
    <xf numFmtId="49" fontId="23" fillId="43" borderId="25" xfId="0" applyFont="1" applyFill="1" applyBorder="1" applyNumberFormat="1">
      <alignment horizontal="left" vertical="center" wrapText="1"/>
    </xf>
    <xf numFmtId="49" fontId="129" fillId="0" borderId="14" xfId="0" applyFont="1" applyBorder="1" applyNumberFormat="1">
      <alignment horizontal="left" vertical="top"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37" borderId="0" xfId="0" applyFont="1" applyFill="1" applyNumberFormat="1"/>
    <xf numFmtId="49" fontId="40"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xf>
    <xf numFmtId="0" fontId="51" fillId="37" borderId="0" xfId="0" applyFont="1" applyFill="1" applyNumberFormat="1">
      <alignment horizontal="center" vertical="center" wrapText="1"/>
    </xf>
    <xf numFmtId="0" fontId="40" fillId="37" borderId="0" xfId="0" applyFont="1" applyFill="1" applyNumberFormat="1"/>
    <xf numFmtId="0" fontId="23" fillId="37" borderId="14" xfId="0" applyFont="1" applyFill="1" applyBorder="1" applyNumberFormat="1">
      <alignment horizontal="center" vertical="center" wrapTex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top"/>
    </xf>
    <xf numFmtId="49" fontId="55" fillId="0" borderId="0" xfId="0" applyFont="1" applyNumberFormat="1">
      <alignment vertical="top"/>
    </xf>
    <xf numFmtId="49" fontId="23" fillId="0" borderId="0" xfId="0" applyFont="1" applyNumberFormat="1">
      <alignment vertical="top"/>
    </xf>
    <xf numFmtId="49" fontId="48" fillId="40" borderId="17" xfId="0" applyFont="1" applyFill="1" applyBorder="1" applyNumberFormat="1">
      <alignment horizontal="left" vertical="center"/>
    </xf>
    <xf numFmtId="49" fontId="52" fillId="40" borderId="17" xfId="0" applyFont="1" applyFill="1" applyBorder="1" applyNumberFormat="1">
      <alignment horizontal="center" vertical="top"/>
    </xf>
    <xf numFmtId="49" fontId="23" fillId="0" borderId="0" xfId="0" applyFont="1" applyNumberFormat="1">
      <alignment horizontal="left" vertical="top" wrapText="1"/>
    </xf>
    <xf numFmtId="49" fontId="23" fillId="0" borderId="0" xfId="0" applyFont="1" applyNumberFormat="1">
      <alignment vertical="top"/>
    </xf>
    <xf numFmtId="49" fontId="45" fillId="0" borderId="0" xfId="0" applyFont="1" applyNumberFormat="1">
      <alignment horizontal="center" vertical="center"/>
    </xf>
    <xf numFmtId="49" fontId="23" fillId="0" borderId="0" xfId="0" applyFont="1" applyNumberFormat="1">
      <alignment vertical="top"/>
    </xf>
    <xf numFmtId="0" fontId="45" fillId="37" borderId="0" xfId="0" applyFont="1" applyFill="1" applyNumberFormat="1">
      <alignment horizontal="center" vertical="center"/>
    </xf>
    <xf numFmtId="0" fontId="23" fillId="37" borderId="0" xfId="0" applyFont="1" applyFill="1" applyNumberFormat="1"/>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0" fontId="69" fillId="0" borderId="0" xfId="0" applyFont="1" applyNumberFormat="1"/>
    <xf numFmtId="0" fontId="23" fillId="0" borderId="14" xfId="0" applyFont="1" applyBorder="1" applyNumberFormat="1">
      <alignment horizontal="center" vertical="center" wrapText="1"/>
    </xf>
    <xf numFmtId="0" fontId="23" fillId="37" borderId="19" xfId="0" applyFont="1" applyFill="1" applyBorder="1" applyNumberFormat="1">
      <alignment horizontal="center" vertical="center"/>
    </xf>
    <xf numFmtId="49" fontId="23" fillId="0" borderId="19" xfId="0" applyFont="1" applyBorder="1" applyNumberFormat="1">
      <alignment horizontal="left"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49" fontId="53" fillId="0" borderId="0" xfId="0" applyFont="1" applyNumberFormat="1">
      <alignment horizontal="right" vertical="top"/>
    </xf>
    <xf numFmtId="49" fontId="23" fillId="0" borderId="0" xfId="0" applyFont="1" applyNumberFormat="1">
      <alignment horizontal="left" vertical="top" wrapText="1"/>
    </xf>
    <xf numFmtId="49" fontId="53" fillId="0" borderId="0" xfId="0" applyFont="1" applyNumberFormat="1">
      <alignment vertical="top"/>
    </xf>
    <xf numFmtId="0" fontId="23" fillId="0" borderId="0" xfId="0" applyFont="1" applyNumberFormat="1"/>
    <xf numFmtId="0" fontId="45" fillId="0" borderId="0" xfId="0" applyFont="1" applyNumberFormat="1">
      <alignment horizontal="center" vertical="center"/>
    </xf>
    <xf numFmtId="0" fontId="23" fillId="0" borderId="0" xfId="0" applyFont="1" applyNumberFormat="1"/>
    <xf numFmtId="49" fontId="23" fillId="0" borderId="14" xfId="0" applyFont="1" applyBorder="1" applyNumberFormat="1">
      <alignment horizontal="left" vertical="center" wrapText="1"/>
    </xf>
    <xf numFmtId="49" fontId="48" fillId="40" borderId="15" xfId="0" applyFont="1" applyFill="1" applyBorder="1" applyNumberFormat="1">
      <alignment horizontal="left" vertical="center"/>
    </xf>
    <xf numFmtId="49" fontId="0" fillId="0" borderId="17" xfId="0" applyFont="1" applyBorder="1" applyNumberFormat="1">
      <alignment horizontal="left" vertical="center" indent="1"/>
    </xf>
    <xf numFmtId="49" fontId="70" fillId="0" borderId="0" xfId="0" applyFont="1" applyNumberFormat="1">
      <alignment vertical="top"/>
    </xf>
    <xf numFmtId="49" fontId="0" fillId="0" borderId="27" xfId="0" applyFont="1" applyBorder="1" applyNumberFormat="1">
      <alignment horizontal="center" vertical="center"/>
    </xf>
    <xf numFmtId="49" fontId="0" fillId="0" borderId="0" xfId="0" applyFont="1" applyNumberFormat="1">
      <alignment vertical="top"/>
    </xf>
    <xf numFmtId="49" fontId="0" fillId="41" borderId="0" xfId="0" applyFont="1" applyFill="1" applyNumberFormat="1">
      <alignment vertical="top"/>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49" fontId="23" fillId="39" borderId="14" xfId="0" applyFont="1" applyFill="1" applyBorder="1" applyNumberFormat="1">
      <alignment horizontal="left" vertical="center" wrapText="1"/>
      <protection locked="0"/>
    </xf>
    <xf numFmtId="0" fontId="50" fillId="0" borderId="0" xfId="0" applyFont="1" applyNumberFormat="1">
      <alignment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54" fillId="0" borderId="0" xfId="0" applyFont="1" applyNumberFormat="1">
      <alignment horizontal="center" vertical="center" wrapText="1"/>
    </xf>
    <xf numFmtId="0" fontId="54" fillId="0" borderId="14" xfId="0" applyFont="1" applyBorder="1" applyNumberFormat="1">
      <alignment horizontal="center" vertical="center" wrapText="1"/>
    </xf>
    <xf numFmtId="14" fontId="23" fillId="43" borderId="14" xfId="0" applyFont="1" applyFill="1" applyBorder="1" applyNumberFormat="1">
      <alignment horizontal="left" vertical="center" wrapText="1" indent="1"/>
    </xf>
    <xf numFmtId="49" fontId="23" fillId="38" borderId="14" xfId="0" applyFont="1" applyFill="1" applyBorder="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0" fillId="0" borderId="0" xfId="0" applyFont="1" applyNumberFormat="1">
      <alignment vertical="center"/>
    </xf>
    <xf numFmtId="0" fontId="44" fillId="0" borderId="26" xfId="0" applyFont="1" applyBorder="1" applyNumberFormat="1">
      <alignment horizontal="center" vertical="center" wrapText="1"/>
    </xf>
    <xf numFmtId="14" fontId="86" fillId="0" borderId="19" xfId="0" applyFont="1" applyBorder="1" applyNumberFormat="1">
      <alignment horizontal="center" vertical="center" wrapText="1"/>
    </xf>
    <xf numFmtId="0" fontId="80" fillId="0" borderId="14" xfId="0" applyFont="1" applyBorder="1" applyNumberFormat="1">
      <alignment horizontal="left" vertical="center" wrapText="1" indent="1"/>
    </xf>
    <xf numFmtId="0" fontId="86"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0" fontId="79" fillId="0" borderId="0" xfId="0" applyFont="1" applyNumberFormat="1">
      <alignment vertical="center"/>
    </xf>
    <xf numFmtId="14" fontId="86" fillId="0" borderId="38" xfId="0" applyFont="1" applyBorder="1" applyNumberFormat="1">
      <alignment horizontal="center" vertical="center" wrapText="1"/>
    </xf>
    <xf numFmtId="0" fontId="80" fillId="0" borderId="14" xfId="0" applyFont="1" applyBorder="1" applyNumberFormat="1">
      <alignment horizontal="left" vertical="top" indent="1"/>
    </xf>
    <xf numFmtId="49" fontId="0" fillId="0" borderId="14" xfId="0" applyFont="1" applyBorder="1" applyNumberFormat="1">
      <alignment vertical="top"/>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0" fontId="44" fillId="0" borderId="14" xfId="0" applyFont="1" applyBorder="1" applyNumberFormat="1">
      <alignment horizontal="center" vertical="center" wrapText="1"/>
    </xf>
    <xf numFmtId="49" fontId="23" fillId="0" borderId="15"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23" fillId="43" borderId="16" xfId="0" applyFont="1" applyFill="1" applyBorder="1" applyNumberFormat="1">
      <alignment horizontal="left" vertical="center" wrapText="1"/>
    </xf>
    <xf numFmtId="49" fontId="0" fillId="0" borderId="14" xfId="0" applyFont="1" applyBorder="1" applyNumberFormat="1">
      <alignment vertical="top"/>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0" fillId="0" borderId="0" xfId="0" applyFont="1" applyNumberFormat="1">
      <alignment vertical="top"/>
    </xf>
    <xf numFmtId="49" fontId="23" fillId="0" borderId="0" xfId="0" applyFont="1" applyNumberFormat="1">
      <alignment vertical="top"/>
    </xf>
    <xf numFmtId="0" fontId="45" fillId="37" borderId="0" xfId="0" applyFont="1" applyFill="1" applyNumberFormat="1">
      <alignment vertical="top" wrapText="1"/>
    </xf>
    <xf numFmtId="0" fontId="23" fillId="37" borderId="16" xfId="0" applyFont="1" applyFill="1" applyBorder="1" applyNumberFormat="1">
      <alignment horizontal="center" vertical="center" wrapText="1"/>
    </xf>
    <xf numFmtId="0" fontId="55" fillId="37" borderId="14" xfId="0" applyFont="1" applyFill="1" applyBorder="1" applyNumberFormat="1">
      <alignment horizontal="center" vertical="center" wrapText="1"/>
    </xf>
    <xf numFmtId="14" fontId="23" fillId="43" borderId="31" xfId="0" applyFont="1" applyFill="1" applyBorder="1" applyNumberFormat="1">
      <alignment horizontal="left" vertical="center" wrapText="1"/>
    </xf>
    <xf numFmtId="49" fontId="127" fillId="42" borderId="14" xfId="0" applyFont="1" applyFill="1" applyBorder="1" applyNumberFormat="1">
      <alignment horizontal="left" vertical="center" wrapText="1"/>
      <protection locked="0"/>
    </xf>
    <xf numFmtId="49" fontId="0" fillId="0" borderId="14" xfId="0" applyFont="1" applyBorder="1" applyNumberFormat="1">
      <alignment horizontal="center" vertical="center" wrapText="1"/>
    </xf>
    <xf numFmtId="0" fontId="23" fillId="43" borderId="16" xfId="0" applyFont="1" applyFill="1" applyBorder="1" applyNumberFormat="1">
      <alignment horizontal="left" vertical="center" wrapText="1"/>
    </xf>
    <xf numFmtId="0" fontId="0" fillId="0" borderId="25" xfId="0" applyFont="1" applyBorder="1" applyNumberFormat="1">
      <alignment horizontal="center" vertical="center" wrapText="1"/>
    </xf>
    <xf numFmtId="49" fontId="23" fillId="0" borderId="0" xfId="0" applyFont="1" applyNumberFormat="1">
      <alignment vertical="top"/>
    </xf>
    <xf numFmtId="49" fontId="45" fillId="0" borderId="0" xfId="0" applyFont="1" applyNumberFormat="1">
      <alignment horizontal="center" vertical="center" wrapText="1"/>
    </xf>
    <xf numFmtId="167"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49"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45" fillId="0" borderId="26" xfId="0" applyFont="1" applyBorder="1" applyNumberFormat="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167" fontId="0" fillId="42" borderId="14" xfId="0" applyFont="1" applyFill="1" applyBorder="1" applyNumberFormat="1">
      <alignment horizontal="center" vertical="top" wrapText="1"/>
      <protection locked="0"/>
    </xf>
    <xf numFmtId="167"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0" fontId="23" fillId="39" borderId="14" xfId="0" applyFont="1" applyFill="1" applyBorder="1" applyNumberFormat="1">
      <alignment horizontal="left" vertical="top" wrapText="1"/>
      <protection locked="0"/>
    </xf>
    <xf numFmtId="49" fontId="23" fillId="43" borderId="14" xfId="0" applyFont="1" applyFill="1" applyBorder="1" applyNumberFormat="1">
      <alignment horizontal="center" vertical="top" wrapText="1"/>
    </xf>
    <xf numFmtId="0" fontId="23" fillId="0" borderId="38" xfId="0" applyFont="1" applyBorder="1" applyNumberFormat="1">
      <alignment horizontal="center" vertical="center" wrapText="1"/>
    </xf>
    <xf numFmtId="0" fontId="23" fillId="0" borderId="14" xfId="0" applyFont="1" applyBorder="1" applyNumberFormat="1">
      <alignment horizontal="center" vertical="center" wrapText="1"/>
    </xf>
    <xf numFmtId="49" fontId="23" fillId="42" borderId="19" xfId="0" applyFont="1" applyFill="1" applyBorder="1" applyNumberFormat="1">
      <alignment horizontal="left" vertical="center" wrapText="1" indent="1"/>
      <protection locked="0"/>
    </xf>
    <xf numFmtId="0" fontId="23" fillId="0" borderId="26" xfId="0" applyFont="1" applyBorder="1" applyNumberFormat="1">
      <alignment vertical="top" wrapText="1"/>
    </xf>
    <xf numFmtId="49" fontId="23" fillId="43" borderId="25" xfId="0" applyFont="1" applyFill="1" applyBorder="1" applyNumberFormat="1">
      <alignment horizontal="center" vertical="top" wrapText="1"/>
    </xf>
    <xf numFmtId="49" fontId="0" fillId="42"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6" xfId="0" applyFont="1" applyFill="1" applyBorder="1" applyNumberFormat="1">
      <alignment horizontal="center" vertical="top" wrapText="1"/>
    </xf>
    <xf numFmtId="49" fontId="23" fillId="0" borderId="38" xfId="0" applyFont="1" applyBorder="1" applyNumberFormat="1">
      <alignment horizontal="center" vertical="top" wrapText="1"/>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6" xfId="0" applyFont="1" applyBorder="1" applyNumberFormat="1">
      <alignment vertical="center" wrapText="1"/>
    </xf>
    <xf numFmtId="0" fontId="23" fillId="0" borderId="57" xfId="0" applyFont="1" applyBorder="1" applyNumberFormat="1">
      <alignment vertical="center" wrapText="1"/>
    </xf>
    <xf numFmtId="0" fontId="23" fillId="0" borderId="40" xfId="0" applyFont="1" applyBorder="1" applyNumberFormat="1">
      <alignment vertical="center" wrapText="1"/>
    </xf>
    <xf numFmtId="49" fontId="23" fillId="38" borderId="14" xfId="0" applyFont="1" applyFill="1" applyBorder="1" applyNumberFormat="1">
      <alignment horizontal="center"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23" fillId="43" borderId="16" xfId="0" applyFont="1" applyFill="1" applyBorder="1" applyNumberFormat="1">
      <alignment horizontal="center" vertical="center" wrapText="1"/>
    </xf>
    <xf numFmtId="49" fontId="110" fillId="40" borderId="45" xfId="0" applyFont="1" applyFill="1" applyBorder="1" applyNumberFormat="1">
      <alignment horizontal="left" vertical="center" indent="1"/>
    </xf>
    <xf numFmtId="49" fontId="99" fillId="40" borderId="45" xfId="0" applyFont="1" applyFill="1" applyBorder="1" applyNumberFormat="1">
      <alignment horizontal="center" vertical="center"/>
    </xf>
    <xf numFmtId="3" fontId="23" fillId="42" borderId="14" xfId="0" applyFont="1" applyFill="1" applyBorder="1" applyNumberFormat="1">
      <alignment horizontal="center" vertical="center" wrapText="1"/>
      <protection locked="0"/>
    </xf>
    <xf numFmtId="49" fontId="128" fillId="0" borderId="15" xfId="0" applyFont="1" applyBorder="1" applyNumberFormat="1">
      <alignment horizontal="center" vertical="center" wrapText="1"/>
    </xf>
    <xf numFmtId="0" fontId="53" fillId="0" borderId="14" xfId="0" applyFont="1" applyBorder="1" applyNumberFormat="1">
      <alignment horizontal="center" vertical="center"/>
    </xf>
    <xf numFmtId="49" fontId="23" fillId="43" borderId="19"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23" fillId="43" borderId="38" xfId="0" applyFont="1" applyFill="1" applyBorder="1" applyNumberFormat="1">
      <alignment horizontal="left" vertical="center" wrapText="1" indent="1"/>
    </xf>
    <xf numFmtId="49" fontId="23" fillId="38" borderId="14" xfId="0" applyFont="1" applyFill="1" applyBorder="1" applyNumberFormat="1">
      <alignment horizontal="left" vertical="center" wrapText="1"/>
    </xf>
    <xf numFmtId="49" fontId="128" fillId="0" borderId="0" xfId="0" applyFont="1" applyNumberFormat="1">
      <alignment horizontal="center" vertical="top" wrapText="1"/>
    </xf>
    <xf numFmtId="0" fontId="53" fillId="0" borderId="14" xfId="0" applyFont="1" applyBorder="1" applyNumberFormat="1">
      <alignment horizontal="center" vertical="center"/>
    </xf>
    <xf numFmtId="0" fontId="53" fillId="43" borderId="14" xfId="0" applyFont="1" applyFill="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43" borderId="25" xfId="0" applyFont="1" applyFill="1" applyBorder="1" applyNumberFormat="1">
      <alignment horizontal="left" vertical="center" wrapText="1" indent="1"/>
    </xf>
    <xf numFmtId="49" fontId="48" fillId="40" borderId="17" xfId="0" applyFont="1" applyFill="1" applyBorder="1" applyNumberFormat="1">
      <alignment horizontal="left" vertical="center" inden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49" fontId="23" fillId="38" borderId="77" xfId="0" applyFont="1" applyFill="1" applyBorder="1" applyNumberFormat="1">
      <alignment horizontal="center" vertical="center" wrapText="1"/>
    </xf>
    <xf numFmtId="0" fontId="0" fillId="40" borderId="52" xfId="0" applyFont="1" applyFill="1" applyBorder="1" applyNumberFormat="1">
      <alignment horizontal="left" vertical="center"/>
    </xf>
    <xf numFmtId="49" fontId="48" fillId="40" borderId="53" xfId="0" applyFont="1" applyFill="1" applyBorder="1" applyNumberFormat="1">
      <alignment horizontal="left" vertical="center" inden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0" fontId="23" fillId="40" borderId="55" xfId="0" applyFont="1" applyFill="1" applyBorder="1" applyNumberFormat="1">
      <alignment vertical="center" wrapText="1"/>
    </xf>
    <xf numFmtId="49" fontId="0" fillId="38" borderId="38" xfId="0" applyFont="1" applyFill="1" applyBorder="1" applyNumberFormat="1">
      <alignment vertical="top"/>
    </xf>
    <xf numFmtId="49" fontId="0" fillId="0" borderId="38" xfId="0" applyFont="1" applyBorder="1" applyNumberFormat="1">
      <alignment vertical="top"/>
    </xf>
    <xf numFmtId="49" fontId="23" fillId="43" borderId="19" xfId="0" applyFont="1" applyFill="1" applyBorder="1" applyNumberFormat="1">
      <alignment vertical="center" wrapText="1"/>
    </xf>
    <xf numFmtId="49" fontId="0" fillId="42" borderId="38" xfId="0" applyFont="1" applyFill="1" applyBorder="1" applyNumberFormat="1">
      <alignment vertical="top"/>
      <protection locked="0"/>
    </xf>
    <xf numFmtId="49" fontId="128" fillId="0" borderId="14" xfId="0" applyFont="1" applyBorder="1" applyNumberFormat="1">
      <alignment horizontal="center" vertical="center" wrapText="1"/>
    </xf>
    <xf numFmtId="49" fontId="0" fillId="42" borderId="19" xfId="0" applyFont="1" applyFill="1" applyBorder="1" applyNumberFormat="1">
      <alignment vertical="top"/>
      <protection locked="0"/>
    </xf>
    <xf numFmtId="14" fontId="23" fillId="43" borderId="38" xfId="0" applyFont="1" applyFill="1" applyBorder="1" applyNumberFormat="1">
      <alignment horizontal="left" vertical="center" wrapText="1" inden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0" fontId="53" fillId="0" borderId="15" xfId="0" applyFont="1" applyBorder="1" applyNumberFormat="1">
      <alignment horizontal="center" vertical="center"/>
    </xf>
    <xf numFmtId="0" fontId="108" fillId="0" borderId="49" xfId="0" applyFont="1" applyBorder="1" applyNumberFormat="1">
      <alignment horizontal="left" vertical="center" indent="1"/>
    </xf>
    <xf numFmtId="49" fontId="23" fillId="0" borderId="58" xfId="0" applyFont="1" applyBorder="1" applyNumberFormat="1">
      <alignment horizontal="center" vertical="center"/>
    </xf>
    <xf numFmtId="0" fontId="23" fillId="0" borderId="58" xfId="0" applyFont="1" applyBorder="1" applyNumberFormat="1">
      <alignment horizontal="right" vertical="center"/>
    </xf>
    <xf numFmtId="0" fontId="23" fillId="0" borderId="58"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49" fontId="0" fillId="0" borderId="0" xfId="0" applyFont="1" applyNumberFormat="1">
      <alignment vertical="top"/>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39" borderId="14" xfId="0" applyFont="1" applyFill="1" applyBorder="1" applyNumberFormat="1">
      <alignment horizontal="left" vertical="center"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9"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48" fillId="0" borderId="14" xfId="0" applyFont="1" applyBorder="1" applyNumberFormat="1">
      <alignment horizontal="left" vertical="center" indent="1"/>
    </xf>
    <xf numFmtId="0" fontId="54" fillId="0" borderId="0" xfId="0" applyFont="1" applyNumberFormat="1">
      <alignment horizontal="center" vertical="top"/>
    </xf>
    <xf numFmtId="49" fontId="23" fillId="0" borderId="25" xfId="0" applyFont="1" applyBorder="1" applyNumberFormat="1">
      <alignment horizontal="center" vertical="center" wrapText="1"/>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49" fontId="55" fillId="0" borderId="15" xfId="0" applyFont="1" applyBorder="1" applyNumberFormat="1">
      <alignment horizontal="left" vertical="center" indent="1"/>
    </xf>
    <xf numFmtId="0" fontId="55" fillId="0" borderId="14" xfId="0" applyFont="1" applyBorder="1" applyNumberFormat="1">
      <alignment horizontal="left" vertical="center" indent="1"/>
    </xf>
    <xf numFmtId="49" fontId="0" fillId="0" borderId="21" xfId="0" applyFont="1" applyBorder="1" applyNumberFormat="1">
      <alignment vertical="top"/>
    </xf>
    <xf numFmtId="49" fontId="45" fillId="0" borderId="19"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0" fillId="0" borderId="15" xfId="0" applyFont="1" applyBorder="1" applyNumberFormat="1">
      <alignment horizontal="center" vertical="center" wrapText="1"/>
    </xf>
    <xf numFmtId="0" fontId="0" fillId="0" borderId="14" xfId="0" applyFont="1" applyBorder="1" applyNumberFormat="1">
      <alignment horizontal="left" vertical="center" wrapText="1"/>
    </xf>
    <xf numFmtId="49" fontId="0" fillId="0" borderId="14" xfId="0" applyFont="1" applyBorder="1" applyNumberFormat="1">
      <alignment horizontal="center" vertical="center"/>
    </xf>
    <xf numFmtId="0" fontId="0" fillId="0" borderId="14" xfId="0" applyFont="1" applyBorder="1" applyNumberFormat="1">
      <alignment horizontal="center" vertical="center" wrapText="1"/>
    </xf>
    <xf numFmtId="4" fontId="0" fillId="38" borderId="14" xfId="0" applyFont="1" applyFill="1" applyBorder="1" applyNumberFormat="1">
      <alignment horizontal="right" vertical="center" wrapText="1"/>
    </xf>
    <xf numFmtId="49" fontId="23" fillId="0" borderId="38" xfId="0" applyFont="1" applyBorder="1" applyNumberFormat="1">
      <alignment horizontal="center" vertical="top" wrapText="1"/>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2" borderId="14" xfId="0" applyFont="1" applyFill="1" applyBorder="1" applyNumberFormat="1">
      <alignment horizontal="left" vertical="center" wrapText="1"/>
      <protection locked="0"/>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23" fillId="0" borderId="25" xfId="0" applyFont="1" applyBorder="1" applyNumberFormat="1">
      <alignment horizontal="center" vertical="top" wrapText="1"/>
    </xf>
    <xf numFmtId="49" fontId="23" fillId="42" borderId="14" xfId="0" applyFont="1" applyFill="1" applyBorder="1" applyNumberFormat="1">
      <alignment horizontal="left" vertical="center" wrapText="1" indent="1"/>
      <protection locked="0"/>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45" fillId="0" borderId="0" xfId="0" applyFont="1" applyNumberFormat="1">
      <alignment horizontal="center" vertical="center" wrapText="1"/>
    </xf>
    <xf numFmtId="0" fontId="0" fillId="0" borderId="14" xfId="0" applyFont="1" applyBorder="1" applyNumberFormat="1">
      <alignment horizontal="center" vertical="center"/>
    </xf>
    <xf numFmtId="0" fontId="23" fillId="43" borderId="14" xfId="0" applyFont="1" applyFill="1" applyBorder="1" applyNumberFormat="1">
      <alignment horizontal="left" vertical="top" wrapText="1"/>
    </xf>
    <xf numFmtId="49" fontId="23" fillId="39" borderId="14" xfId="0" applyFont="1" applyFill="1" applyBorder="1" applyNumberFormat="1">
      <alignment horizontal="left" vertical="center" wrapText="1"/>
      <protection locked="0"/>
    </xf>
    <xf numFmtId="0" fontId="0" fillId="43" borderId="14"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23"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0" fillId="0" borderId="14" xfId="0" applyFont="1" applyBorder="1" applyNumberFormat="1">
      <alignment vertical="top"/>
    </xf>
    <xf numFmtId="49" fontId="0" fillId="0" borderId="14" xfId="0" applyFont="1" applyBorder="1" applyNumberFormat="1">
      <alignment horizontal="left" vertical="top"/>
    </xf>
    <xf numFmtId="49" fontId="0" fillId="43" borderId="14" xfId="0" applyFont="1" applyFill="1" applyBorder="1" applyNumberFormat="1">
      <alignment horizontal="left" vertical="top"/>
    </xf>
    <xf numFmtId="49" fontId="0" fillId="39" borderId="14" xfId="0" applyFont="1" applyFill="1" applyBorder="1" applyNumberFormat="1">
      <alignment horizontal="left" vertical="top"/>
      <protection locked="0"/>
    </xf>
    <xf numFmtId="49" fontId="0" fillId="43" borderId="14" xfId="0" applyFont="1" applyFill="1" applyBorder="1" applyNumberFormat="1">
      <alignment horizontal="left" vertical="center" wrapText="1"/>
      <protection locked="0"/>
    </xf>
    <xf numFmtId="0" fontId="0" fillId="40" borderId="17" xfId="0" applyFont="1" applyFill="1" applyBorder="1" applyNumberFormat="1">
      <alignment vertical="center"/>
    </xf>
    <xf numFmtId="49" fontId="0" fillId="0" borderId="38" xfId="0" applyFont="1" applyBorder="1" applyNumberFormat="1">
      <alignment horizontal="left" vertical="top"/>
    </xf>
    <xf numFmtId="0" fontId="23" fillId="43" borderId="38" xfId="0" applyFont="1" applyFill="1" applyBorder="1" applyNumberFormat="1">
      <alignment horizontal="center" vertical="top" wrapText="1"/>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23" fillId="43" borderId="0" xfId="0" applyFont="1" applyFill="1" applyNumberFormat="1">
      <alignment horizontal="center" vertical="center" wrapText="1"/>
    </xf>
    <xf numFmtId="0" fontId="48" fillId="0" borderId="38" xfId="0" applyFont="1" applyBorder="1" applyNumberFormat="1">
      <alignment horizontal="left" vertical="center"/>
    </xf>
    <xf numFmtId="49" fontId="0" fillId="43" borderId="38" xfId="0" applyFont="1" applyFill="1" applyBorder="1" applyNumberFormat="1">
      <alignment horizontal="left" vertical="center" wrapText="1"/>
      <protection locked="0"/>
    </xf>
    <xf numFmtId="49" fontId="23" fillId="43" borderId="38" xfId="0" applyFont="1" applyFill="1" applyBorder="1" applyNumberFormat="1">
      <alignment horizontal="center" vertical="center" wrapText="1"/>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0" fontId="48" fillId="40" borderId="31" xfId="0" applyFont="1" applyFill="1" applyBorder="1" applyNumberFormat="1">
      <alignment horizontal="left" vertical="center"/>
    </xf>
    <xf numFmtId="49" fontId="0" fillId="0" borderId="0" xfId="0" applyFont="1" applyNumberFormat="1">
      <alignment vertical="top"/>
    </xf>
    <xf numFmtId="49" fontId="0" fillId="39" borderId="38" xfId="0" applyFont="1" applyFill="1" applyBorder="1" applyNumberFormat="1">
      <alignment vertical="top"/>
      <protection locked="0"/>
    </xf>
    <xf numFmtId="0" fontId="0" fillId="0" borderId="0" xfId="0" applyFont="1" applyNumberFormat="1">
      <alignment vertical="center"/>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0" fillId="0" borderId="24"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0" fontId="0" fillId="0" borderId="29" xfId="0" applyFont="1" applyBorder="1" applyNumberFormat="1">
      <alignment vertical="center"/>
    </xf>
    <xf numFmtId="49" fontId="23" fillId="0" borderId="38" xfId="0" applyFont="1" applyBorder="1" applyNumberFormat="1">
      <alignment horizontal="center" vertical="center"/>
    </xf>
    <xf numFmtId="49" fontId="23" fillId="0" borderId="38" xfId="0" applyFont="1" applyBorder="1" applyNumberFormat="1">
      <alignment vertical="center" wrapText="1"/>
    </xf>
    <xf numFmtId="0" fontId="23" fillId="0" borderId="26" xfId="0" applyFont="1" applyBorder="1" applyNumberFormat="1">
      <alignment horizontal="center" vertical="center"/>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45" fillId="0" borderId="38" xfId="0" applyFont="1" applyBorder="1" applyNumberFormat="1">
      <alignment vertical="center" wrapText="1"/>
    </xf>
    <xf numFmtId="0" fontId="23" fillId="43" borderId="19" xfId="0" applyFont="1" applyFill="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horizontal="left" vertical="center" wrapText="1"/>
    </xf>
    <xf numFmtId="0"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vertical="center" wrapText="1"/>
    </xf>
    <xf numFmtId="0" fontId="23" fillId="0" borderId="38" xfId="0" applyFont="1" applyBorder="1" applyNumberFormat="1">
      <alignment horizontal="left" vertical="center" wrapText="1"/>
    </xf>
    <xf numFmtId="49" fontId="23" fillId="0" borderId="38" xfId="0" applyFont="1" applyBorder="1" applyNumberFormat="1">
      <alignment horizontal="left" vertical="center" wrapText="1"/>
    </xf>
    <xf numFmtId="0" fontId="23" fillId="43" borderId="38" xfId="0" applyFont="1" applyFill="1" applyBorder="1" applyNumberFormat="1">
      <alignment horizontal="left" vertical="center" wrapText="1"/>
    </xf>
    <xf numFmtId="49" fontId="23" fillId="0" borderId="38" xfId="0" applyFont="1" applyBorder="1" applyNumberFormat="1">
      <alignment horizontal="center"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23" fillId="0" borderId="38" xfId="0" applyFont="1" applyBorder="1" applyNumberFormat="1">
      <alignment horizontal="center" vertical="center" wrapText="1"/>
    </xf>
    <xf numFmtId="0" fontId="48" fillId="40" borderId="39"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45" fillId="0" borderId="38" xfId="0" applyFont="1" applyBorder="1" applyNumberFormat="1">
      <alignment horizontal="center" vertical="center" wrapText="1"/>
    </xf>
    <xf numFmtId="0" fontId="48" fillId="40" borderId="39" xfId="0" applyFont="1" applyFill="1" applyBorder="1" applyNumberFormat="1">
      <alignment vertical="center"/>
    </xf>
    <xf numFmtId="0" fontId="48" fillId="0" borderId="38" xfId="0" applyFont="1" applyBorder="1" applyNumberFormat="1">
      <alignment horizontal="left" vertical="center"/>
    </xf>
    <xf numFmtId="49" fontId="23" fillId="39" borderId="19" xfId="0" applyFont="1" applyFill="1" applyBorder="1" applyNumberFormat="1">
      <alignment horizontal="left" vertical="center" wrapText="1"/>
      <protection locked="0"/>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0" borderId="21" xfId="0" applyFont="1" applyBorder="1" applyNumberFormat="1">
      <alignment horizontal="lef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49" fontId="100" fillId="0" borderId="14" xfId="0" applyFont="1" applyBorder="1" applyNumberFormat="1">
      <alignment vertical="top" wrapText="1"/>
    </xf>
    <xf numFmtId="49" fontId="96" fillId="0" borderId="14" xfId="0" applyFont="1" applyBorder="1" applyNumberFormat="1">
      <alignment horizontal="center" vertical="top" wrapText="1"/>
    </xf>
    <xf numFmtId="49" fontId="96" fillId="34" borderId="14" xfId="0" applyFont="1" applyFill="1" applyBorder="1" applyNumberFormat="1">
      <alignment horizontal="center" vertical="top"/>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0" fontId="100" fillId="0" borderId="14" xfId="0" applyFont="1" applyBorder="1" applyNumberFormat="1">
      <alignment vertical="top" wrapText="1"/>
    </xf>
    <xf numFmtId="49" fontId="100" fillId="0" borderId="0" xfId="0" applyFont="1" applyNumberFormat="1">
      <alignment vertical="top" wrapText="1"/>
    </xf>
    <xf numFmtId="49" fontId="100" fillId="0" borderId="0" xfId="0" applyFont="1" applyNumberFormat="1">
      <alignment vertical="top"/>
    </xf>
    <xf numFmtId="49" fontId="100" fillId="0" borderId="0" xfId="0" applyFont="1" applyNumberFormat="1">
      <alignment horizontal="center" vertical="top" wrapText="1"/>
    </xf>
    <xf numFmtId="49" fontId="100" fillId="0" borderId="14" xfId="0" applyFont="1" applyBorder="1" applyNumberFormat="1">
      <alignment horizontal="center" vertical="top" wrapText="1"/>
    </xf>
    <xf numFmtId="49" fontId="100" fillId="0" borderId="14" xfId="0" applyFont="1" applyBorder="1" applyNumberFormat="1">
      <alignment horizontal="center" vertical="top" wrapText="1"/>
    </xf>
    <xf numFmtId="49" fontId="100" fillId="34" borderId="14" xfId="0" applyFont="1" applyFill="1" applyBorder="1" applyNumberFormat="1">
      <alignment horizontal="center" vertical="top" wrapText="1"/>
    </xf>
    <xf numFmtId="49" fontId="96" fillId="34" borderId="14" xfId="0" applyFont="1" applyFill="1" applyBorder="1" applyNumberFormat="1">
      <alignment horizontal="center" vertical="top" wrapText="1"/>
    </xf>
    <xf numFmtId="49" fontId="100" fillId="0" borderId="14" xfId="0" applyFont="1" applyBorder="1" applyNumberFormat="1">
      <alignment horizontal="left" vertical="top" wrapText="1"/>
    </xf>
    <xf numFmtId="0" fontId="96" fillId="34" borderId="14" xfId="0" applyFont="1" applyFill="1" applyBorder="1" applyNumberFormat="1">
      <alignment horizontal="center" vertical="top" wrapText="1"/>
    </xf>
    <xf numFmtId="0" fontId="100" fillId="34" borderId="14" xfId="0" applyFont="1" applyFill="1" applyBorder="1" applyNumberFormat="1">
      <alignment horizontal="right" vertical="center"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0" fontId="100" fillId="0" borderId="14" xfId="0" applyFont="1" applyBorder="1" applyNumberFormat="1">
      <alignment horizontal="left" vertical="top" wrapText="1"/>
    </xf>
    <xf numFmtId="49" fontId="100" fillId="34" borderId="14" xfId="0" applyFont="1" applyFill="1" applyBorder="1" applyNumberFormat="1">
      <alignment horizontal="left" vertical="top" wrapText="1"/>
    </xf>
    <xf numFmtId="0" fontId="100" fillId="34" borderId="14" xfId="0" applyFont="1" applyFill="1" applyBorder="1" applyNumberFormat="1">
      <alignment horizontal="center" vertical="center" wrapText="1"/>
    </xf>
    <xf numFmtId="0" fontId="100" fillId="34" borderId="14" xfId="0" applyFont="1" applyFill="1" applyBorder="1" applyNumberFormat="1">
      <alignment horizontal="center" vertical="center"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19" xfId="0" applyFont="1" applyBorder="1" applyNumberFormat="1">
      <alignment horizontal="center" vertical="top" wrapText="1"/>
    </xf>
    <xf numFmtId="0" fontId="100" fillId="0" borderId="19" xfId="0" applyFont="1" applyBorder="1" applyNumberFormat="1">
      <alignment horizontal="left" vertical="top" wrapText="1"/>
    </xf>
    <xf numFmtId="49" fontId="100" fillId="0" borderId="39" xfId="0" applyFont="1" applyBorder="1" applyNumberFormat="1">
      <alignment horizontal="center" vertical="top" wrapText="1"/>
    </xf>
    <xf numFmtId="49" fontId="100" fillId="0" borderId="39" xfId="0" applyFont="1" applyBorder="1" applyNumberFormat="1">
      <alignment horizontal="center" vertical="top" wrapText="1"/>
    </xf>
    <xf numFmtId="0" fontId="100" fillId="0" borderId="15" xfId="0" applyFont="1" applyBorder="1" applyNumberFormat="1">
      <alignment horizontal="left" vertical="top" wrapText="1"/>
    </xf>
    <xf numFmtId="49" fontId="100" fillId="0" borderId="25"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24" xfId="0" applyFont="1" applyBorder="1" applyNumberFormat="1">
      <alignment horizontal="center" vertical="top" wrapText="1"/>
    </xf>
    <xf numFmtId="0" fontId="100" fillId="0" borderId="19" xfId="0" applyFont="1" applyBorder="1" applyNumberFormat="1">
      <alignment vertical="top" wrapText="1"/>
    </xf>
    <xf numFmtId="49" fontId="96" fillId="0" borderId="14" xfId="0" applyFont="1" applyBorder="1" applyNumberFormat="1">
      <alignment horizontal="left" vertical="top" wrapText="1"/>
    </xf>
    <xf numFmtId="0" fontId="96" fillId="0" borderId="16" xfId="0" applyFont="1" applyBorder="1" applyNumberFormat="1">
      <alignment horizontal="center" vertical="center" wrapText="1"/>
    </xf>
    <xf numFmtId="0" fontId="96" fillId="0" borderId="16" xfId="0" applyFont="1" applyBorder="1" applyNumberFormat="1">
      <alignment horizontal="center" vertical="center"/>
    </xf>
    <xf numFmtId="49" fontId="96" fillId="0" borderId="14" xfId="0" applyFont="1" applyBorder="1" applyNumberFormat="1">
      <alignment horizontal="center" vertical="center" wrapText="1"/>
    </xf>
    <xf numFmtId="0" fontId="96" fillId="0" borderId="14" xfId="0" applyFont="1" applyBorder="1" applyNumberFormat="1">
      <alignment vertical="center" wrapText="1"/>
    </xf>
    <xf numFmtId="49" fontId="100" fillId="0" borderId="16" xfId="0" applyFont="1" applyBorder="1" applyNumberFormat="1">
      <alignment horizontal="left" vertical="top" wrapText="1"/>
    </xf>
    <xf numFmtId="0" fontId="96" fillId="0" borderId="14" xfId="0" applyFont="1" applyBorder="1" applyNumberFormat="1">
      <alignment horizontal="center"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100" fillId="0" borderId="32" xfId="0" applyFont="1" applyBorder="1" applyNumberFormat="1">
      <alignment horizontal="left" vertical="top" wrapText="1"/>
    </xf>
    <xf numFmtId="49" fontId="100" fillId="0" borderId="15" xfId="0" applyFont="1" applyBorder="1" applyNumberFormat="1">
      <alignment horizontal="left" vertical="top"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38" xfId="0" applyFont="1" applyBorder="1" applyNumberFormat="1">
      <alignment horizontal="left" vertical="top" wrapText="1"/>
    </xf>
    <xf numFmtId="0" fontId="100" fillId="0" borderId="38" xfId="0" applyFont="1" applyBorder="1" applyNumberFormat="1">
      <alignment horizontal="left" vertical="top" wrapText="1"/>
    </xf>
    <xf numFmtId="49" fontId="100" fillId="0" borderId="0" xfId="0" applyFont="1" applyNumberFormat="1">
      <alignment horizontal="left" vertical="top" wrapText="1"/>
    </xf>
    <xf numFmtId="49" fontId="100" fillId="34" borderId="0" xfId="0" applyFont="1" applyFill="1" applyNumberFormat="1">
      <alignment horizontal="left" vertical="top" wrapText="1"/>
    </xf>
    <xf numFmtId="0" fontId="100" fillId="0" borderId="0" xfId="0" applyFont="1" applyNumberFormat="1">
      <alignment vertical="top" wrapText="1"/>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0" fontId="0" fillId="0" borderId="0" xfId="0" applyFont="1" applyNumberFormat="1">
      <alignment horizontal="left" vertical="center"/>
    </xf>
    <xf numFmtId="0" fontId="0" fillId="37" borderId="14" xfId="0" applyFont="1" applyFill="1" applyBorder="1" applyNumberFormat="1">
      <alignment horizontal="right" vertical="center" wrapText="1" indent="1"/>
    </xf>
    <xf numFmtId="0" fontId="0" fillId="0" borderId="16" xfId="0" applyFont="1" applyBorder="1" applyNumberFormat="1">
      <alignment vertical="center"/>
    </xf>
    <xf numFmtId="0" fontId="23" fillId="0" borderId="0" xfId="0" applyFont="1" applyNumberFormat="1">
      <alignment horizontal="left" vertical="center" wrapText="1"/>
    </xf>
    <xf numFmtId="0" fontId="23" fillId="0" borderId="0" xfId="0" applyFont="1" applyNumberFormat="1">
      <alignment horizontal="righ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 fontId="23" fillId="38" borderId="14" xfId="0" applyFont="1" applyFill="1" applyBorder="1" applyNumberFormat="1">
      <alignment horizontal="left"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indent="6"/>
      <protection locked="0"/>
    </xf>
    <xf numFmtId="167" fontId="0" fillId="42" borderId="14" xfId="0" applyFont="1" applyFill="1" applyBorder="1" applyNumberFormat="1">
      <alignment horizontal="center" vertical="center" wrapText="1"/>
      <protection locked="0"/>
    </xf>
    <xf numFmtId="49" fontId="23" fillId="0" borderId="14" xfId="0" applyFont="1" applyBorder="1" applyNumberFormat="1">
      <alignment horizontal="left" vertical="center" wrapText="1"/>
    </xf>
    <xf numFmtId="49" fontId="106" fillId="40" borderId="16" xfId="0" applyFont="1" applyFill="1" applyBorder="1" applyNumberFormat="1">
      <alignment horizontal="left" vertical="center"/>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54" fillId="0" borderId="0" xfId="0" applyFont="1" applyNumberFormat="1">
      <alignment horizontal="left" vertical="center"/>
    </xf>
    <xf numFmtId="49" fontId="40" fillId="0" borderId="0" xfId="0" applyFont="1" applyNumberFormat="1">
      <alignment vertical="top"/>
    </xf>
    <xf numFmtId="49" fontId="0" fillId="0" borderId="26" xfId="0" applyFont="1" applyBorder="1" applyNumberFormat="1">
      <alignment vertical="top"/>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0" fillId="0" borderId="0" xfId="0" applyFont="1" applyNumberFormat="1">
      <alignment vertical="top"/>
    </xf>
    <xf numFmtId="49" fontId="54" fillId="0" borderId="0" xfId="0" applyFont="1" applyNumberFormat="1">
      <alignment horizontal="left" vertical="center"/>
    </xf>
    <xf numFmtId="49" fontId="54" fillId="0" borderId="0" xfId="0" applyFont="1" applyNumberFormat="1">
      <alignment horizontal="left" vertical="top"/>
    </xf>
    <xf numFmtId="49" fontId="72" fillId="40" borderId="16" xfId="0" applyFont="1" applyFill="1" applyBorder="1" applyNumberFormat="1">
      <alignment horizontal="left" vertical="top"/>
    </xf>
    <xf numFmtId="49" fontId="114" fillId="40" borderId="17" xfId="0" applyFont="1" applyFill="1" applyBorder="1" applyNumberFormat="1">
      <alignment horizontal="left" vertical="center"/>
    </xf>
    <xf numFmtId="49" fontId="55" fillId="0" borderId="0" xfId="0" applyFont="1" applyNumberFormat="1">
      <alignment vertical="top"/>
    </xf>
    <xf numFmtId="0" fontId="23" fillId="0" borderId="0" xfId="0" applyFont="1" applyNumberFormat="1">
      <alignment horizontal="left" vertical="top" wrapText="1"/>
    </xf>
    <xf numFmtId="49" fontId="23" fillId="0" borderId="0" xfId="0" applyFont="1" applyNumberFormat="1">
      <alignment vertical="center" wrapText="1"/>
    </xf>
    <xf numFmtId="49" fontId="0" fillId="0" borderId="0" xfId="0" applyFont="1" applyNumberFormat="1">
      <alignment vertical="top"/>
    </xf>
    <xf numFmtId="49" fontId="0" fillId="0" borderId="14" xfId="0" applyFont="1" applyBorder="1" applyNumberFormat="1">
      <alignment vertical="top"/>
    </xf>
    <xf numFmtId="49" fontId="0" fillId="0" borderId="16" xfId="0" applyFont="1" applyBorder="1" applyNumberFormat="1">
      <alignment vertical="top"/>
    </xf>
    <xf numFmtId="49" fontId="0" fillId="0" borderId="14" xfId="0" applyFont="1" applyBorder="1" applyNumberFormat="1">
      <alignment horizontal="center"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45" borderId="19" xfId="0" applyFont="1" applyFill="1" applyBorder="1" applyNumberFormat="1">
      <alignment vertical="top"/>
    </xf>
    <xf numFmtId="49" fontId="0" fillId="0" borderId="16" xfId="0" applyFont="1" applyBorder="1" applyNumberFormat="1">
      <alignment horizontal="center" vertical="top"/>
    </xf>
    <xf numFmtId="49" fontId="0" fillId="46" borderId="14" xfId="0" applyFont="1" applyFill="1" applyBorder="1" applyNumberFormat="1">
      <alignment vertical="top"/>
    </xf>
    <xf numFmtId="49" fontId="0" fillId="0" borderId="17" xfId="0" applyFont="1" applyBorder="1" applyNumberFormat="1">
      <alignment horizontal="center" vertical="top"/>
    </xf>
    <xf numFmtId="49" fontId="0" fillId="3" borderId="14" xfId="0" applyFont="1" applyFill="1" applyBorder="1" applyNumberFormat="1">
      <alignment vertical="top"/>
    </xf>
    <xf numFmtId="49" fontId="0" fillId="47" borderId="14" xfId="0" applyFont="1" applyFill="1" applyBorder="1" applyNumberFormat="1">
      <alignment vertical="top"/>
    </xf>
    <xf numFmtId="49" fontId="0" fillId="16" borderId="19" xfId="0" applyFont="1" applyFill="1" applyBorder="1" applyNumberFormat="1">
      <alignment vertical="top"/>
    </xf>
    <xf numFmtId="49" fontId="0" fillId="5" borderId="16" xfId="0" applyFont="1" applyFill="1" applyBorder="1" applyNumberFormat="1">
      <alignment vertical="top"/>
    </xf>
    <xf numFmtId="49" fontId="0" fillId="5" borderId="14" xfId="0" applyFont="1" applyFill="1" applyBorder="1" applyNumberFormat="1">
      <alignment vertical="top"/>
    </xf>
    <xf numFmtId="49" fontId="0" fillId="16" borderId="14"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xf numFmtId="0" fontId="1" fillId="0" borderId="0" xfId="0" applyFont="1" applyNumberFormat="1"/>
    <xf numFmtId="0" fontId="38" fillId="0" borderId="0" xfId="0" applyFont="1" applyNumberFormat="1"/>
    <xf numFmtId="0" fontId="38" fillId="0" borderId="0" xfId="0" applyFont="1" applyNumberFormat="1"/>
    <xf numFmtId="49" fontId="23" fillId="38" borderId="12" xfId="0" applyFont="1" applyFill="1" applyBorder="1" applyNumberFormat="1">
      <alignment horizontal="center" vertical="top"/>
    </xf>
    <xf numFmtId="49" fontId="0" fillId="0" borderId="0" xfId="0" applyFont="1" applyNumberFormat="1">
      <alignment vertical="top"/>
    </xf>
    <xf numFmtId="49" fontId="46" fillId="0" borderId="13" xfId="0" applyFont="1" applyBorder="1" applyNumberFormat="1">
      <alignment vertical="top" wrapText="1"/>
    </xf>
    <xf numFmtId="0" fontId="0" fillId="0" borderId="13" xfId="0" applyFont="1" applyBorder="1" applyNumberFormat="1">
      <alignment vertical="top" wrapText="1"/>
    </xf>
    <xf numFmtId="0" fontId="22" fillId="0" borderId="20" xfId="0" applyFont="1" applyBorder="1" applyNumberFormat="1">
      <alignment vertical="top" wrapText="1"/>
    </xf>
    <xf numFmtId="0" fontId="0" fillId="0" borderId="0" xfId="0" applyFont="1" applyNumberFormat="1">
      <alignment vertical="top"/>
    </xf>
    <xf numFmtId="0" fontId="0" fillId="0" borderId="14" xfId="0" applyFont="1" applyBorder="1" applyNumberFormat="1">
      <alignment vertical="top" wrapText="1"/>
    </xf>
    <xf numFmtId="49" fontId="0" fillId="0" borderId="14" xfId="0" applyFont="1" applyBorder="1" applyNumberFormat="1">
      <alignment vertical="top" wrapText="1"/>
    </xf>
    <xf numFmtId="49" fontId="0" fillId="0" borderId="19" xfId="0" applyFont="1" applyBorder="1" applyNumberFormat="1">
      <alignment vertical="top"/>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xf numFmtId="49" fontId="0" fillId="0" borderId="0" xfId="0" applyFont="1" applyNumberFormat="1">
      <alignment vertical="top"/>
    </xf>
  </cellXfs>
  <cellStyles count="11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ells 2" xfId="51"/>
    <cellStyle name="currency1" xfId="52"/>
    <cellStyle name="Currency2" xfId="53"/>
    <cellStyle name="currency3" xfId="54"/>
    <cellStyle name="currency4" xfId="55"/>
    <cellStyle name="Followed Hyperlink" xfId="56"/>
    <cellStyle name="Header 3" xfId="57"/>
    <cellStyle name="Hyperlink" xfId="58" builtinId="8"/>
    <cellStyle name="Normal1" xfId="59"/>
    <cellStyle name="Normal2" xfId="53"/>
    <cellStyle name="Percent1" xfId="53"/>
    <cellStyle name="Title 4" xfId="60"/>
    <cellStyle name="Ввод  2" xfId="61"/>
    <cellStyle name="Гиперссылка 2" xfId="62"/>
    <cellStyle name="Гиперссылка 2 2" xfId="63"/>
    <cellStyle name="Гиперссылка 3" xfId="64"/>
    <cellStyle name="Гиперссылка 4" xfId="65"/>
    <cellStyle name="Гиперссылка 5" xfId="66"/>
    <cellStyle name="Заголовок" xfId="67"/>
    <cellStyle name="ЗаголовокСтолбца" xfId="68"/>
    <cellStyle name="Значение" xfId="69"/>
    <cellStyle name="Обычный 10" xfId="70"/>
    <cellStyle name="Обычный 12" xfId="71"/>
    <cellStyle name="Обычный 12 2" xfId="72"/>
    <cellStyle name="Обычный 14" xfId="71"/>
    <cellStyle name="Обычный 14 2" xfId="71"/>
    <cellStyle name="Обычный 14 3" xfId="71"/>
    <cellStyle name="Обычный 14 4" xfId="71"/>
    <cellStyle name="Обычный 15" xfId="71"/>
    <cellStyle name="Обычный 2" xfId="73"/>
    <cellStyle name="Обычный 2 10 2" xfId="74"/>
    <cellStyle name="Обычный 2 2" xfId="75"/>
    <cellStyle name="Обычный 2 3" xfId="72"/>
    <cellStyle name="Обычный 2 4" xfId="76"/>
    <cellStyle name="Обычный 2 5" xfId="74"/>
    <cellStyle name="Обычный 20" xfId="77"/>
    <cellStyle name="Обычный 21" xfId="77"/>
    <cellStyle name="Обычный 22" xfId="77"/>
    <cellStyle name="Обычный 23" xfId="77"/>
    <cellStyle name="Обычный 3" xfId="70"/>
    <cellStyle name="Обычный 3 2" xfId="76"/>
    <cellStyle name="Обычный 3 3" xfId="78"/>
    <cellStyle name="Обычный 3 4" xfId="74"/>
    <cellStyle name="Обычный 4" xfId="79"/>
    <cellStyle name="Обычный 5" xfId="76"/>
    <cellStyle name="Обычный 6" xfId="76"/>
    <cellStyle name="Обычный 7" xfId="71"/>
    <cellStyle name="Обычный_BALANCE.WARM.2007YEAR(FACT)" xfId="7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sharedStrings" Target="sharedStrings.xml"/><Relationship Id="rId9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hyperlink" Target="https://www.unipro.energy/activities/tariff/warm/shaturskaya/2024/" TargetMode="External"/><Relationship Id="rId3" Type="http://schemas.openxmlformats.org/officeDocument/2006/relationships/hyperlink" Target="https://portal.eias.ru/Portal/DownloadPage.aspx?type=12&amp;guid=8aed9864-b387-4de7-8489-111e1522b5ca" TargetMode="External"/><Relationship Id="rId4" Type="http://schemas.openxmlformats.org/officeDocument/2006/relationships/hyperlink" Target="https://portal.eias.ru/Portal/DownloadPage.aspx?type=12&amp;guid=cc9aab10-8593-4f8e-b3fb-41354e8eaef9" TargetMode="External"/><Relationship Id="rId5" Type="http://schemas.openxmlformats.org/officeDocument/2006/relationships/hyperlink" Target="https://portal.eias.ru/Portal/DownloadPage.aspx?type=12&amp;guid=33163908-1583-423f-826c-d846b5ca9deb" TargetMode="Externa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02D00B-7191-85C6-5C18-784CF23870E9}"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8280" width="5.421875" customWidth="1"/>
    <col min="2" max="2" style="18280" width="9.140625" customWidth="1"/>
    <col min="3" max="3" style="18280" width="16.421875" customWidth="1"/>
    <col min="4" max="25" style="18280" width="6.28125" customWidth="1"/>
    <col min="26" max="28" style="18280" width="11.00390625"/>
  </cols>
  <sheetData>
    <row customHeight="1" ht="15.75">
      <c r="A1" s="2066"/>
      <c r="B1" s="2067"/>
      <c r="C1" s="2067"/>
      <c r="D1" s="2067"/>
      <c r="E1" s="2067"/>
      <c r="F1" s="2067"/>
      <c r="G1" s="2067"/>
      <c r="H1" s="2067"/>
      <c r="I1" s="2067"/>
      <c r="J1" s="2067"/>
      <c r="K1" s="2067"/>
      <c r="L1" s="2067"/>
      <c r="M1" s="2067"/>
      <c r="N1" s="2067"/>
      <c r="O1" s="2067"/>
      <c r="P1" s="2067"/>
      <c r="Q1" s="2067"/>
      <c r="R1" s="2067"/>
      <c r="S1" s="2067"/>
      <c r="T1" s="2067"/>
      <c r="U1" s="2067"/>
      <c r="V1" s="2067"/>
      <c r="W1" s="2067"/>
      <c r="X1" s="2067"/>
      <c r="Y1" s="2068"/>
      <c r="Z1" s="2067"/>
      <c r="AA1" s="2069" t="s">
        <v>0</v>
      </c>
      <c r="AB1" s="2067"/>
    </row>
    <row customHeight="1" ht="17.25">
      <c r="A2" s="2067"/>
      <c r="B2" s="2362" t="s">
        <v>1</v>
      </c>
      <c r="C2" s="2362"/>
      <c r="D2" s="2362"/>
      <c r="E2" s="2362"/>
      <c r="F2" s="2362"/>
      <c r="G2" s="2362"/>
      <c r="H2" s="2362"/>
      <c r="I2" s="2362"/>
      <c r="J2" s="2362"/>
      <c r="K2" s="2362"/>
      <c r="L2" s="2362"/>
      <c r="M2" s="2362"/>
      <c r="N2" s="2362"/>
      <c r="O2" s="2362"/>
      <c r="P2" s="2362"/>
      <c r="Q2" s="2071"/>
      <c r="R2" s="2071"/>
      <c r="S2" s="2071"/>
      <c r="T2" s="2071"/>
      <c r="U2" s="2071"/>
      <c r="V2" s="2072"/>
      <c r="W2" s="2071"/>
      <c r="X2" s="2071"/>
      <c r="Y2" s="2068"/>
      <c r="Z2" s="2067"/>
      <c r="AA2" s="2069"/>
      <c r="AB2" s="2067"/>
    </row>
    <row customHeight="1" ht="15.75">
      <c r="A3" s="2067"/>
      <c r="B3" s="2363" t="s">
        <v>2</v>
      </c>
      <c r="C3" s="2363"/>
      <c r="D3" s="2363"/>
      <c r="E3" s="2363"/>
      <c r="F3" s="2363"/>
      <c r="G3" s="2363"/>
      <c r="H3" s="2363"/>
      <c r="I3" s="2363"/>
      <c r="J3" s="2363"/>
      <c r="K3" s="2363"/>
      <c r="L3" s="2363"/>
      <c r="M3" s="2363"/>
      <c r="N3" s="2363"/>
      <c r="O3" s="2363"/>
      <c r="P3" s="2363"/>
      <c r="Q3" s="2072"/>
      <c r="R3" s="2072"/>
      <c r="S3" s="2071"/>
      <c r="T3" s="2071"/>
      <c r="U3" s="2071"/>
      <c r="V3" s="2072"/>
      <c r="W3" s="2072"/>
      <c r="X3" s="2072"/>
      <c r="Y3" s="2072"/>
      <c r="Z3" s="2067"/>
      <c r="AA3" s="2069"/>
      <c r="AB3" s="2067"/>
    </row>
    <row customHeight="1" ht="17.25">
      <c r="A4" s="2067"/>
      <c r="B4" s="2073"/>
      <c r="C4" s="2067"/>
      <c r="D4" s="2072"/>
      <c r="E4" s="2072"/>
      <c r="F4" s="2072"/>
      <c r="G4" s="2072"/>
      <c r="H4" s="2072"/>
      <c r="I4" s="2072"/>
      <c r="J4" s="2072"/>
      <c r="K4" s="2072"/>
      <c r="L4" s="2072"/>
      <c r="M4" s="2072"/>
      <c r="N4" s="2072"/>
      <c r="O4" s="2072"/>
      <c r="P4" s="2072"/>
      <c r="Q4" s="2072"/>
      <c r="R4" s="2072"/>
      <c r="S4" s="2072"/>
      <c r="T4" s="2072"/>
      <c r="U4" s="2072"/>
      <c r="V4" s="2072"/>
      <c r="W4" s="2072"/>
      <c r="X4" s="2072"/>
      <c r="Y4" s="2072"/>
      <c r="Z4" s="2067"/>
      <c r="AA4" s="2069"/>
      <c r="AB4" s="2067"/>
    </row>
    <row customHeight="1" ht="22.5">
      <c r="A5" s="2074"/>
      <c r="B5" s="2364" t="str">
        <f>IF(TEMPLATE_SPHERE="","Информация, подлежащая раскрытию регулируемыми организациями",Титульный!E5)</f>
        <v>Показатели, подлежащие раскрытию в сфере горячего водоснабжения (цены и тарифы)</v>
      </c>
      <c r="C5" s="2365"/>
      <c r="D5" s="2365"/>
      <c r="E5" s="2365"/>
      <c r="F5" s="2365"/>
      <c r="G5" s="2365"/>
      <c r="H5" s="2365"/>
      <c r="I5" s="2365"/>
      <c r="J5" s="2365"/>
      <c r="K5" s="2365"/>
      <c r="L5" s="2365"/>
      <c r="M5" s="2365"/>
      <c r="N5" s="2365"/>
      <c r="O5" s="2365"/>
      <c r="P5" s="2365"/>
      <c r="Q5" s="2365"/>
      <c r="R5" s="2365"/>
      <c r="S5" s="2365"/>
      <c r="T5" s="2365"/>
      <c r="U5" s="2365"/>
      <c r="V5" s="2365"/>
      <c r="W5" s="2365"/>
      <c r="X5" s="2365"/>
      <c r="Y5" s="2366"/>
      <c r="Z5" s="2074"/>
      <c r="AA5" s="2069"/>
      <c r="AB5" s="2074"/>
    </row>
    <row customHeight="1" ht="15">
      <c r="A6" s="2075"/>
      <c r="B6" s="2354" t="s">
        <v>3</v>
      </c>
      <c r="C6" s="2357"/>
      <c r="D6" s="2076"/>
      <c r="E6" s="2076"/>
      <c r="F6" s="2076"/>
      <c r="G6" s="2076"/>
      <c r="H6" s="2076"/>
      <c r="I6" s="2076"/>
      <c r="J6" s="2076"/>
      <c r="K6" s="2076"/>
      <c r="L6" s="2076"/>
      <c r="M6" s="2076"/>
      <c r="N6" s="2076"/>
      <c r="O6" s="2076"/>
      <c r="P6" s="2076"/>
      <c r="Q6" s="2076"/>
      <c r="R6" s="2076"/>
      <c r="S6" s="2076"/>
      <c r="T6" s="2076"/>
      <c r="U6" s="2076"/>
      <c r="V6" s="2076"/>
      <c r="W6" s="2076"/>
      <c r="X6" s="2076"/>
      <c r="Y6" s="2077"/>
      <c r="Z6" s="2078"/>
      <c r="AA6" s="2079"/>
      <c r="AB6" s="2079"/>
    </row>
    <row customHeight="1" ht="15">
      <c r="A7" s="2075"/>
      <c r="B7" s="2354"/>
      <c r="C7" s="2357"/>
      <c r="D7" s="2076"/>
      <c r="E7" s="2076"/>
      <c r="F7" s="2080"/>
      <c r="G7" s="2080"/>
      <c r="H7" s="2080"/>
      <c r="I7" s="2080"/>
      <c r="J7" s="2080"/>
      <c r="K7" s="2080"/>
      <c r="L7" s="2080"/>
      <c r="M7" s="2080"/>
      <c r="N7" s="2080"/>
      <c r="O7" s="2076"/>
      <c r="P7" s="2080"/>
      <c r="Q7" s="2080"/>
      <c r="R7" s="2080"/>
      <c r="S7" s="2080"/>
      <c r="T7" s="2080"/>
      <c r="U7" s="2080"/>
      <c r="V7" s="2080"/>
      <c r="W7" s="2080"/>
      <c r="X7" s="2080"/>
      <c r="Y7" s="2077"/>
      <c r="Z7" s="2078"/>
      <c r="AA7" s="2079"/>
      <c r="AB7" s="2079"/>
    </row>
    <row customHeight="1" ht="15">
      <c r="A8" s="2075"/>
      <c r="B8" s="2354"/>
      <c r="C8" s="2357"/>
      <c r="D8" s="2081"/>
      <c r="E8" s="2082" t="s">
        <v>4</v>
      </c>
      <c r="F8" s="2367" t="s">
        <v>5</v>
      </c>
      <c r="G8" s="2356"/>
      <c r="H8" s="2356"/>
      <c r="I8" s="2356"/>
      <c r="J8" s="2356"/>
      <c r="K8" s="2356"/>
      <c r="L8" s="2356"/>
      <c r="M8" s="2356"/>
      <c r="N8" s="2081"/>
      <c r="O8" s="2083" t="s">
        <v>4</v>
      </c>
      <c r="P8" s="2368" t="s">
        <v>6</v>
      </c>
      <c r="Q8" s="2369"/>
      <c r="R8" s="2369"/>
      <c r="S8" s="2369"/>
      <c r="T8" s="2369"/>
      <c r="U8" s="2369"/>
      <c r="V8" s="2369"/>
      <c r="W8" s="2369"/>
      <c r="X8" s="2369"/>
      <c r="Y8" s="2077"/>
      <c r="Z8" s="2078"/>
      <c r="AA8" s="2079"/>
      <c r="AB8" s="2079"/>
    </row>
    <row customHeight="1" ht="15">
      <c r="A9" s="2075"/>
      <c r="B9" s="2354"/>
      <c r="C9" s="2357"/>
      <c r="D9" s="2081"/>
      <c r="E9" s="2084" t="s">
        <v>4</v>
      </c>
      <c r="F9" s="2367" t="s">
        <v>7</v>
      </c>
      <c r="G9" s="2356"/>
      <c r="H9" s="2356"/>
      <c r="I9" s="2356"/>
      <c r="J9" s="2356"/>
      <c r="K9" s="2356"/>
      <c r="L9" s="2356"/>
      <c r="M9" s="2356"/>
      <c r="N9" s="2081"/>
      <c r="O9" s="2085" t="s">
        <v>4</v>
      </c>
      <c r="P9" s="2368" t="s">
        <v>8</v>
      </c>
      <c r="Q9" s="2369"/>
      <c r="R9" s="2369"/>
      <c r="S9" s="2369"/>
      <c r="T9" s="2369"/>
      <c r="U9" s="2369"/>
      <c r="V9" s="2369"/>
      <c r="W9" s="2369"/>
      <c r="X9" s="2369"/>
      <c r="Y9" s="2077"/>
      <c r="Z9" s="2078"/>
      <c r="AA9" s="2079"/>
      <c r="AB9" s="2079"/>
    </row>
    <row customHeight="1" ht="30">
      <c r="A10" s="2075"/>
      <c r="B10" s="2354"/>
      <c r="C10" s="2355"/>
      <c r="D10" s="2086"/>
      <c r="E10" s="2087"/>
      <c r="F10" s="2080"/>
      <c r="G10" s="2080"/>
      <c r="H10" s="2080"/>
      <c r="I10" s="2080"/>
      <c r="J10" s="2080"/>
      <c r="K10" s="2080"/>
      <c r="L10" s="2080"/>
      <c r="M10" s="2080"/>
      <c r="N10" s="2080"/>
      <c r="O10" s="2087"/>
      <c r="P10" s="2080"/>
      <c r="Q10" s="2080"/>
      <c r="R10" s="2080"/>
      <c r="S10" s="2080"/>
      <c r="T10" s="2080"/>
      <c r="U10" s="2080"/>
      <c r="V10" s="2080"/>
      <c r="W10" s="2080"/>
      <c r="X10" s="2080"/>
      <c r="Y10" s="2077"/>
      <c r="Z10" s="2078"/>
      <c r="AA10" s="2079"/>
      <c r="AB10" s="2079"/>
    </row>
    <row customHeight="1" ht="19.5">
      <c r="A11" s="2075"/>
      <c r="B11" s="2352" t="s">
        <v>9</v>
      </c>
      <c r="C11" s="2353"/>
      <c r="D11" s="2081"/>
      <c r="E11" s="2088"/>
      <c r="F11" s="2088"/>
      <c r="G11" s="2088"/>
      <c r="H11" s="2088"/>
      <c r="I11" s="2088"/>
      <c r="J11" s="2088"/>
      <c r="K11" s="2088"/>
      <c r="L11" s="2088"/>
      <c r="M11" s="2088"/>
      <c r="N11" s="2088"/>
      <c r="O11" s="2088"/>
      <c r="P11" s="2088"/>
      <c r="Q11" s="2088"/>
      <c r="R11" s="2088"/>
      <c r="S11" s="2088"/>
      <c r="T11" s="2088"/>
      <c r="U11" s="2088"/>
      <c r="V11" s="2088"/>
      <c r="W11" s="2088"/>
      <c r="X11" s="2088"/>
      <c r="Y11" s="2077"/>
      <c r="Z11" s="2078"/>
      <c r="AA11" s="2079"/>
      <c r="AB11" s="2079"/>
    </row>
    <row customHeight="1" ht="69">
      <c r="A12" s="2075"/>
      <c r="B12" s="2354"/>
      <c r="C12" s="2355"/>
      <c r="D12" s="2089"/>
      <c r="E12" s="2356" t="s">
        <v>10</v>
      </c>
      <c r="F12" s="2356"/>
      <c r="G12" s="2356"/>
      <c r="H12" s="2356"/>
      <c r="I12" s="2356"/>
      <c r="J12" s="2356"/>
      <c r="K12" s="2356"/>
      <c r="L12" s="2356"/>
      <c r="M12" s="2356"/>
      <c r="N12" s="2356"/>
      <c r="O12" s="2356"/>
      <c r="P12" s="2356"/>
      <c r="Q12" s="2356"/>
      <c r="R12" s="2356"/>
      <c r="S12" s="2356"/>
      <c r="T12" s="2356"/>
      <c r="U12" s="2356"/>
      <c r="V12" s="2356"/>
      <c r="W12" s="2356"/>
      <c r="X12" s="2356"/>
      <c r="Y12" s="2077"/>
      <c r="Z12" s="2078"/>
      <c r="AA12" s="2079"/>
      <c r="AB12" s="2079"/>
    </row>
    <row customHeight="1" ht="15">
      <c r="A13" s="2075"/>
      <c r="B13" s="2352" t="s">
        <v>11</v>
      </c>
      <c r="C13" s="2353"/>
      <c r="D13" s="2076"/>
      <c r="E13" s="2088"/>
      <c r="F13" s="2088"/>
      <c r="G13" s="2088"/>
      <c r="H13" s="2088"/>
      <c r="I13" s="2088"/>
      <c r="J13" s="2088"/>
      <c r="K13" s="2088"/>
      <c r="L13" s="2088"/>
      <c r="M13" s="2088"/>
      <c r="N13" s="2088"/>
      <c r="O13" s="2088"/>
      <c r="P13" s="2088"/>
      <c r="Q13" s="2088"/>
      <c r="R13" s="2088"/>
      <c r="S13" s="2088"/>
      <c r="T13" s="2088"/>
      <c r="U13" s="2088"/>
      <c r="V13" s="2088"/>
      <c r="W13" s="2088"/>
      <c r="X13" s="2088"/>
      <c r="Y13" s="2077"/>
      <c r="Z13" s="2078"/>
      <c r="AA13" s="2079"/>
      <c r="AB13" s="2079"/>
    </row>
    <row customHeight="1" ht="57">
      <c r="A14" s="2075"/>
      <c r="B14" s="2354"/>
      <c r="C14" s="2357"/>
      <c r="D14" s="2081"/>
      <c r="E14" s="2360" t="s">
        <v>12</v>
      </c>
      <c r="F14" s="2360"/>
      <c r="G14" s="2360"/>
      <c r="H14" s="2360"/>
      <c r="I14" s="2360"/>
      <c r="J14" s="2360"/>
      <c r="K14" s="2360"/>
      <c r="L14" s="2360"/>
      <c r="M14" s="2360"/>
      <c r="N14" s="2360"/>
      <c r="O14" s="2360"/>
      <c r="P14" s="2360"/>
      <c r="Q14" s="2360"/>
      <c r="R14" s="2360"/>
      <c r="S14" s="2360"/>
      <c r="T14" s="2360"/>
      <c r="U14" s="2360"/>
      <c r="V14" s="2360"/>
      <c r="W14" s="2360"/>
      <c r="X14" s="2360"/>
      <c r="Y14" s="2077"/>
      <c r="Z14" s="2078"/>
      <c r="AA14" s="2079"/>
      <c r="AB14" s="2079"/>
    </row>
    <row customHeight="1" ht="16.5">
      <c r="A15" s="2075"/>
      <c r="B15" s="2358"/>
      <c r="C15" s="2359"/>
      <c r="D15" s="2090"/>
      <c r="E15" s="2091"/>
      <c r="F15" s="2091"/>
      <c r="G15" s="2091"/>
      <c r="H15" s="2091"/>
      <c r="I15" s="2091"/>
      <c r="J15" s="2091"/>
      <c r="K15" s="2091"/>
      <c r="L15" s="2091"/>
      <c r="M15" s="2091"/>
      <c r="N15" s="2091"/>
      <c r="O15" s="2091"/>
      <c r="P15" s="2091"/>
      <c r="Q15" s="2091"/>
      <c r="R15" s="2091"/>
      <c r="S15" s="2091"/>
      <c r="T15" s="2091"/>
      <c r="U15" s="2091"/>
      <c r="V15" s="2091"/>
      <c r="W15" s="2091"/>
      <c r="X15" s="2091"/>
      <c r="Y15" s="2092"/>
      <c r="Z15" s="2078"/>
      <c r="AA15" s="2093"/>
      <c r="AB15" s="2079"/>
    </row>
    <row customHeight="1" ht="95.25">
      <c r="A16" s="2067"/>
      <c r="B16" s="2360"/>
      <c r="C16" s="2361"/>
      <c r="D16" s="2361"/>
      <c r="E16" s="2361"/>
      <c r="F16" s="2361"/>
      <c r="G16" s="2361"/>
      <c r="H16" s="2361"/>
      <c r="I16" s="2361"/>
      <c r="J16" s="2361"/>
      <c r="K16" s="2361"/>
      <c r="L16" s="2361"/>
      <c r="M16" s="2361"/>
      <c r="N16" s="2361"/>
      <c r="O16" s="2361"/>
      <c r="P16" s="2361"/>
      <c r="Q16" s="2361"/>
      <c r="R16" s="2361"/>
      <c r="S16" s="2361"/>
      <c r="T16" s="2361"/>
      <c r="U16" s="2361"/>
      <c r="V16" s="2361"/>
      <c r="W16" s="2361"/>
      <c r="X16" s="2361"/>
      <c r="Y16" s="2361"/>
      <c r="Z16" s="2067"/>
      <c r="AA16" s="2069"/>
      <c r="AB16" s="2067"/>
    </row>
    <row customHeight="1" ht="14.25">
      <c r="A17" s="2067"/>
      <c r="B17" s="2067"/>
      <c r="C17" s="2067"/>
      <c r="D17" s="2067"/>
      <c r="E17" s="2067"/>
      <c r="F17" s="2067"/>
      <c r="G17" s="2067"/>
      <c r="H17" s="2067"/>
      <c r="I17" s="2067"/>
      <c r="J17" s="2067"/>
      <c r="K17" s="2067"/>
      <c r="L17" s="2067"/>
      <c r="M17" s="2067"/>
      <c r="N17" s="2067"/>
      <c r="O17" s="2067"/>
      <c r="P17" s="2067"/>
      <c r="Q17" s="2067"/>
      <c r="R17" s="2067"/>
      <c r="S17" s="2067"/>
      <c r="T17" s="2067"/>
      <c r="U17" s="2067"/>
      <c r="V17" s="2067"/>
      <c r="W17" s="2067"/>
      <c r="X17" s="2067"/>
      <c r="Y17" s="2068"/>
      <c r="Z17" s="2067"/>
      <c r="AA17" s="2069"/>
      <c r="AB17" s="2067"/>
    </row>
    <row customHeight="1" ht="14.25">
      <c r="A18" s="2067"/>
      <c r="B18" s="2067"/>
      <c r="C18" s="2067"/>
      <c r="D18" s="2067"/>
      <c r="E18" s="2067"/>
      <c r="F18" s="2067"/>
      <c r="G18" s="2067"/>
      <c r="H18" s="2067"/>
      <c r="I18" s="2067"/>
      <c r="J18" s="2067"/>
      <c r="K18" s="2067"/>
      <c r="L18" s="2067"/>
      <c r="M18" s="2067"/>
      <c r="N18" s="2067"/>
      <c r="O18" s="2067"/>
      <c r="P18" s="2067"/>
      <c r="Q18" s="2067"/>
      <c r="R18" s="2067"/>
      <c r="S18" s="2067"/>
      <c r="T18" s="2067"/>
      <c r="U18" s="2067"/>
      <c r="V18" s="2067"/>
      <c r="W18" s="2067"/>
      <c r="X18" s="2067"/>
      <c r="Y18" s="2068"/>
      <c r="Z18" s="2067"/>
      <c r="AA18" s="2069"/>
      <c r="AB18" s="2067"/>
    </row>
    <row customHeight="1" ht="14.25">
      <c r="A19" s="2067"/>
      <c r="B19" s="2067"/>
      <c r="C19" s="2067"/>
      <c r="D19" s="2067"/>
      <c r="E19" s="2067"/>
      <c r="F19" s="2067"/>
      <c r="G19" s="2067"/>
      <c r="H19" s="2067"/>
      <c r="I19" s="2067"/>
      <c r="J19" s="2067"/>
      <c r="K19" s="2067"/>
      <c r="L19" s="2067"/>
      <c r="M19" s="2067"/>
      <c r="N19" s="2067"/>
      <c r="O19" s="2067"/>
      <c r="P19" s="2067"/>
      <c r="Q19" s="2067"/>
      <c r="R19" s="2067"/>
      <c r="S19" s="2067"/>
      <c r="T19" s="2067"/>
      <c r="U19" s="2067"/>
      <c r="V19" s="2067"/>
      <c r="W19" s="2067"/>
      <c r="X19" s="2067"/>
      <c r="Y19" s="2068"/>
      <c r="Z19" s="2067"/>
      <c r="AA19" s="2069"/>
      <c r="AB19" s="2067"/>
    </row>
    <row customHeight="1" ht="14.25">
      <c r="A20" s="2067"/>
      <c r="B20" s="2067"/>
      <c r="C20" s="2067"/>
      <c r="D20" s="2067"/>
      <c r="E20" s="2067"/>
      <c r="F20" s="2067"/>
      <c r="G20" s="2067"/>
      <c r="H20" s="2067"/>
      <c r="I20" s="2067"/>
      <c r="J20" s="2067"/>
      <c r="K20" s="2067"/>
      <c r="L20" s="2067"/>
      <c r="M20" s="2067"/>
      <c r="N20" s="2067"/>
      <c r="O20" s="2067"/>
      <c r="P20" s="2067"/>
      <c r="Q20" s="2067"/>
      <c r="R20" s="2067"/>
      <c r="S20" s="2067"/>
      <c r="T20" s="2067"/>
      <c r="U20" s="2067"/>
      <c r="V20" s="2067"/>
      <c r="W20" s="2067"/>
      <c r="X20" s="2067"/>
      <c r="Y20" s="2068"/>
      <c r="Z20" s="2067"/>
      <c r="AA20" s="2069"/>
      <c r="AB20" s="2067"/>
    </row>
    <row customHeight="1" ht="14.25">
      <c r="A21" s="2067"/>
      <c r="B21" s="2067"/>
      <c r="C21" s="2067"/>
      <c r="D21" s="2067"/>
      <c r="E21" s="2067"/>
      <c r="F21" s="2067"/>
      <c r="G21" s="2067"/>
      <c r="H21" s="2067"/>
      <c r="I21" s="2067"/>
      <c r="J21" s="2067"/>
      <c r="K21" s="2067"/>
      <c r="L21" s="2067"/>
      <c r="M21" s="2067"/>
      <c r="N21" s="2067"/>
      <c r="O21" s="2067"/>
      <c r="P21" s="2067"/>
      <c r="Q21" s="2067"/>
      <c r="R21" s="2067"/>
      <c r="S21" s="2067"/>
      <c r="T21" s="2067"/>
      <c r="U21" s="2067"/>
      <c r="V21" s="2067"/>
      <c r="W21" s="2067"/>
      <c r="X21" s="2067"/>
      <c r="Y21" s="2068"/>
      <c r="Z21" s="2067"/>
      <c r="AA21" s="2069"/>
      <c r="AB21" s="2067"/>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E42DB1-5B24-66AF-BEB2-7096E4BB29BD}"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8998" width="9.140625" hidden="1" customWidth="1"/>
    <col min="2" max="2" style="18999" width="9.140625" hidden="1" customWidth="1"/>
    <col min="3" max="3" style="18482" width="9.140625" hidden="1" customWidth="1"/>
    <col min="4" max="4" style="19000" width="3.7109375" customWidth="1"/>
    <col min="5" max="5" style="18999" width="6.28125" customWidth="1"/>
    <col min="6" max="6" style="18482" width="1.7109375" hidden="1" customWidth="1"/>
    <col min="7" max="8" style="18999" width="30.7109375" customWidth="1"/>
    <col min="9" max="9" style="18999" width="9.00390625" customWidth="1"/>
    <col min="10" max="10" style="18999" width="12.140625" customWidth="1"/>
    <col min="11" max="11" style="18999" width="46.7109375" customWidth="1"/>
    <col min="12" max="12" style="18999" width="100.28125" customWidth="1"/>
    <col min="13" max="13" style="19002" width="7.57421875" customWidth="1"/>
    <col min="14" max="22" style="18999" width="10.57421875"/>
  </cols>
  <sheetData>
    <row s="19003" customFormat="1" customHeight="1" ht="5.25" hidden="1">
      <c r="C1" s="872"/>
      <c r="D1" s="855"/>
      <c r="F1" s="872"/>
      <c r="G1" s="850" t="s">
        <v>80</v>
      </c>
      <c r="H1" s="850" t="s">
        <v>81</v>
      </c>
      <c r="I1" s="850" t="s">
        <v>82</v>
      </c>
      <c r="P1" s="850" t="s">
        <v>80</v>
      </c>
      <c r="Q1" s="850" t="s">
        <v>81</v>
      </c>
      <c r="R1" s="850" t="s">
        <v>82</v>
      </c>
    </row>
    <row s="19003" customFormat="1" customHeight="1" ht="5.25" hidden="1">
      <c r="C2" s="872"/>
      <c r="D2" s="855"/>
      <c r="F2" s="872"/>
    </row>
    <row s="18948" customFormat="1" customHeight="1" ht="6">
      <c r="A3" s="840"/>
      <c r="D3" s="847"/>
      <c r="E3" s="842"/>
      <c r="F3" s="842"/>
      <c r="G3" s="842"/>
      <c r="H3" s="842"/>
      <c r="I3" s="843"/>
      <c r="J3" s="844"/>
      <c r="K3" s="844"/>
      <c r="L3" s="844"/>
    </row>
    <row customHeight="1" ht="22.5">
      <c r="D4" s="811"/>
      <c r="E4" s="2511" t="s">
        <v>388</v>
      </c>
      <c r="F4" s="2511"/>
      <c r="G4" s="2512"/>
      <c r="H4" s="2512"/>
      <c r="I4" s="2513"/>
      <c r="J4" s="852"/>
      <c r="K4" s="814"/>
      <c r="L4" s="814"/>
    </row>
    <row s="18482" customFormat="1" customHeight="1" ht="17.25">
      <c r="A5" s="1120"/>
      <c r="D5" s="1183"/>
      <c r="E5" s="2499" t="str">
        <f>IF(org=0,"Не определено",org)</f>
        <v>Филиал "Шатурская ГРЭС" ПАО "Юнипро"</v>
      </c>
      <c r="F5" s="2499"/>
      <c r="G5" s="2500"/>
      <c r="H5" s="2500"/>
      <c r="I5" s="2501"/>
      <c r="J5" s="852"/>
      <c r="K5" s="814"/>
      <c r="L5" s="814"/>
      <c r="M5" s="868"/>
    </row>
    <row s="18948" customFormat="1" customHeight="1" ht="11.25">
      <c r="A6" s="840"/>
      <c r="D6" s="847"/>
      <c r="E6" s="842"/>
      <c r="F6" s="842"/>
      <c r="G6" s="845"/>
      <c r="H6" s="845"/>
      <c r="I6" s="846"/>
      <c r="J6" s="846"/>
      <c r="K6" s="1113"/>
      <c r="L6" s="846"/>
    </row>
    <row customHeight="1" ht="14.25">
      <c r="D7" s="811"/>
      <c r="E7" s="2481" t="s">
        <v>300</v>
      </c>
      <c r="F7" s="2481"/>
      <c r="G7" s="2482"/>
      <c r="H7" s="2482"/>
      <c r="I7" s="2482"/>
      <c r="J7" s="2482"/>
      <c r="K7" s="2482"/>
      <c r="L7" s="2487" t="s">
        <v>301</v>
      </c>
    </row>
    <row customHeight="1" ht="45">
      <c r="D8" s="811"/>
      <c r="E8" s="834" t="s">
        <v>85</v>
      </c>
      <c r="F8" s="1184"/>
      <c r="G8" s="826" t="s">
        <v>83</v>
      </c>
      <c r="H8" s="826" t="s">
        <v>84</v>
      </c>
      <c r="I8" s="775" t="s">
        <v>82</v>
      </c>
      <c r="J8" s="775" t="s">
        <v>389</v>
      </c>
      <c r="K8" s="775" t="s">
        <v>390</v>
      </c>
      <c r="L8" s="2487"/>
    </row>
    <row customHeight="1" ht="12" hidden="1">
      <c r="D9" s="848"/>
      <c r="E9" s="854"/>
      <c r="F9" s="1191"/>
      <c r="G9" s="854"/>
      <c r="H9" s="854"/>
      <c r="I9" s="854"/>
      <c r="J9" s="854"/>
      <c r="K9" s="854"/>
      <c r="L9" s="854"/>
      <c r="M9" s="808"/>
    </row>
    <row customHeight="1" ht="14.25" hidden="1">
      <c r="A10" s="866"/>
      <c r="B10" s="866"/>
      <c r="D10" s="867"/>
      <c r="E10" s="873">
        <v>0</v>
      </c>
      <c r="F10" s="1182"/>
      <c r="G10" s="869"/>
      <c r="H10" s="869"/>
      <c r="I10" s="869"/>
      <c r="J10" s="869"/>
      <c r="K10" s="869"/>
      <c r="L10" s="2497" t="s">
        <v>391</v>
      </c>
      <c r="M10" s="868"/>
      <c r="N10" s="866"/>
      <c r="O10" s="866"/>
      <c r="P10" s="866"/>
      <c r="Q10" s="866"/>
      <c r="R10" s="866"/>
      <c r="S10" s="866"/>
      <c r="T10" s="866"/>
      <c r="U10" s="866"/>
      <c r="V10" s="866"/>
    </row>
    <row customHeight="1" ht="15" hidden="1">
      <c r="A11" s="2374"/>
      <c r="B11" s="865"/>
      <c r="C11" s="865"/>
      <c r="D11" s="1226"/>
      <c r="E11" s="874"/>
      <c r="F11" s="874"/>
      <c r="G11" s="874"/>
      <c r="H11" s="874"/>
      <c r="I11" s="875"/>
      <c r="J11" s="876"/>
      <c r="K11" s="1074"/>
      <c r="L11" s="2514"/>
      <c r="M11" s="872"/>
      <c r="N11" s="872"/>
      <c r="O11" s="872"/>
      <c r="P11" s="877"/>
      <c r="Q11" s="877"/>
      <c r="R11" s="878"/>
      <c r="S11" s="872"/>
      <c r="T11" s="872"/>
      <c r="U11" s="872"/>
      <c r="V11" s="872"/>
    </row>
    <row s="18948" customFormat="1" customHeight="1" ht="14.25">
      <c r="A12" s="2374"/>
      <c r="B12" s="865"/>
      <c r="C12" s="865"/>
      <c r="D12" s="1227"/>
      <c r="E12" s="1184">
        <v>1</v>
      </c>
      <c r="F12" s="1225">
        <v>23</v>
      </c>
      <c r="G12" s="1224"/>
      <c r="H12" s="1154"/>
      <c r="I12" s="1152"/>
      <c r="J12" s="881" t="s">
        <v>59</v>
      </c>
      <c r="K12" s="1527" t="s">
        <v>24</v>
      </c>
      <c r="L12" s="2514"/>
      <c r="M12" s="872"/>
      <c r="N12" s="872"/>
      <c r="O12" s="872"/>
      <c r="P12" s="877" t="s">
        <v>392</v>
      </c>
      <c r="Q12" s="877" t="s">
        <v>393</v>
      </c>
      <c r="R12" s="878" t="s">
        <v>394</v>
      </c>
      <c r="S12" s="872" t="s">
        <v>395</v>
      </c>
      <c r="T12" s="872"/>
      <c r="U12" s="872"/>
      <c r="V12" s="872"/>
    </row>
    <row customHeight="1" ht="15">
      <c r="A13" s="2374"/>
      <c r="B13" s="866"/>
      <c r="D13" s="867"/>
      <c r="E13" s="766"/>
      <c r="F13" s="890"/>
      <c r="G13" s="777" t="s">
        <v>99</v>
      </c>
      <c r="H13" s="765"/>
      <c r="I13" s="765"/>
      <c r="J13" s="765"/>
      <c r="K13" s="764"/>
      <c r="L13" s="2498"/>
      <c r="M13" s="870"/>
      <c r="N13" s="866"/>
      <c r="O13" s="866"/>
      <c r="P13" s="866"/>
      <c r="Q13" s="866"/>
      <c r="R13" s="866"/>
      <c r="S13" s="866"/>
      <c r="T13" s="866"/>
      <c r="U13" s="866"/>
      <c r="V13" s="866"/>
    </row>
    <row customHeight="1" ht="11.25">
      <c r="A14" s="840"/>
      <c r="B14" s="841"/>
      <c r="C14" s="841"/>
      <c r="D14" s="856"/>
      <c r="E14" s="841"/>
      <c r="F14" s="841"/>
      <c r="G14" s="841"/>
      <c r="H14" s="841"/>
      <c r="I14" s="841"/>
      <c r="J14" s="841"/>
      <c r="K14" s="841"/>
      <c r="L14" s="841"/>
      <c r="M14" s="841"/>
      <c r="N14" s="841"/>
      <c r="O14" s="841"/>
      <c r="P14" s="841"/>
      <c r="Q14" s="841"/>
      <c r="R14" s="841"/>
      <c r="S14" s="841"/>
      <c r="T14" s="841"/>
      <c r="U14" s="841"/>
      <c r="V14" s="841"/>
    </row>
    <row customHeight="1" ht="14.25">
      <c r="D15" s="827"/>
      <c r="E15" s="697"/>
      <c r="F15" s="697"/>
      <c r="G15" s="102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827"/>
      <c r="I15" s="827"/>
      <c r="J15" s="827"/>
      <c r="K15" s="827"/>
      <c r="L15" s="827"/>
    </row>
    <row r="18" customHeight="1" ht="14.25">
      <c r="G18" s="866"/>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25E83E-49F4-9C1E-8E72-E89980907FE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19146" width="10.57421875" hidden="1"/>
    <col min="2" max="2" style="19146" width="11.00390625" hidden="1" customWidth="1"/>
    <col min="3" max="3" style="19146" width="10.57421875" hidden="1"/>
    <col min="4" max="4" style="19146" width="11.8515625" hidden="1" customWidth="1"/>
    <col min="5" max="5" style="19146" width="10.00390625" hidden="1" customWidth="1"/>
    <col min="6" max="6" style="19146" width="8.7109375" hidden="1" customWidth="1"/>
    <col min="7" max="7" style="19146" width="7.57421875" hidden="1" customWidth="1"/>
    <col min="8" max="8" style="19146" width="11.421875" hidden="1" customWidth="1"/>
    <col min="9" max="9" style="19146" width="12.00390625" hidden="1" customWidth="1"/>
    <col min="10" max="10" style="19146" width="9.8515625" hidden="1" customWidth="1"/>
    <col min="11" max="11" style="19146" width="11.421875" hidden="1" customWidth="1"/>
    <col min="12" max="12" style="19227" width="19.140625" hidden="1" customWidth="1"/>
    <col min="13" max="14" style="19228" width="12.28125" hidden="1" customWidth="1"/>
    <col min="15" max="15" style="19228" width="23.421875" hidden="1" customWidth="1"/>
    <col min="16" max="16" style="19229" width="3.7109375" customWidth="1"/>
    <col min="17" max="18" style="19230" width="3.7109375" customWidth="1"/>
    <col min="19" max="19" style="19231" width="12.7109375" customWidth="1"/>
    <col min="20" max="20" style="19232" width="35.7109375" customWidth="1"/>
    <col min="21" max="21" style="19232" width="0.140625" customWidth="1"/>
    <col min="22" max="22" style="19232" width="24.7109375" hidden="1" customWidth="1"/>
    <col min="23" max="23" style="19232" width="0.140625" hidden="1" customWidth="1"/>
    <col min="24" max="25" style="19232" width="24.7109375" hidden="1" customWidth="1"/>
    <col min="26" max="26" style="19232" width="11.7109375" hidden="1" customWidth="1"/>
    <col min="27" max="27" style="19232" width="3.7109375" hidden="1" customWidth="1"/>
    <col min="28" max="28" style="19232" width="11.7109375" hidden="1" customWidth="1"/>
    <col min="29" max="29" style="19232" width="8.57421875" hidden="1" customWidth="1"/>
    <col min="30" max="30" style="19232" width="24.7109375" customWidth="1"/>
    <col min="31" max="31" style="19232" width="0.140625" customWidth="1"/>
    <col min="32" max="33" style="19232" width="24.7109375" customWidth="1"/>
    <col min="34" max="34" style="19232" width="11.7109375" customWidth="1"/>
    <col min="35" max="35" style="19232" width="3.7109375" customWidth="1"/>
    <col min="36" max="36" style="19232" width="11.7109375" customWidth="1"/>
    <col min="37" max="37" style="19232" width="8.57421875" hidden="1" customWidth="1"/>
    <col min="38" max="38" style="19232" width="4.7109375" customWidth="1"/>
    <col min="39" max="39" style="19232" width="115.7109375" customWidth="1"/>
    <col min="40" max="41" style="19219" width="10.57421875"/>
    <col min="42" max="42" style="19219" width="11.140625" customWidth="1"/>
    <col min="43" max="44" style="19219" width="10.57421875"/>
  </cols>
  <sheetData>
    <row customHeight="1" ht="14.25" hidden="1">
      <c r="Y1" s="688"/>
      <c r="Z1" s="688"/>
      <c r="AG1" s="688"/>
      <c r="AH1" s="688"/>
    </row>
    <row customHeight="1" ht="21" hidden="1">
      <c r="A2" s="1729"/>
      <c r="B2" s="1729"/>
      <c r="C2" s="1729"/>
      <c r="D2" s="1729"/>
      <c r="E2" s="2527">
        <v>1</v>
      </c>
      <c r="F2" s="1729"/>
      <c r="G2" s="1729"/>
      <c r="H2" s="1729"/>
      <c r="I2" s="1729"/>
      <c r="J2" s="1729"/>
      <c r="K2" s="1729"/>
      <c r="L2" s="1730"/>
      <c r="M2" s="1731"/>
      <c r="N2" s="1731"/>
      <c r="O2" s="1731"/>
      <c r="P2" s="722"/>
      <c r="Q2" s="721"/>
      <c r="R2" s="716"/>
      <c r="S2" s="1675">
        <f>INDEX(PT_DIFFERENTIATION_NUM_NTAR,MATCH(A2,PT_DIFFERENTIATION_NTAR_ID,0))</f>
      </c>
      <c r="T2" s="659" t="s">
        <v>120</v>
      </c>
      <c r="U2" s="661"/>
      <c r="V2" s="2521"/>
      <c r="W2" s="2522"/>
      <c r="X2" s="2522"/>
      <c r="Y2" s="2522"/>
      <c r="Z2" s="2522"/>
      <c r="AA2" s="2522"/>
      <c r="AB2" s="2522"/>
      <c r="AC2" s="2523"/>
      <c r="AD2" s="2521">
        <f>INDEX(PT_DIFFERENTIATION_NTAR,MATCH(A2,PT_DIFFERENTIATION_NTAR_ID,0))</f>
      </c>
      <c r="AE2" s="2522"/>
      <c r="AF2" s="2522"/>
      <c r="AG2" s="2522"/>
      <c r="AH2" s="2522"/>
      <c r="AI2" s="2522"/>
      <c r="AJ2" s="2522"/>
      <c r="AK2" s="2522"/>
      <c r="AL2" s="2523"/>
      <c r="AM2" s="1623" t="s">
        <v>396</v>
      </c>
      <c r="AO2" s="861"/>
      <c r="AP2" s="861" t="str">
        <f>IF(T2="","",T2)</f>
        <v>Наименование тарифа</v>
      </c>
      <c r="AQ2" s="861"/>
      <c r="AR2" s="861"/>
    </row>
    <row customHeight="1" ht="21" hidden="1">
      <c r="A3" s="1729"/>
      <c r="B3" s="1729"/>
      <c r="C3" s="1729"/>
      <c r="D3" s="1729"/>
      <c r="E3" s="2528"/>
      <c r="F3" s="2527">
        <v>1</v>
      </c>
      <c r="G3" s="1729"/>
      <c r="H3" s="1729"/>
      <c r="I3" s="1729"/>
      <c r="J3" s="1729"/>
      <c r="K3" s="1729"/>
      <c r="L3" s="1730"/>
      <c r="M3" s="1731"/>
      <c r="N3" s="1731"/>
      <c r="O3" s="1731"/>
      <c r="P3" s="1670"/>
      <c r="Q3" s="713"/>
      <c r="R3" s="714"/>
      <c r="S3" s="1675">
        <f>INDEX(PT_DIFFERENTIATION_NUM_TER,MATCH(B3,PT_DIFFERENTIATION_TER_ID,0))</f>
      </c>
      <c r="T3" s="669" t="s">
        <v>397</v>
      </c>
      <c r="U3" s="661"/>
      <c r="V3" s="2521"/>
      <c r="W3" s="2522"/>
      <c r="X3" s="2522"/>
      <c r="Y3" s="2522"/>
      <c r="Z3" s="2522"/>
      <c r="AA3" s="2522"/>
      <c r="AB3" s="2522"/>
      <c r="AC3" s="2523"/>
      <c r="AD3" s="2521">
        <f>INDEX(PT_DIFFERENTIATION_TER,MATCH(B3,PT_DIFFERENTIATION_TER_ID,0))</f>
      </c>
      <c r="AE3" s="2522"/>
      <c r="AF3" s="2522"/>
      <c r="AG3" s="2522"/>
      <c r="AH3" s="2522"/>
      <c r="AI3" s="2522"/>
      <c r="AJ3" s="2522"/>
      <c r="AK3" s="2522"/>
      <c r="AL3" s="2523"/>
      <c r="AM3" s="1623" t="s">
        <v>398</v>
      </c>
      <c r="AO3" s="861"/>
      <c r="AP3" s="861" t="str">
        <f>IF(T3="","",T3)</f>
        <v>Территория действия тарифа</v>
      </c>
      <c r="AQ3" s="861"/>
      <c r="AR3" s="861"/>
    </row>
    <row customHeight="1" ht="23.25" hidden="1">
      <c r="A4" s="1729"/>
      <c r="B4" s="1729"/>
      <c r="C4" s="1729"/>
      <c r="D4" s="1729"/>
      <c r="E4" s="2528"/>
      <c r="F4" s="2528"/>
      <c r="G4" s="2527">
        <v>1</v>
      </c>
      <c r="H4" s="1729"/>
      <c r="I4" s="1729"/>
      <c r="J4" s="1729"/>
      <c r="K4" s="1729"/>
      <c r="L4" s="1730"/>
      <c r="M4" s="1731"/>
      <c r="N4" s="1731"/>
      <c r="O4" s="1731"/>
      <c r="P4" s="715"/>
      <c r="Q4" s="713"/>
      <c r="R4" s="714"/>
      <c r="S4" s="1675">
        <f>INDEX(PT_DIFFERENTIATION_NUM_CS,MATCH(C4,PT_DIFFERENTIATION_CS_ID,0))</f>
      </c>
      <c r="T4" s="670" t="s">
        <v>399</v>
      </c>
      <c r="U4" s="661"/>
      <c r="V4" s="2521"/>
      <c r="W4" s="2522"/>
      <c r="X4" s="2522"/>
      <c r="Y4" s="2522"/>
      <c r="Z4" s="2522"/>
      <c r="AA4" s="2522"/>
      <c r="AB4" s="2522"/>
      <c r="AC4" s="2523"/>
      <c r="AD4" s="2521">
        <f>INDEX(PT_DIFFERENTIATION_CS,MATCH(C4,PT_DIFFERENTIATION_CS_ID,0))</f>
      </c>
      <c r="AE4" s="2522"/>
      <c r="AF4" s="2522"/>
      <c r="AG4" s="2522"/>
      <c r="AH4" s="2522"/>
      <c r="AI4" s="2522"/>
      <c r="AJ4" s="2522"/>
      <c r="AK4" s="2522"/>
      <c r="AL4" s="2523"/>
      <c r="AM4" s="1623" t="s">
        <v>400</v>
      </c>
      <c r="AO4" s="861"/>
      <c r="AP4" s="861" t="str">
        <f>IF(T4="","",T4)</f>
        <v>Наименование системы теплоснабжения </v>
      </c>
      <c r="AQ4" s="861"/>
      <c r="AR4" s="861"/>
    </row>
    <row customHeight="1" ht="21" hidden="1">
      <c r="A5" s="1729"/>
      <c r="B5" s="1729"/>
      <c r="C5" s="1729"/>
      <c r="D5" s="1729"/>
      <c r="E5" s="2528"/>
      <c r="F5" s="2528"/>
      <c r="G5" s="2528"/>
      <c r="H5" s="2527">
        <v>1</v>
      </c>
      <c r="I5" s="1729"/>
      <c r="J5" s="1729"/>
      <c r="K5" s="1729"/>
      <c r="L5" s="1730"/>
      <c r="M5" s="1731"/>
      <c r="N5" s="1731"/>
      <c r="O5" s="1731"/>
      <c r="P5" s="715"/>
      <c r="Q5" s="713"/>
      <c r="R5" s="714"/>
      <c r="S5" s="1675">
        <f>INDEX(PT_DIFFERENTIATION_NUM_IST_TE,MATCH(D5,PT_DIFFERENTIATION_IST_TE_ID,0))</f>
      </c>
      <c r="T5" s="671" t="s">
        <v>401</v>
      </c>
      <c r="U5" s="661"/>
      <c r="V5" s="2521"/>
      <c r="W5" s="2522"/>
      <c r="X5" s="2522"/>
      <c r="Y5" s="2522"/>
      <c r="Z5" s="2522"/>
      <c r="AA5" s="2522"/>
      <c r="AB5" s="2522"/>
      <c r="AC5" s="2523"/>
      <c r="AD5" s="2521">
        <f>INDEX(PT_DIFFERENTIATION_IST_TE,MATCH(D5,PT_DIFFERENTIATION_IST_TE_ID,0))</f>
      </c>
      <c r="AE5" s="2522"/>
      <c r="AF5" s="2522"/>
      <c r="AG5" s="2522"/>
      <c r="AH5" s="2522"/>
      <c r="AI5" s="2522"/>
      <c r="AJ5" s="2522"/>
      <c r="AK5" s="2522"/>
      <c r="AL5" s="2523"/>
      <c r="AM5" s="1623" t="s">
        <v>402</v>
      </c>
      <c r="AO5" s="861"/>
      <c r="AP5" s="861" t="str">
        <f>IF(T5="","",T5)</f>
        <v>Источник тепловой энергии  </v>
      </c>
      <c r="AQ5" s="861"/>
      <c r="AR5" s="861"/>
    </row>
    <row customHeight="1" ht="47.25" hidden="1">
      <c r="A6" s="1729"/>
      <c r="B6" s="1729"/>
      <c r="C6" s="1729"/>
      <c r="D6" s="1729"/>
      <c r="E6" s="2528"/>
      <c r="F6" s="2528"/>
      <c r="G6" s="2528"/>
      <c r="H6" s="2528"/>
      <c r="I6" s="2529">
        <f>S5&amp;".1"</f>
      </c>
      <c r="J6" s="1729"/>
      <c r="K6" s="1729"/>
      <c r="L6" s="1730" t="s">
        <v>403</v>
      </c>
      <c r="M6" s="898"/>
      <c r="P6" s="2531">
        <v>1</v>
      </c>
      <c r="Q6" s="1671"/>
      <c r="R6" s="717"/>
      <c r="S6" s="1675">
        <f>$I6</f>
      </c>
      <c r="T6" s="646" t="s">
        <v>404</v>
      </c>
      <c r="U6" s="661"/>
      <c r="V6" s="2515"/>
      <c r="W6" s="2516"/>
      <c r="X6" s="2516"/>
      <c r="Y6" s="2516"/>
      <c r="Z6" s="2516"/>
      <c r="AA6" s="2516"/>
      <c r="AB6" s="2516"/>
      <c r="AC6" s="2517"/>
      <c r="AD6" s="2515"/>
      <c r="AE6" s="2516"/>
      <c r="AF6" s="2516"/>
      <c r="AG6" s="2516"/>
      <c r="AH6" s="2516"/>
      <c r="AI6" s="2516"/>
      <c r="AJ6" s="2516"/>
      <c r="AK6" s="2516"/>
      <c r="AL6" s="2517"/>
      <c r="AM6" s="1623" t="s">
        <v>405</v>
      </c>
      <c r="AO6" s="861"/>
      <c r="AP6" s="861" t="str">
        <f>IF(T6="","",T6)</f>
        <v>Схема подключения теплопотребляющей установки к коллектору источника тепловой энергии</v>
      </c>
      <c r="AQ6" s="861"/>
      <c r="AR6" s="861"/>
    </row>
    <row customHeight="1" ht="21" hidden="1">
      <c r="A7" s="1729"/>
      <c r="B7" s="1729"/>
      <c r="C7" s="1729"/>
      <c r="D7" s="1729"/>
      <c r="E7" s="2528"/>
      <c r="F7" s="2528"/>
      <c r="G7" s="2528"/>
      <c r="H7" s="2528"/>
      <c r="I7" s="2530"/>
      <c r="J7" s="2529">
        <f>I6&amp;".1"</f>
      </c>
      <c r="K7" s="1729"/>
      <c r="L7" s="1730" t="s">
        <v>406</v>
      </c>
      <c r="M7" s="898"/>
      <c r="N7" s="1732"/>
      <c r="P7" s="2531"/>
      <c r="Q7" s="2531">
        <v>1</v>
      </c>
      <c r="R7" s="718"/>
      <c r="S7" s="1675">
        <f>$J7</f>
      </c>
      <c r="T7" s="647" t="s">
        <v>407</v>
      </c>
      <c r="U7" s="661"/>
      <c r="V7" s="2515"/>
      <c r="W7" s="2516"/>
      <c r="X7" s="2516"/>
      <c r="Y7" s="2516"/>
      <c r="Z7" s="2516"/>
      <c r="AA7" s="2516"/>
      <c r="AB7" s="2516"/>
      <c r="AC7" s="2517"/>
      <c r="AD7" s="2515"/>
      <c r="AE7" s="2516"/>
      <c r="AF7" s="2516"/>
      <c r="AG7" s="2516"/>
      <c r="AH7" s="2516"/>
      <c r="AI7" s="2516"/>
      <c r="AJ7" s="2516"/>
      <c r="AK7" s="2516"/>
      <c r="AL7" s="2517"/>
      <c r="AM7" s="1623" t="s">
        <v>408</v>
      </c>
      <c r="AO7" s="861"/>
      <c r="AP7" s="861" t="str">
        <f>IF(T7="","",T7)</f>
        <v>Группа потребителей</v>
      </c>
      <c r="AQ7" s="861"/>
      <c r="AR7" s="861"/>
    </row>
    <row customHeight="1" ht="21" hidden="1">
      <c r="A8" s="1729"/>
      <c r="B8" s="1729"/>
      <c r="C8" s="1729"/>
      <c r="D8" s="1729"/>
      <c r="E8" s="2528"/>
      <c r="F8" s="2528"/>
      <c r="G8" s="2528"/>
      <c r="H8" s="2528"/>
      <c r="I8" s="2530"/>
      <c r="J8" s="2530"/>
      <c r="K8" s="2529">
        <f>J7&amp;".1"</f>
      </c>
      <c r="L8" s="1730" t="s">
        <v>409</v>
      </c>
      <c r="M8" s="898"/>
      <c r="N8" s="1732"/>
      <c r="O8" s="1732"/>
      <c r="P8" s="2531"/>
      <c r="Q8" s="2531"/>
      <c r="R8" s="718">
        <v>1</v>
      </c>
      <c r="S8" s="1675">
        <f>$K8</f>
      </c>
      <c r="T8" s="1713"/>
      <c r="U8" s="661"/>
      <c r="V8" s="1112"/>
      <c r="W8" s="686"/>
      <c r="X8" s="1112"/>
      <c r="Y8" s="1622"/>
      <c r="Z8" s="2532"/>
      <c r="AA8" s="2402" t="s">
        <v>59</v>
      </c>
      <c r="AB8" s="2532"/>
      <c r="AC8" s="2402" t="s">
        <v>59</v>
      </c>
      <c r="AD8" s="1112"/>
      <c r="AE8" s="686"/>
      <c r="AF8" s="1112"/>
      <c r="AG8" s="1622"/>
      <c r="AH8" s="2532"/>
      <c r="AI8" s="2402" t="s">
        <v>59</v>
      </c>
      <c r="AJ8" s="2532"/>
      <c r="AK8" s="2402" t="s">
        <v>59</v>
      </c>
      <c r="AL8" s="686"/>
      <c r="AM8" s="2557" t="s">
        <v>410</v>
      </c>
      <c r="AN8" s="872">
        <f>STRCHECKDATE(V9:AL9)</f>
      </c>
      <c r="AO8" s="861"/>
      <c r="AP8" s="861" t="str">
        <f>IF(T8="","",T8)</f>
        <v/>
      </c>
      <c r="AQ8" s="861"/>
      <c r="AR8" s="861"/>
    </row>
    <row customHeight="1" ht="0.75" hidden="1">
      <c r="A9" s="1729"/>
      <c r="B9" s="1729"/>
      <c r="C9" s="1729"/>
      <c r="D9" s="1729"/>
      <c r="E9" s="2528"/>
      <c r="F9" s="2528"/>
      <c r="G9" s="2528"/>
      <c r="H9" s="2528"/>
      <c r="I9" s="2530"/>
      <c r="J9" s="2530"/>
      <c r="K9" s="2529"/>
      <c r="L9" s="1730"/>
      <c r="M9" s="898"/>
      <c r="N9" s="1732"/>
      <c r="O9" s="1732"/>
      <c r="P9" s="2531"/>
      <c r="Q9" s="2531"/>
      <c r="R9" s="718"/>
      <c r="S9" s="1672"/>
      <c r="T9" s="661"/>
      <c r="U9" s="661"/>
      <c r="V9" s="686"/>
      <c r="W9" s="686"/>
      <c r="X9" s="686"/>
      <c r="Y9" s="689" t="str">
        <f>Z8&amp;"-"&amp;AB8</f>
        <v>-</v>
      </c>
      <c r="Z9" s="2533"/>
      <c r="AA9" s="2402"/>
      <c r="AB9" s="2533"/>
      <c r="AC9" s="2402"/>
      <c r="AD9" s="686"/>
      <c r="AE9" s="686"/>
      <c r="AF9" s="686"/>
      <c r="AG9" s="689" t="str">
        <f>AH8&amp;"-"&amp;AJ8</f>
        <v>-</v>
      </c>
      <c r="AH9" s="2533"/>
      <c r="AI9" s="2402"/>
      <c r="AJ9" s="2533"/>
      <c r="AK9" s="2402"/>
      <c r="AL9" s="686"/>
      <c r="AM9" s="2558"/>
      <c r="AO9" s="861"/>
      <c r="AP9" s="861" t="str">
        <f>IF(T9="","",T9)</f>
        <v/>
      </c>
      <c r="AQ9" s="861"/>
      <c r="AR9" s="861"/>
    </row>
    <row customHeight="1" ht="15" hidden="1">
      <c r="A10" s="1729"/>
      <c r="B10" s="1729"/>
      <c r="C10" s="1729"/>
      <c r="D10" s="1729"/>
      <c r="E10" s="2528"/>
      <c r="F10" s="2528"/>
      <c r="G10" s="2528"/>
      <c r="H10" s="2528"/>
      <c r="I10" s="2530"/>
      <c r="J10" s="2529"/>
      <c r="K10" s="1729"/>
      <c r="L10" s="1730"/>
      <c r="M10" s="898"/>
      <c r="N10" s="1732"/>
      <c r="P10" s="2531"/>
      <c r="Q10" s="2531"/>
      <c r="R10" s="717"/>
      <c r="S10" s="1644"/>
      <c r="T10" s="649" t="s">
        <v>411</v>
      </c>
      <c r="U10" s="728"/>
      <c r="V10" s="728"/>
      <c r="W10" s="728"/>
      <c r="X10" s="728"/>
      <c r="Y10" s="728"/>
      <c r="Z10" s="728"/>
      <c r="AA10" s="728"/>
      <c r="AB10" s="728"/>
      <c r="AC10" s="728"/>
      <c r="AD10" s="728"/>
      <c r="AE10" s="728"/>
      <c r="AF10" s="728"/>
      <c r="AG10" s="728"/>
      <c r="AH10" s="728"/>
      <c r="AI10" s="728"/>
      <c r="AJ10" s="728"/>
      <c r="AK10" s="728"/>
      <c r="AL10" s="685"/>
      <c r="AM10" s="2559"/>
      <c r="AO10" s="861"/>
      <c r="AP10" s="861" t="str">
        <f>IF(T10="","",T10)</f>
        <v>Добавить вид теплоносителя (параметры теплоносителя)</v>
      </c>
      <c r="AQ10" s="861"/>
      <c r="AR10" s="861"/>
    </row>
    <row customHeight="1" ht="15" hidden="1">
      <c r="A11" s="1729"/>
      <c r="B11" s="1729"/>
      <c r="C11" s="1729"/>
      <c r="D11" s="1729"/>
      <c r="E11" s="2528"/>
      <c r="F11" s="2528"/>
      <c r="G11" s="2528"/>
      <c r="H11" s="2528"/>
      <c r="I11" s="2529"/>
      <c r="J11" s="1729"/>
      <c r="K11" s="1729"/>
      <c r="L11" s="1730"/>
      <c r="M11" s="898"/>
      <c r="P11" s="2531"/>
      <c r="Q11" s="1671"/>
      <c r="R11" s="717"/>
      <c r="S11" s="1644"/>
      <c r="T11" s="648" t="s">
        <v>412</v>
      </c>
      <c r="U11" s="728"/>
      <c r="V11" s="728"/>
      <c r="W11" s="728"/>
      <c r="X11" s="728"/>
      <c r="Y11" s="728"/>
      <c r="Z11" s="728"/>
      <c r="AA11" s="728"/>
      <c r="AB11" s="728"/>
      <c r="AC11" s="727"/>
      <c r="AD11" s="728"/>
      <c r="AE11" s="728"/>
      <c r="AF11" s="728"/>
      <c r="AG11" s="728"/>
      <c r="AH11" s="728"/>
      <c r="AI11" s="728"/>
      <c r="AJ11" s="728"/>
      <c r="AK11" s="727"/>
      <c r="AL11" s="728"/>
      <c r="AM11" s="664"/>
      <c r="AO11" s="861"/>
      <c r="AP11" s="861" t="str">
        <f>IF(T11="","",T11)</f>
        <v>Добавить группу потребителей</v>
      </c>
      <c r="AQ11" s="861"/>
      <c r="AR11" s="861"/>
    </row>
    <row customHeight="1" ht="14.25" hidden="1">
      <c r="A12" s="1729"/>
      <c r="B12" s="1729"/>
      <c r="C12" s="1729"/>
      <c r="D12" s="1729"/>
      <c r="E12" s="2528"/>
      <c r="F12" s="2528"/>
      <c r="G12" s="2528"/>
      <c r="H12" s="2527"/>
      <c r="I12" s="1729"/>
      <c r="J12" s="1729"/>
      <c r="K12" s="1729"/>
      <c r="L12" s="1730"/>
      <c r="M12" s="1731"/>
      <c r="N12" s="1731"/>
      <c r="O12" s="898"/>
      <c r="P12" s="721"/>
      <c r="Q12" s="736"/>
      <c r="R12" s="716"/>
      <c r="S12" s="1644"/>
      <c r="T12" s="726" t="s">
        <v>413</v>
      </c>
      <c r="U12" s="728"/>
      <c r="V12" s="728"/>
      <c r="W12" s="728"/>
      <c r="X12" s="728"/>
      <c r="Y12" s="728"/>
      <c r="Z12" s="728"/>
      <c r="AA12" s="728"/>
      <c r="AB12" s="728"/>
      <c r="AC12" s="727"/>
      <c r="AD12" s="728"/>
      <c r="AE12" s="728"/>
      <c r="AF12" s="728"/>
      <c r="AG12" s="728"/>
      <c r="AH12" s="728"/>
      <c r="AI12" s="728"/>
      <c r="AJ12" s="728"/>
      <c r="AK12" s="727"/>
      <c r="AL12" s="728"/>
      <c r="AM12" s="664"/>
      <c r="AO12" s="861"/>
      <c r="AP12" s="861" t="str">
        <f>IF(T12="","",T12)</f>
        <v>Добавить схему подключения</v>
      </c>
      <c r="AQ12" s="861"/>
      <c r="AR12" s="861"/>
    </row>
    <row s="19127" customFormat="1" customHeight="1" ht="0.75" hidden="1">
      <c r="A13" s="1680"/>
      <c r="B13" s="1680"/>
      <c r="C13" s="1680"/>
      <c r="D13" s="1680"/>
      <c r="E13" s="2528"/>
      <c r="F13" s="2528"/>
      <c r="G13" s="2527"/>
      <c r="H13" s="1680"/>
      <c r="I13" s="1680"/>
      <c r="J13" s="1680"/>
      <c r="K13" s="1680"/>
      <c r="L13" s="1705"/>
      <c r="M13" s="1681"/>
      <c r="N13" s="1681"/>
      <c r="P13" s="1682"/>
      <c r="Q13" s="1683"/>
      <c r="R13" s="1682"/>
      <c r="S13" s="1684"/>
      <c r="T13" s="1685" t="s">
        <v>414</v>
      </c>
      <c r="U13" s="1686"/>
      <c r="V13" s="1686"/>
      <c r="W13" s="1686"/>
      <c r="X13" s="1686"/>
      <c r="Y13" s="1686"/>
      <c r="Z13" s="1686"/>
      <c r="AA13" s="1686"/>
      <c r="AB13" s="1686"/>
      <c r="AC13" s="1686"/>
      <c r="AD13" s="1686"/>
      <c r="AE13" s="1686"/>
      <c r="AF13" s="1686"/>
      <c r="AG13" s="1686"/>
      <c r="AH13" s="1686"/>
      <c r="AI13" s="1686"/>
      <c r="AJ13" s="1686"/>
      <c r="AK13" s="1686"/>
      <c r="AL13" s="1686"/>
      <c r="AM13" s="1686"/>
      <c r="AO13" s="1150"/>
      <c r="AP13" s="1150" t="str">
        <f>IF(T13="","",T13)</f>
        <v>Добавить источник для дифференциации</v>
      </c>
      <c r="AQ13" s="1150"/>
      <c r="AR13" s="1150"/>
    </row>
    <row s="19127" customFormat="1" customHeight="1" ht="0.75" hidden="1">
      <c r="A14" s="1680"/>
      <c r="B14" s="1680"/>
      <c r="C14" s="1680"/>
      <c r="D14" s="1680"/>
      <c r="E14" s="2528"/>
      <c r="F14" s="2527"/>
      <c r="G14" s="1680"/>
      <c r="H14" s="1680"/>
      <c r="I14" s="1680"/>
      <c r="J14" s="1680"/>
      <c r="K14" s="1680"/>
      <c r="L14" s="1705"/>
      <c r="M14" s="1687"/>
      <c r="N14" s="1687"/>
      <c r="P14" s="1682"/>
      <c r="Q14" s="1683"/>
      <c r="R14" s="1682"/>
      <c r="S14" s="1688"/>
      <c r="T14" s="1689" t="s">
        <v>251</v>
      </c>
      <c r="U14" s="1690"/>
      <c r="V14" s="1690"/>
      <c r="W14" s="1690"/>
      <c r="X14" s="1690"/>
      <c r="Y14" s="1690"/>
      <c r="Z14" s="1690"/>
      <c r="AA14" s="1690"/>
      <c r="AB14" s="1690"/>
      <c r="AC14" s="1690"/>
      <c r="AD14" s="1690"/>
      <c r="AE14" s="1690"/>
      <c r="AF14" s="1690"/>
      <c r="AG14" s="1690"/>
      <c r="AH14" s="1690"/>
      <c r="AI14" s="1690"/>
      <c r="AJ14" s="1690"/>
      <c r="AK14" s="1690"/>
      <c r="AL14" s="1690"/>
      <c r="AM14" s="1690"/>
      <c r="AO14" s="1150"/>
      <c r="AP14" s="1150" t="str">
        <f>IF(T14="","",T14)</f>
        <v>Добавить централизованную систему для дифференциации</v>
      </c>
      <c r="AQ14" s="1150"/>
      <c r="AR14" s="1150"/>
    </row>
    <row s="19127" customFormat="1" customHeight="1" ht="0.75" hidden="1">
      <c r="A15" s="1680"/>
      <c r="B15" s="1680"/>
      <c r="C15" s="1680"/>
      <c r="D15" s="1680"/>
      <c r="E15" s="2527"/>
      <c r="F15" s="1680"/>
      <c r="G15" s="1680"/>
      <c r="H15" s="1680"/>
      <c r="I15" s="1680"/>
      <c r="J15" s="1680"/>
      <c r="K15" s="1680"/>
      <c r="L15" s="1705"/>
      <c r="M15" s="1687"/>
      <c r="N15" s="1687"/>
      <c r="P15" s="1682"/>
      <c r="Q15" s="1683"/>
      <c r="R15" s="1682"/>
      <c r="S15" s="1688"/>
      <c r="T15" s="1691" t="s">
        <v>252</v>
      </c>
      <c r="U15" s="1690"/>
      <c r="V15" s="1690"/>
      <c r="W15" s="1690"/>
      <c r="X15" s="1690"/>
      <c r="Y15" s="1690"/>
      <c r="Z15" s="1690"/>
      <c r="AA15" s="1690"/>
      <c r="AB15" s="1690"/>
      <c r="AC15" s="1690"/>
      <c r="AD15" s="1690"/>
      <c r="AE15" s="1690"/>
      <c r="AF15" s="1690"/>
      <c r="AG15" s="1690"/>
      <c r="AH15" s="1690"/>
      <c r="AI15" s="1690"/>
      <c r="AJ15" s="1690"/>
      <c r="AK15" s="1690"/>
      <c r="AL15" s="1690"/>
      <c r="AM15" s="1690"/>
      <c r="AO15" s="1150"/>
      <c r="AP15" s="1150" t="str">
        <f>IF(T15="","",T15)</f>
        <v>Добавить территорию для дифференциации</v>
      </c>
      <c r="AQ15" s="1150"/>
      <c r="AR15" s="1150"/>
    </row>
    <row customHeight="1" ht="14.25" hidden="1">
      <c r="AC16" s="688"/>
      <c r="AK16" s="688"/>
    </row>
    <row customHeight="1" ht="14.25" hidden="1">
      <c r="P17" s="1677"/>
      <c r="AD17" s="1726"/>
      <c r="AE17" s="1726"/>
      <c r="AF17" s="1726"/>
      <c r="AG17" s="1727"/>
      <c r="AH17" s="2525"/>
      <c r="AI17" s="2524" t="s">
        <v>59</v>
      </c>
      <c r="AJ17" s="2525"/>
      <c r="AK17" s="2524" t="s">
        <v>59</v>
      </c>
    </row>
    <row customHeight="1" ht="14.25" hidden="1">
      <c r="P18" s="1677"/>
      <c r="AD18" s="1726"/>
      <c r="AE18" s="1726"/>
      <c r="AF18" s="1726"/>
      <c r="AG18" s="689" t="str">
        <f>AH17&amp;"-"&amp;AJ17</f>
        <v>-</v>
      </c>
      <c r="AH18" s="2524"/>
      <c r="AI18" s="2524"/>
      <c r="AJ18" s="2524"/>
      <c r="AK18" s="2524"/>
    </row>
    <row customHeight="1" ht="14.25" hidden="1">
      <c r="P19" s="1677"/>
      <c r="AK19" s="688"/>
    </row>
    <row s="19146" customFormat="1" customHeight="1" ht="22.5" hidden="1">
      <c r="L20" s="1695"/>
      <c r="M20" s="1728"/>
      <c r="N20" s="1728"/>
      <c r="O20" s="1733" t="s">
        <v>415</v>
      </c>
      <c r="P20" s="1728"/>
      <c r="Q20" s="1737"/>
      <c r="R20" s="1737"/>
      <c r="S20" s="1090"/>
      <c r="Z20" s="1733"/>
      <c r="AB20" s="1733"/>
      <c r="AC20" s="1732"/>
      <c r="AH20" s="1733"/>
      <c r="AJ20" s="1733"/>
      <c r="AK20" s="1732"/>
      <c r="AN20" s="872"/>
      <c r="AO20" s="872"/>
      <c r="AP20" s="872"/>
      <c r="AQ20" s="872"/>
      <c r="AR20" s="872"/>
    </row>
    <row s="19146" customFormat="1" customHeight="1" ht="14.25" hidden="1">
      <c r="L21" s="1695"/>
      <c r="M21" s="1728"/>
      <c r="N21" s="1728"/>
      <c r="O21" s="1728"/>
      <c r="P21" s="1728"/>
      <c r="Q21" s="1737"/>
      <c r="R21" s="1737"/>
      <c r="S21" s="1090"/>
      <c r="AC21" s="1732"/>
      <c r="AK21" s="1732"/>
      <c r="AN21" s="872"/>
      <c r="AO21" s="872"/>
      <c r="AP21" s="872"/>
      <c r="AQ21" s="872"/>
      <c r="AR21" s="872"/>
    </row>
    <row s="19146" customFormat="1" customHeight="1" ht="14.25" hidden="1">
      <c r="L22" s="1695"/>
      <c r="M22" s="1728"/>
      <c r="N22" s="1728"/>
      <c r="O22" s="1730" t="s">
        <v>416</v>
      </c>
      <c r="P22" s="1728"/>
      <c r="Q22" s="1737"/>
      <c r="R22" s="1737"/>
      <c r="S22" s="1090"/>
      <c r="T22" s="1523" t="s">
        <v>417</v>
      </c>
      <c r="AA22" s="547" t="s">
        <v>418</v>
      </c>
      <c r="AC22" s="547" t="s">
        <v>419</v>
      </c>
      <c r="AD22" s="1523" t="s">
        <v>417</v>
      </c>
      <c r="AI22" s="547" t="s">
        <v>420</v>
      </c>
      <c r="AK22" s="547" t="s">
        <v>419</v>
      </c>
      <c r="AN22" s="872"/>
      <c r="AO22" s="872"/>
      <c r="AP22" s="872"/>
      <c r="AQ22" s="872"/>
      <c r="AR22" s="872"/>
    </row>
    <row customHeight="1" ht="14.25" hidden="1">
      <c r="O23" s="1730"/>
      <c r="P23" s="1677"/>
    </row>
    <row customHeight="1" ht="14.25" hidden="1">
      <c r="O24" s="1730"/>
      <c r="P24" s="1677"/>
    </row>
    <row customHeight="1" ht="14.25">
      <c r="Q25" s="737"/>
      <c r="R25" s="737"/>
      <c r="S25" s="1641"/>
      <c r="T25" s="724"/>
      <c r="U25" s="724"/>
      <c r="V25" s="870"/>
      <c r="W25" s="870"/>
      <c r="X25" s="870"/>
      <c r="Y25" s="870"/>
      <c r="Z25" s="870"/>
      <c r="AA25" s="870"/>
      <c r="AB25" s="870"/>
      <c r="AC25" s="870"/>
      <c r="AD25" s="870"/>
      <c r="AE25" s="870"/>
      <c r="AF25" s="870"/>
      <c r="AG25" s="870"/>
      <c r="AH25" s="870"/>
      <c r="AI25" s="870"/>
      <c r="AJ25" s="870"/>
      <c r="AK25" s="870"/>
    </row>
    <row customHeight="1" ht="14.25">
      <c r="Q26" s="737"/>
      <c r="R26" s="737"/>
      <c r="S26" s="256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60"/>
      <c r="U26" s="2560"/>
      <c r="V26" s="2560"/>
      <c r="W26" s="2560"/>
      <c r="X26" s="2560"/>
      <c r="Y26" s="2560"/>
      <c r="Z26" s="2560"/>
      <c r="AA26" s="2560"/>
      <c r="AB26" s="2560"/>
      <c r="AC26" s="2560"/>
      <c r="AD26" s="2560"/>
      <c r="AE26" s="2560"/>
      <c r="AF26" s="2560"/>
      <c r="AG26" s="2560"/>
      <c r="AH26" s="2560"/>
      <c r="AI26" s="2560"/>
      <c r="AJ26" s="2560"/>
      <c r="AK26" s="1608"/>
    </row>
    <row customHeight="1" ht="14.25">
      <c r="Q27" s="737"/>
      <c r="R27" s="737"/>
      <c r="S27" s="2561" t="str">
        <f>IF(org=0,"Не определено",org)</f>
        <v>Филиал "Шатурская ГРЭС" ПАО "Юнипро"</v>
      </c>
      <c r="T27" s="2561"/>
      <c r="U27" s="2561"/>
      <c r="V27" s="2561"/>
      <c r="W27" s="2561"/>
      <c r="X27" s="2561"/>
      <c r="Y27" s="2561"/>
      <c r="Z27" s="2561"/>
      <c r="AA27" s="2561"/>
      <c r="AB27" s="2561"/>
      <c r="AC27" s="2561"/>
      <c r="AD27" s="2561"/>
      <c r="AE27" s="2561"/>
      <c r="AF27" s="2561"/>
      <c r="AG27" s="2561"/>
      <c r="AH27" s="2561"/>
      <c r="AI27" s="2561"/>
      <c r="AJ27" s="2561"/>
      <c r="AK27" s="1608"/>
    </row>
    <row customHeight="1" ht="14.25">
      <c r="Q28" s="737"/>
      <c r="R28" s="737"/>
      <c r="S28" s="1641"/>
      <c r="T28" s="724"/>
      <c r="U28" s="724"/>
      <c r="V28" s="683"/>
      <c r="W28" s="683"/>
      <c r="X28" s="683"/>
      <c r="Y28" s="683"/>
      <c r="Z28" s="683"/>
      <c r="AA28" s="683"/>
      <c r="AB28" s="683"/>
      <c r="AC28" s="683"/>
      <c r="AD28" s="683"/>
      <c r="AE28" s="683"/>
      <c r="AF28" s="683"/>
      <c r="AG28" s="683"/>
      <c r="AH28" s="683"/>
      <c r="AI28" s="683"/>
      <c r="AJ28" s="683"/>
      <c r="AK28" s="683"/>
      <c r="AL28" s="870"/>
    </row>
    <row s="19160" customFormat="1" customHeight="1" ht="25.5">
      <c r="A29" s="1734"/>
      <c r="B29" s="1734"/>
      <c r="C29" s="1734"/>
      <c r="D29" s="1734"/>
      <c r="E29" s="1734"/>
      <c r="F29" s="1734"/>
      <c r="G29" s="1734"/>
      <c r="H29" s="1734"/>
      <c r="I29" s="1734"/>
      <c r="J29" s="1734"/>
      <c r="K29" s="1734"/>
      <c r="L29" s="1735"/>
      <c r="M29" s="1734"/>
      <c r="N29" s="1734"/>
      <c r="O29" s="1734"/>
      <c r="S29" s="2518" t="s">
        <v>38</v>
      </c>
      <c r="T29" s="2518"/>
      <c r="U29" s="1738"/>
      <c r="V29" s="2520" t="str">
        <f>IF(TITLE_NAME_OR_PR_CHANGE="",IF(TITLE_NAME_OR_PR="","",TITLE_NAME_OR_PR),TITLE_NAME_OR_PR_CHANGE)</f>
        <v>Комитет по ценам и тарифам по Московской области</v>
      </c>
      <c r="W29" s="2520"/>
      <c r="X29" s="2520"/>
      <c r="Y29" s="2520"/>
      <c r="Z29" s="2520"/>
      <c r="AA29" s="2520"/>
      <c r="AB29" s="2520"/>
      <c r="AC29" s="687"/>
      <c r="AD29" s="2520" t="str">
        <f>IF(TITLE_NAME_OR_PR_CHANGE="",IF(TITLE_NAME_OR_PR="","",TITLE_NAME_OR_PR),TITLE_NAME_OR_PR_CHANGE)</f>
        <v>Комитет по ценам и тарифам по Московской области</v>
      </c>
      <c r="AE29" s="2520"/>
      <c r="AF29" s="2520"/>
      <c r="AG29" s="2520"/>
      <c r="AH29" s="2520"/>
      <c r="AI29" s="2520"/>
      <c r="AJ29" s="2520"/>
      <c r="AK29" s="687"/>
      <c r="AL29" s="687"/>
      <c r="AM29" s="641"/>
      <c r="AN29" s="729"/>
      <c r="AO29" s="729"/>
      <c r="AP29" s="729"/>
      <c r="AQ29" s="729"/>
      <c r="AR29" s="729"/>
    </row>
    <row s="19160" customFormat="1" customHeight="1" ht="18.75">
      <c r="A30" s="1734"/>
      <c r="B30" s="1734"/>
      <c r="C30" s="1734"/>
      <c r="D30" s="1734"/>
      <c r="E30" s="1734"/>
      <c r="F30" s="1734"/>
      <c r="G30" s="1734"/>
      <c r="H30" s="1734"/>
      <c r="I30" s="1734"/>
      <c r="J30" s="1734"/>
      <c r="K30" s="1734"/>
      <c r="L30" s="1735"/>
      <c r="M30" s="1734"/>
      <c r="N30" s="1734"/>
      <c r="O30" s="1734"/>
      <c r="S30" s="2518" t="s">
        <v>421</v>
      </c>
      <c r="T30" s="2518"/>
      <c r="U30" s="1738"/>
      <c r="V30" s="2519" t="str">
        <f>IF(TITLE_DATE_PR_CHANGE="",IF(TITLE_DATE_PR="","",TITLE_DATE_PR),TITLE_DATE_PR_CHANGE)</f>
        <v>45280.70914351852</v>
      </c>
      <c r="W30" s="2519"/>
      <c r="X30" s="2519"/>
      <c r="Y30" s="2519"/>
      <c r="Z30" s="2519"/>
      <c r="AA30" s="2519"/>
      <c r="AB30" s="2519"/>
      <c r="AC30" s="687"/>
      <c r="AD30" s="2519" t="str">
        <f>IF(TITLE_DATE_PR_CHANGE="",IF(TITLE_DATE_PR="","",TITLE_DATE_PR),TITLE_DATE_PR_CHANGE)</f>
        <v>45280.70914351852</v>
      </c>
      <c r="AE30" s="2519"/>
      <c r="AF30" s="2519"/>
      <c r="AG30" s="2519"/>
      <c r="AH30" s="2519"/>
      <c r="AI30" s="2519"/>
      <c r="AJ30" s="2519"/>
      <c r="AK30" s="687"/>
      <c r="AL30" s="687"/>
      <c r="AM30" s="641"/>
      <c r="AN30" s="729"/>
      <c r="AO30" s="729"/>
      <c r="AP30" s="729"/>
      <c r="AQ30" s="729"/>
      <c r="AR30" s="729"/>
    </row>
    <row s="19160" customFormat="1" customHeight="1" ht="18.75">
      <c r="A31" s="1734"/>
      <c r="B31" s="1734"/>
      <c r="C31" s="1734"/>
      <c r="D31" s="1734"/>
      <c r="E31" s="1734"/>
      <c r="F31" s="1734"/>
      <c r="G31" s="1734"/>
      <c r="H31" s="1734"/>
      <c r="I31" s="1734"/>
      <c r="J31" s="1734"/>
      <c r="K31" s="1734"/>
      <c r="L31" s="1735"/>
      <c r="M31" s="1734"/>
      <c r="N31" s="1734"/>
      <c r="O31" s="1734"/>
      <c r="S31" s="2518" t="s">
        <v>422</v>
      </c>
      <c r="T31" s="2518"/>
      <c r="U31" s="1738"/>
      <c r="V31" s="2520" t="str">
        <f>IF(TITLE_NUMBER_PR_CHANGE="",IF(TITLE_NUMBER_PR="","",TITLE_NUMBER_PR),TITLE_NUMBER_PR_CHANGE)</f>
        <v>317-Р</v>
      </c>
      <c r="W31" s="2520"/>
      <c r="X31" s="2520"/>
      <c r="Y31" s="2520"/>
      <c r="Z31" s="2520"/>
      <c r="AA31" s="2520"/>
      <c r="AB31" s="2520"/>
      <c r="AC31" s="687"/>
      <c r="AD31" s="2520" t="str">
        <f>IF(TITLE_NUMBER_PR_CHANGE="",IF(TITLE_NUMBER_PR="","",TITLE_NUMBER_PR),TITLE_NUMBER_PR_CHANGE)</f>
        <v>317-Р</v>
      </c>
      <c r="AE31" s="2520"/>
      <c r="AF31" s="2520"/>
      <c r="AG31" s="2520"/>
      <c r="AH31" s="2520"/>
      <c r="AI31" s="2520"/>
      <c r="AJ31" s="2520"/>
      <c r="AK31" s="687"/>
      <c r="AL31" s="687"/>
      <c r="AM31" s="641"/>
      <c r="AN31" s="729"/>
      <c r="AO31" s="729"/>
      <c r="AP31" s="729"/>
      <c r="AQ31" s="729"/>
      <c r="AR31" s="729"/>
    </row>
    <row s="19160" customFormat="1" customHeight="1" ht="18.75">
      <c r="A32" s="1734"/>
      <c r="B32" s="1734"/>
      <c r="C32" s="1734"/>
      <c r="D32" s="1734"/>
      <c r="E32" s="1734"/>
      <c r="F32" s="1734"/>
      <c r="G32" s="1734"/>
      <c r="H32" s="1734"/>
      <c r="I32" s="1734"/>
      <c r="J32" s="1734"/>
      <c r="K32" s="1734"/>
      <c r="L32" s="1735"/>
      <c r="M32" s="1734"/>
      <c r="N32" s="1734"/>
      <c r="O32" s="1734"/>
      <c r="S32" s="2518" t="s">
        <v>40</v>
      </c>
      <c r="T32" s="2518"/>
      <c r="U32" s="1738"/>
      <c r="V32"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520"/>
      <c r="X32" s="2520"/>
      <c r="Y32" s="2520"/>
      <c r="Z32" s="2520"/>
      <c r="AA32" s="2520"/>
      <c r="AB32" s="2520"/>
      <c r="AC32" s="687"/>
      <c r="AD32"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520"/>
      <c r="AF32" s="2520"/>
      <c r="AG32" s="2520"/>
      <c r="AH32" s="2520"/>
      <c r="AI32" s="2520"/>
      <c r="AJ32" s="2520"/>
      <c r="AK32" s="687"/>
      <c r="AL32" s="687"/>
      <c r="AM32" s="641"/>
      <c r="AN32" s="729"/>
      <c r="AO32" s="729"/>
      <c r="AP32" s="729"/>
      <c r="AQ32" s="729"/>
      <c r="AR32" s="729"/>
    </row>
    <row customHeight="1" ht="14.25" hidden="1">
      <c r="P33" s="1694"/>
      <c r="Q33" s="737"/>
      <c r="R33" s="737"/>
      <c r="S33" s="1641"/>
      <c r="T33" s="724"/>
      <c r="U33" s="724"/>
      <c r="V33" s="683"/>
      <c r="W33" s="683"/>
      <c r="X33" s="683"/>
      <c r="Y33" s="683"/>
      <c r="Z33" s="683"/>
      <c r="AA33" s="683"/>
      <c r="AB33" s="683"/>
      <c r="AC33" s="683"/>
      <c r="AD33" s="683"/>
      <c r="AE33" s="683"/>
      <c r="AF33" s="683"/>
      <c r="AG33" s="683"/>
      <c r="AH33" s="683"/>
      <c r="AI33" s="683"/>
      <c r="AJ33" s="683"/>
      <c r="AK33" s="683"/>
      <c r="AL33" s="870"/>
    </row>
    <row s="19160" customFormat="1" customHeight="1" ht="18.75" hidden="1">
      <c r="A34" s="1734"/>
      <c r="B34" s="1734"/>
      <c r="C34" s="1734"/>
      <c r="D34" s="1734"/>
      <c r="E34" s="1734"/>
      <c r="F34" s="1734"/>
      <c r="G34" s="1734"/>
      <c r="H34" s="1734"/>
      <c r="I34" s="1734"/>
      <c r="J34" s="1734"/>
      <c r="K34" s="1734"/>
      <c r="L34" s="1735"/>
      <c r="M34" s="1734"/>
      <c r="N34" s="1734"/>
      <c r="O34" s="1734"/>
      <c r="S34" s="2518" t="s">
        <v>423</v>
      </c>
      <c r="T34" s="2518"/>
      <c r="U34" s="1738"/>
      <c r="V34" s="2519" t="str">
        <f>IF(TITLE_DATE_PR_CHANGE="",IF(TITLE_DATE_PR="","",TITLE_DATE_PR),TITLE_DATE_PR_CHANGE)</f>
        <v>45280.70914351852</v>
      </c>
      <c r="W34" s="2519"/>
      <c r="X34" s="2519"/>
      <c r="Y34" s="2519"/>
      <c r="Z34" s="2519"/>
      <c r="AA34" s="2519"/>
      <c r="AB34" s="2519"/>
      <c r="AC34" s="687"/>
      <c r="AD34" s="2519" t="str">
        <f>IF(TITLE_DATE_PR_CHANGE="",IF(TITLE_DATE_PR="","",TITLE_DATE_PR),TITLE_DATE_PR_CHANGE)</f>
        <v>45280.70914351852</v>
      </c>
      <c r="AE34" s="2519"/>
      <c r="AF34" s="2519"/>
      <c r="AG34" s="2519"/>
      <c r="AH34" s="2519"/>
      <c r="AI34" s="2519"/>
      <c r="AJ34" s="2519"/>
      <c r="AK34" s="687"/>
      <c r="AL34" s="687"/>
      <c r="AM34" s="641"/>
      <c r="AN34" s="729"/>
      <c r="AO34" s="729"/>
      <c r="AP34" s="729"/>
      <c r="AQ34" s="729"/>
      <c r="AR34" s="729"/>
    </row>
    <row s="19160" customFormat="1" customHeight="1" ht="18.75" hidden="1">
      <c r="A35" s="1734"/>
      <c r="B35" s="1734"/>
      <c r="C35" s="1734"/>
      <c r="D35" s="1734"/>
      <c r="E35" s="1734"/>
      <c r="F35" s="1734"/>
      <c r="G35" s="1734"/>
      <c r="H35" s="1734"/>
      <c r="I35" s="1734"/>
      <c r="J35" s="1734"/>
      <c r="K35" s="1734"/>
      <c r="L35" s="1735"/>
      <c r="M35" s="1734"/>
      <c r="N35" s="1734"/>
      <c r="O35" s="1734"/>
      <c r="S35" s="2518" t="s">
        <v>424</v>
      </c>
      <c r="T35" s="2518"/>
      <c r="U35" s="1738"/>
      <c r="V35" s="2520" t="str">
        <f>IF(TITLE_NUMBER_PR_CHANGE="",IF(TITLE_NUMBER_PR="","",TITLE_NUMBER_PR),TITLE_NUMBER_PR_CHANGE)</f>
        <v>317-Р</v>
      </c>
      <c r="W35" s="2520"/>
      <c r="X35" s="2520"/>
      <c r="Y35" s="2520"/>
      <c r="Z35" s="2520"/>
      <c r="AA35" s="2520"/>
      <c r="AB35" s="2520"/>
      <c r="AC35" s="687"/>
      <c r="AD35" s="2520" t="str">
        <f>IF(TITLE_NUMBER_PR_CHANGE="",IF(TITLE_NUMBER_PR="","",TITLE_NUMBER_PR),TITLE_NUMBER_PR_CHANGE)</f>
        <v>317-Р</v>
      </c>
      <c r="AE35" s="2520"/>
      <c r="AF35" s="2520"/>
      <c r="AG35" s="2520"/>
      <c r="AH35" s="2520"/>
      <c r="AI35" s="2520"/>
      <c r="AJ35" s="2520"/>
      <c r="AK35" s="687"/>
      <c r="AL35" s="687"/>
      <c r="AM35" s="641"/>
      <c r="AN35" s="729"/>
      <c r="AO35" s="729"/>
      <c r="AP35" s="729"/>
      <c r="AQ35" s="729"/>
      <c r="AR35" s="729"/>
    </row>
    <row s="19160" customFormat="1" customHeight="1" ht="0">
      <c r="A36" s="1734"/>
      <c r="B36" s="1734"/>
      <c r="C36" s="1734"/>
      <c r="D36" s="1734"/>
      <c r="E36" s="1734"/>
      <c r="F36" s="1734"/>
      <c r="G36" s="1734"/>
      <c r="H36" s="1734"/>
      <c r="I36" s="1734"/>
      <c r="J36" s="1734"/>
      <c r="K36" s="1734"/>
      <c r="L36" s="1735"/>
      <c r="M36" s="1734"/>
      <c r="N36" s="1734"/>
      <c r="O36" s="1734"/>
      <c r="S36" s="684"/>
      <c r="T36" s="684"/>
      <c r="U36" s="1584"/>
      <c r="V36" s="687"/>
      <c r="W36" s="687"/>
      <c r="X36" s="687"/>
      <c r="Y36" s="687"/>
      <c r="Z36" s="687"/>
      <c r="AA36" s="687"/>
      <c r="AB36" s="687"/>
      <c r="AC36" s="639" t="s">
        <v>425</v>
      </c>
      <c r="AD36" s="687"/>
      <c r="AE36" s="687"/>
      <c r="AF36" s="687"/>
      <c r="AG36" s="687"/>
      <c r="AH36" s="687"/>
      <c r="AI36" s="687"/>
      <c r="AJ36" s="687"/>
      <c r="AK36" s="639" t="s">
        <v>425</v>
      </c>
      <c r="AN36" s="729"/>
      <c r="AO36" s="729"/>
      <c r="AP36" s="729"/>
      <c r="AQ36" s="729"/>
      <c r="AR36" s="729"/>
    </row>
    <row customHeight="1" ht="14.25">
      <c r="Q37" s="737"/>
      <c r="R37" s="737"/>
      <c r="S37" s="1641"/>
      <c r="T37" s="724"/>
      <c r="U37" s="1609"/>
      <c r="V37" s="2544"/>
      <c r="W37" s="2544"/>
      <c r="X37" s="2544"/>
      <c r="Y37" s="2544"/>
      <c r="Z37" s="2544"/>
      <c r="AA37" s="2544"/>
      <c r="AB37" s="2544"/>
      <c r="AC37" s="2544"/>
      <c r="AD37" s="2544"/>
      <c r="AE37" s="2544"/>
      <c r="AF37" s="2544"/>
      <c r="AG37" s="2544"/>
      <c r="AH37" s="2544"/>
      <c r="AI37" s="2544"/>
      <c r="AJ37" s="2544"/>
      <c r="AK37" s="2544"/>
    </row>
    <row customHeight="1" ht="14.25">
      <c r="Q38" s="737"/>
      <c r="R38" s="737"/>
      <c r="S38" s="2392" t="s">
        <v>300</v>
      </c>
      <c r="T38" s="2392"/>
      <c r="U38" s="2392"/>
      <c r="V38" s="2392"/>
      <c r="W38" s="2392"/>
      <c r="X38" s="2392"/>
      <c r="Y38" s="2392"/>
      <c r="Z38" s="2392"/>
      <c r="AA38" s="2392"/>
      <c r="AB38" s="2392"/>
      <c r="AC38" s="2392"/>
      <c r="AD38" s="2392"/>
      <c r="AE38" s="2392"/>
      <c r="AF38" s="2392"/>
      <c r="AG38" s="2392"/>
      <c r="AH38" s="2392"/>
      <c r="AI38" s="2392"/>
      <c r="AJ38" s="2392"/>
      <c r="AK38" s="2392"/>
      <c r="AL38" s="2392"/>
      <c r="AM38" s="2392" t="s">
        <v>301</v>
      </c>
    </row>
    <row customHeight="1" ht="14.25">
      <c r="Q39" s="737"/>
      <c r="R39" s="737"/>
      <c r="S39" s="2545" t="s">
        <v>85</v>
      </c>
      <c r="T39" s="2482" t="s">
        <v>426</v>
      </c>
      <c r="U39" s="662"/>
      <c r="V39" s="2546" t="s">
        <v>427</v>
      </c>
      <c r="W39" s="2547"/>
      <c r="X39" s="2547"/>
      <c r="Y39" s="2547"/>
      <c r="Z39" s="2547"/>
      <c r="AA39" s="2547"/>
      <c r="AB39" s="2548"/>
      <c r="AC39" s="2549" t="s">
        <v>428</v>
      </c>
      <c r="AD39" s="2546" t="s">
        <v>427</v>
      </c>
      <c r="AE39" s="2547"/>
      <c r="AF39" s="2547"/>
      <c r="AG39" s="2547"/>
      <c r="AH39" s="2547"/>
      <c r="AI39" s="2547"/>
      <c r="AJ39" s="2548"/>
      <c r="AK39" s="2549" t="s">
        <v>429</v>
      </c>
      <c r="AL39" s="2552" t="s">
        <v>430</v>
      </c>
      <c r="AM39" s="2392"/>
    </row>
    <row customHeight="1" ht="33.75">
      <c r="Q40" s="737"/>
      <c r="R40" s="737"/>
      <c r="S40" s="2545"/>
      <c r="T40" s="2482"/>
      <c r="U40" s="1393"/>
      <c r="V40" s="2555" t="s">
        <v>431</v>
      </c>
      <c r="W40" s="2536" t="s">
        <v>432</v>
      </c>
      <c r="X40" s="2538" t="s">
        <v>433</v>
      </c>
      <c r="Y40" s="2540"/>
      <c r="Z40" s="2538" t="s">
        <v>434</v>
      </c>
      <c r="AA40" s="2539"/>
      <c r="AB40" s="2540"/>
      <c r="AC40" s="2550"/>
      <c r="AD40" s="2555" t="s">
        <v>431</v>
      </c>
      <c r="AE40" s="2536" t="s">
        <v>432</v>
      </c>
      <c r="AF40" s="2538" t="s">
        <v>433</v>
      </c>
      <c r="AG40" s="2540"/>
      <c r="AH40" s="2538" t="s">
        <v>434</v>
      </c>
      <c r="AI40" s="2539"/>
      <c r="AJ40" s="2540"/>
      <c r="AK40" s="2550"/>
      <c r="AL40" s="2553"/>
      <c r="AM40" s="2392"/>
    </row>
    <row customHeight="1" ht="33.75">
      <c r="A41" s="1736"/>
      <c r="B41" s="1736" t="s">
        <v>132</v>
      </c>
      <c r="C41" s="1736" t="s">
        <v>133</v>
      </c>
      <c r="D41" s="1736" t="s">
        <v>134</v>
      </c>
      <c r="E41" s="1730" t="s">
        <v>435</v>
      </c>
      <c r="F41" s="1730" t="s">
        <v>436</v>
      </c>
      <c r="G41" s="1730" t="s">
        <v>437</v>
      </c>
      <c r="H41" s="1730" t="s">
        <v>438</v>
      </c>
      <c r="I41" s="1730" t="s">
        <v>439</v>
      </c>
      <c r="J41" s="1730" t="s">
        <v>440</v>
      </c>
      <c r="K41" s="1730" t="s">
        <v>441</v>
      </c>
      <c r="L41" s="1730" t="s">
        <v>416</v>
      </c>
      <c r="Q41" s="737"/>
      <c r="R41" s="737"/>
      <c r="S41" s="2545"/>
      <c r="T41" s="2482"/>
      <c r="U41" s="663"/>
      <c r="V41" s="2556"/>
      <c r="W41" s="2537"/>
      <c r="X41" s="1587" t="s">
        <v>442</v>
      </c>
      <c r="Y41" s="1587" t="s">
        <v>443</v>
      </c>
      <c r="Z41" s="1586" t="s">
        <v>444</v>
      </c>
      <c r="AA41" s="2541" t="s">
        <v>445</v>
      </c>
      <c r="AB41" s="2542"/>
      <c r="AC41" s="2551"/>
      <c r="AD41" s="2556"/>
      <c r="AE41" s="2537"/>
      <c r="AF41" s="1587" t="s">
        <v>442</v>
      </c>
      <c r="AG41" s="1587" t="s">
        <v>443</v>
      </c>
      <c r="AH41" s="1679" t="s">
        <v>444</v>
      </c>
      <c r="AI41" s="2541" t="s">
        <v>445</v>
      </c>
      <c r="AJ41" s="2542"/>
      <c r="AK41" s="2551"/>
      <c r="AL41" s="2554"/>
      <c r="AM41" s="2392"/>
    </row>
    <row s="18977" customFormat="1" customHeight="1" ht="11.25" hidden="1">
      <c r="A42" s="1736"/>
      <c r="B42" s="1736"/>
      <c r="C42" s="1736"/>
      <c r="D42" s="1736"/>
      <c r="E42" s="1736"/>
      <c r="F42" s="1736"/>
      <c r="G42" s="1736"/>
      <c r="H42" s="1736"/>
      <c r="I42" s="1736"/>
      <c r="J42" s="1736"/>
      <c r="K42" s="1736"/>
      <c r="L42" s="1730"/>
      <c r="M42" s="1728"/>
      <c r="N42" s="1728"/>
      <c r="O42" s="1728"/>
      <c r="P42" s="1611"/>
      <c r="Q42" s="1612"/>
      <c r="R42" s="1619">
        <v>1</v>
      </c>
      <c r="S42" s="1643" t="s">
        <v>106</v>
      </c>
      <c r="T42" s="1620" t="s">
        <v>107</v>
      </c>
      <c r="U42" s="1610" t="str">
        <f>OFFSET(U42,0,-1)</f>
        <v>2</v>
      </c>
      <c r="V42" s="1621">
        <f>OFFSET(V42,0,-1)+1</f>
        <v>3</v>
      </c>
      <c r="W42" s="1621"/>
      <c r="X42" s="1621">
        <f>OFFSET(X42,0,-1)+1</f>
        <v>1</v>
      </c>
      <c r="Y42" s="1621">
        <f>OFFSET(Y42,0,-1)+1</f>
        <v>2</v>
      </c>
      <c r="Z42" s="1621">
        <f>OFFSET(Z42,0,-1)+1</f>
        <v>3</v>
      </c>
      <c r="AA42" s="2543">
        <f>OFFSET(AA42,0,-1)+1</f>
        <v>4</v>
      </c>
      <c r="AB42" s="2543"/>
      <c r="AC42" s="1621">
        <f>OFFSET(AC42,0,-2)+1</f>
        <v>5</v>
      </c>
      <c r="AD42" s="1678">
        <f>OFFSET(AD42,0,-1)+1</f>
        <v>6</v>
      </c>
      <c r="AE42" s="1678"/>
      <c r="AF42" s="1678">
        <f>OFFSET(AF42,0,-1)+1</f>
        <v>1</v>
      </c>
      <c r="AG42" s="1678">
        <f>OFFSET(AG42,0,-1)+1</f>
        <v>2</v>
      </c>
      <c r="AH42" s="1678">
        <f>OFFSET(AH42,0,-1)+1</f>
        <v>3</v>
      </c>
      <c r="AI42" s="2543">
        <f>OFFSET(AI42,0,-1)+1</f>
        <v>4</v>
      </c>
      <c r="AJ42" s="2543"/>
      <c r="AK42" s="1678">
        <f>OFFSET(AK42,0,-2)+1</f>
        <v>5</v>
      </c>
      <c r="AL42" s="1610">
        <f>OFFSET(AL42,0,-1)</f>
        <v>5</v>
      </c>
      <c r="AM42" s="1621">
        <f>OFFSET(AM42,0,-1)+1</f>
        <v>6</v>
      </c>
      <c r="AN42" s="872"/>
      <c r="AO42" s="872"/>
      <c r="AP42" s="872"/>
      <c r="AQ42" s="872"/>
      <c r="AR42" s="872"/>
    </row>
    <row customHeight="1" ht="23.25">
      <c r="A43" s="1729" t="s">
        <v>153</v>
      </c>
      <c r="B43" s="1729"/>
      <c r="C43" s="1729"/>
      <c r="D43" s="1729"/>
      <c r="E43" s="2527">
        <v>1</v>
      </c>
      <c r="F43" s="1729"/>
      <c r="G43" s="1729"/>
      <c r="H43" s="1729"/>
      <c r="I43" s="1729"/>
      <c r="J43" s="1729"/>
      <c r="K43" s="1729"/>
      <c r="L43" s="1730"/>
      <c r="M43" s="1731"/>
      <c r="N43" s="1731"/>
      <c r="O43" s="1731"/>
      <c r="P43" s="722"/>
      <c r="Q43" s="721"/>
      <c r="R43" s="716"/>
      <c r="S43" s="1589">
        <f>INDEX(PT_DIFFERENTIATION_NUM_NTAR,MATCH(A43,PT_DIFFERENTIATION_NTAR_ID,0))</f>
        <v>0</v>
      </c>
      <c r="T43" s="659" t="s">
        <v>120</v>
      </c>
      <c r="U43" s="661"/>
      <c r="V43" s="2521"/>
      <c r="W43" s="2522"/>
      <c r="X43" s="2522"/>
      <c r="Y43" s="2522"/>
      <c r="Z43" s="2522"/>
      <c r="AA43" s="2522"/>
      <c r="AB43" s="2522"/>
      <c r="AC43" s="2523"/>
      <c r="AD43" s="2521" t="str">
        <f>INDEX(PT_DIFFERENTIATION_NTAR,MATCH(A43,PT_DIFFERENTIATION_NTAR_ID,0))</f>
        <v/>
      </c>
      <c r="AE43" s="2522"/>
      <c r="AF43" s="2522"/>
      <c r="AG43" s="2522"/>
      <c r="AH43" s="2522"/>
      <c r="AI43" s="2522"/>
      <c r="AJ43" s="2522"/>
      <c r="AK43" s="2522"/>
      <c r="AL43" s="2523"/>
      <c r="AM43" s="162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861"/>
      <c r="AP43" s="861" t="str">
        <f>IF(T43="","",T43)</f>
        <v>Наименование тарифа</v>
      </c>
      <c r="AQ43" s="861"/>
      <c r="AR43" s="861"/>
    </row>
    <row customHeight="1" ht="23.25">
      <c r="A44" s="1729" t="s">
        <v>153</v>
      </c>
      <c r="B44" s="1729" t="s">
        <v>154</v>
      </c>
      <c r="C44" s="1729"/>
      <c r="D44" s="1729"/>
      <c r="E44" s="2528"/>
      <c r="F44" s="2527">
        <v>1</v>
      </c>
      <c r="G44" s="1729"/>
      <c r="H44" s="1729"/>
      <c r="I44" s="1729"/>
      <c r="J44" s="1729"/>
      <c r="K44" s="1729"/>
      <c r="L44" s="1730"/>
      <c r="M44" s="1731"/>
      <c r="N44" s="1731"/>
      <c r="O44" s="1731"/>
      <c r="P44" s="883"/>
      <c r="Q44" s="713"/>
      <c r="R44" s="714"/>
      <c r="S44" s="1589" t="str">
        <f>INDEX(PT_DIFFERENTIATION_NUM_TER,MATCH(B44,PT_DIFFERENTIATION_TER_ID,0))</f>
        <v>.</v>
      </c>
      <c r="T44" s="669" t="s">
        <v>397</v>
      </c>
      <c r="U44" s="661"/>
      <c r="V44" s="2521"/>
      <c r="W44" s="2522"/>
      <c r="X44" s="2522"/>
      <c r="Y44" s="2522"/>
      <c r="Z44" s="2522"/>
      <c r="AA44" s="2522"/>
      <c r="AB44" s="2522"/>
      <c r="AC44" s="2523"/>
      <c r="AD44" s="2521" t="str">
        <f>INDEX(PT_DIFFERENTIATION_TER,MATCH(B44,PT_DIFFERENTIATION_TER_ID,0))</f>
        <v/>
      </c>
      <c r="AE44" s="2522"/>
      <c r="AF44" s="2522"/>
      <c r="AG44" s="2522"/>
      <c r="AH44" s="2522"/>
      <c r="AI44" s="2522"/>
      <c r="AJ44" s="2522"/>
      <c r="AK44" s="2522"/>
      <c r="AL44" s="2523"/>
      <c r="AM44" s="1623" t="s">
        <v>398</v>
      </c>
      <c r="AO44" s="861"/>
      <c r="AP44" s="861" t="str">
        <f>IF(T44="","",T44)</f>
        <v>Территория действия тарифа</v>
      </c>
      <c r="AQ44" s="861"/>
      <c r="AR44" s="861"/>
    </row>
    <row customHeight="1" ht="23.25">
      <c r="A45" s="1729" t="s">
        <v>153</v>
      </c>
      <c r="B45" s="1729" t="s">
        <v>154</v>
      </c>
      <c r="C45" s="1729" t="s">
        <v>155</v>
      </c>
      <c r="D45" s="1729"/>
      <c r="E45" s="2528"/>
      <c r="F45" s="2528"/>
      <c r="G45" s="2527">
        <v>1</v>
      </c>
      <c r="H45" s="1729"/>
      <c r="I45" s="1729"/>
      <c r="J45" s="1729"/>
      <c r="K45" s="1729"/>
      <c r="L45" s="1730"/>
      <c r="M45" s="1731"/>
      <c r="N45" s="1731"/>
      <c r="O45" s="1731"/>
      <c r="P45" s="715"/>
      <c r="Q45" s="713"/>
      <c r="R45" s="714"/>
      <c r="S45" s="1589" t="str">
        <f>INDEX(PT_DIFFERENTIATION_NUM_CS,MATCH(C45,PT_DIFFERENTIATION_CS_ID,0))</f>
        <v>..</v>
      </c>
      <c r="T45" s="670" t="s">
        <v>399</v>
      </c>
      <c r="U45" s="661"/>
      <c r="V45" s="2521"/>
      <c r="W45" s="2522"/>
      <c r="X45" s="2522"/>
      <c r="Y45" s="2522"/>
      <c r="Z45" s="2522"/>
      <c r="AA45" s="2522"/>
      <c r="AB45" s="2522"/>
      <c r="AC45" s="2523"/>
      <c r="AD45" s="2521" t="str">
        <f>INDEX(PT_DIFFERENTIATION_CS,MATCH(C45,PT_DIFFERENTIATION_CS_ID,0))</f>
        <v/>
      </c>
      <c r="AE45" s="2522"/>
      <c r="AF45" s="2522"/>
      <c r="AG45" s="2522"/>
      <c r="AH45" s="2522"/>
      <c r="AI45" s="2522"/>
      <c r="AJ45" s="2522"/>
      <c r="AK45" s="2522"/>
      <c r="AL45" s="2523"/>
      <c r="AM45" s="1623" t="s">
        <v>400</v>
      </c>
      <c r="AO45" s="861"/>
      <c r="AP45" s="861" t="str">
        <f>IF(T45="","",T45)</f>
        <v>Наименование системы теплоснабжения </v>
      </c>
      <c r="AQ45" s="861"/>
      <c r="AR45" s="861"/>
    </row>
    <row customHeight="1" ht="23.25">
      <c r="A46" s="1729" t="s">
        <v>153</v>
      </c>
      <c r="B46" s="1729" t="s">
        <v>154</v>
      </c>
      <c r="C46" s="1729" t="s">
        <v>155</v>
      </c>
      <c r="D46" s="1729" t="s">
        <v>156</v>
      </c>
      <c r="E46" s="2528"/>
      <c r="F46" s="2528"/>
      <c r="G46" s="2528"/>
      <c r="H46" s="2527">
        <v>1</v>
      </c>
      <c r="I46" s="1729"/>
      <c r="J46" s="1729"/>
      <c r="K46" s="1729"/>
      <c r="L46" s="1730"/>
      <c r="M46" s="1731"/>
      <c r="N46" s="1731"/>
      <c r="O46" s="1731"/>
      <c r="P46" s="715"/>
      <c r="Q46" s="713"/>
      <c r="R46" s="714"/>
      <c r="S46" s="1589" t="str">
        <f>INDEX(PT_DIFFERENTIATION_NUM_IST_TE,MATCH(D46,PT_DIFFERENTIATION_IST_TE_ID,0))</f>
        <v>...</v>
      </c>
      <c r="T46" s="671" t="s">
        <v>401</v>
      </c>
      <c r="U46" s="661"/>
      <c r="V46" s="2521"/>
      <c r="W46" s="2522"/>
      <c r="X46" s="2522"/>
      <c r="Y46" s="2522"/>
      <c r="Z46" s="2522"/>
      <c r="AA46" s="2522"/>
      <c r="AB46" s="2522"/>
      <c r="AC46" s="2523"/>
      <c r="AD46" s="2521" t="str">
        <f>INDEX(PT_DIFFERENTIATION_IST_TE,MATCH(D46,PT_DIFFERENTIATION_IST_TE_ID,0))</f>
        <v/>
      </c>
      <c r="AE46" s="2522"/>
      <c r="AF46" s="2522"/>
      <c r="AG46" s="2522"/>
      <c r="AH46" s="2522"/>
      <c r="AI46" s="2522"/>
      <c r="AJ46" s="2522"/>
      <c r="AK46" s="2522"/>
      <c r="AL46" s="2523"/>
      <c r="AM46" s="1623" t="s">
        <v>402</v>
      </c>
      <c r="AO46" s="861"/>
      <c r="AP46" s="861" t="str">
        <f>IF(T46="","",T46)</f>
        <v>Источник тепловой энергии  </v>
      </c>
      <c r="AQ46" s="861"/>
      <c r="AR46" s="861"/>
    </row>
    <row customHeight="1" ht="47.25">
      <c r="A47" s="1729" t="s">
        <v>153</v>
      </c>
      <c r="B47" s="1729" t="s">
        <v>154</v>
      </c>
      <c r="C47" s="1729" t="s">
        <v>155</v>
      </c>
      <c r="D47" s="1729" t="s">
        <v>156</v>
      </c>
      <c r="E47" s="2528"/>
      <c r="F47" s="2528"/>
      <c r="G47" s="2528"/>
      <c r="H47" s="2528"/>
      <c r="I47" s="2529" t="str">
        <f>S46&amp;".1"</f>
        <v>....1</v>
      </c>
      <c r="J47" s="1729"/>
      <c r="K47" s="1729"/>
      <c r="L47" s="1730" t="s">
        <v>403</v>
      </c>
      <c r="P47" s="2531">
        <v>1</v>
      </c>
      <c r="Q47" s="1585"/>
      <c r="R47" s="717"/>
      <c r="S47" s="1589" t="str">
        <f>$I47</f>
        <v>....1</v>
      </c>
      <c r="T47" s="646" t="s">
        <v>404</v>
      </c>
      <c r="U47" s="661"/>
      <c r="V47" s="2515"/>
      <c r="W47" s="2516"/>
      <c r="X47" s="2516"/>
      <c r="Y47" s="2516"/>
      <c r="Z47" s="2516"/>
      <c r="AA47" s="2516"/>
      <c r="AB47" s="2516"/>
      <c r="AC47" s="2517"/>
      <c r="AD47" s="2515"/>
      <c r="AE47" s="2516"/>
      <c r="AF47" s="2516"/>
      <c r="AG47" s="2516"/>
      <c r="AH47" s="2516"/>
      <c r="AI47" s="2516"/>
      <c r="AJ47" s="2516"/>
      <c r="AK47" s="2516"/>
      <c r="AL47" s="2517"/>
      <c r="AM47" s="1623" t="s">
        <v>405</v>
      </c>
      <c r="AO47" s="861"/>
      <c r="AP47" s="861" t="str">
        <f>IF(T47="","",T47)</f>
        <v>Схема подключения теплопотребляющей установки к коллектору источника тепловой энергии</v>
      </c>
      <c r="AQ47" s="861"/>
      <c r="AR47" s="861"/>
    </row>
    <row customHeight="1" ht="23.25">
      <c r="A48" s="1729" t="s">
        <v>153</v>
      </c>
      <c r="B48" s="1729" t="s">
        <v>154</v>
      </c>
      <c r="C48" s="1729" t="s">
        <v>155</v>
      </c>
      <c r="D48" s="1729" t="s">
        <v>156</v>
      </c>
      <c r="E48" s="2528"/>
      <c r="F48" s="2528"/>
      <c r="G48" s="2528"/>
      <c r="H48" s="2528"/>
      <c r="I48" s="2530"/>
      <c r="J48" s="2529" t="str">
        <f>I47&amp;".1"</f>
        <v>....1.1</v>
      </c>
      <c r="K48" s="1729"/>
      <c r="L48" s="1730" t="s">
        <v>406</v>
      </c>
      <c r="P48" s="2531"/>
      <c r="Q48" s="2531">
        <v>1</v>
      </c>
      <c r="R48" s="718"/>
      <c r="S48" s="1589" t="str">
        <f>$J48</f>
        <v>....1.1</v>
      </c>
      <c r="T48" s="647" t="s">
        <v>407</v>
      </c>
      <c r="U48" s="661"/>
      <c r="V48" s="2515"/>
      <c r="W48" s="2516"/>
      <c r="X48" s="2516"/>
      <c r="Y48" s="2516"/>
      <c r="Z48" s="2516"/>
      <c r="AA48" s="2516"/>
      <c r="AB48" s="2516"/>
      <c r="AC48" s="2517"/>
      <c r="AD48" s="2515"/>
      <c r="AE48" s="2516"/>
      <c r="AF48" s="2516"/>
      <c r="AG48" s="2516"/>
      <c r="AH48" s="2516"/>
      <c r="AI48" s="2516"/>
      <c r="AJ48" s="2516"/>
      <c r="AK48" s="2516"/>
      <c r="AL48" s="2517"/>
      <c r="AM48" s="1623" t="s">
        <v>408</v>
      </c>
      <c r="AO48" s="861"/>
      <c r="AP48" s="861" t="str">
        <f>IF(T48="","",T48)</f>
        <v>Группа потребителей</v>
      </c>
      <c r="AQ48" s="861"/>
      <c r="AR48" s="861"/>
    </row>
    <row customHeight="1" ht="23.25">
      <c r="A49" s="1729" t="s">
        <v>153</v>
      </c>
      <c r="B49" s="1729" t="s">
        <v>154</v>
      </c>
      <c r="C49" s="1729" t="s">
        <v>155</v>
      </c>
      <c r="D49" s="1729" t="s">
        <v>156</v>
      </c>
      <c r="E49" s="2528"/>
      <c r="F49" s="2528"/>
      <c r="G49" s="2528"/>
      <c r="H49" s="2528"/>
      <c r="I49" s="2530"/>
      <c r="J49" s="2530"/>
      <c r="K49" s="2529" t="str">
        <f>J48&amp;".1"</f>
        <v>....1.1.1</v>
      </c>
      <c r="L49" s="1730" t="s">
        <v>409</v>
      </c>
      <c r="P49" s="2531"/>
      <c r="Q49" s="2531"/>
      <c r="R49" s="718">
        <v>1</v>
      </c>
      <c r="S49" s="1589" t="str">
        <f>$K49</f>
        <v>....1.1.1</v>
      </c>
      <c r="T49" s="1713"/>
      <c r="U49" s="661"/>
      <c r="V49" s="1112"/>
      <c r="W49" s="686"/>
      <c r="X49" s="1112"/>
      <c r="Y49" s="1622"/>
      <c r="Z49" s="2532"/>
      <c r="AA49" s="2402" t="s">
        <v>59</v>
      </c>
      <c r="AB49" s="2532"/>
      <c r="AC49" s="2402" t="s">
        <v>59</v>
      </c>
      <c r="AD49" s="1112"/>
      <c r="AE49" s="686"/>
      <c r="AF49" s="1112"/>
      <c r="AG49" s="1622"/>
      <c r="AH49" s="2532"/>
      <c r="AI49" s="2402" t="s">
        <v>59</v>
      </c>
      <c r="AJ49" s="2534"/>
      <c r="AK49" s="2402" t="s">
        <v>59</v>
      </c>
      <c r="AL49" s="1714"/>
      <c r="AM49" s="2557" t="s">
        <v>410</v>
      </c>
      <c r="AN49" s="872">
        <f>STRCHECKDATE(V50:AL50)</f>
      </c>
      <c r="AO49" s="861"/>
      <c r="AP49" s="861" t="str">
        <f>IF(T49="","",T49)</f>
        <v/>
      </c>
      <c r="AQ49" s="861"/>
      <c r="AR49" s="861"/>
    </row>
    <row customHeight="1" ht="0.75">
      <c r="A50" s="1729" t="s">
        <v>153</v>
      </c>
      <c r="B50" s="1729" t="s">
        <v>154</v>
      </c>
      <c r="C50" s="1729" t="s">
        <v>155</v>
      </c>
      <c r="D50" s="1729" t="s">
        <v>156</v>
      </c>
      <c r="E50" s="2528"/>
      <c r="F50" s="2528"/>
      <c r="G50" s="2528"/>
      <c r="H50" s="2528"/>
      <c r="I50" s="2530"/>
      <c r="J50" s="2530"/>
      <c r="K50" s="2529"/>
      <c r="L50" s="1730"/>
      <c r="P50" s="2531"/>
      <c r="Q50" s="2531"/>
      <c r="R50" s="718"/>
      <c r="S50" s="1588"/>
      <c r="T50" s="661"/>
      <c r="U50" s="661"/>
      <c r="V50" s="686"/>
      <c r="W50" s="686"/>
      <c r="X50" s="686"/>
      <c r="Y50" s="689" t="str">
        <f>Z49&amp;"-"&amp;AB49</f>
        <v>-</v>
      </c>
      <c r="Z50" s="2533"/>
      <c r="AA50" s="2402"/>
      <c r="AB50" s="2533"/>
      <c r="AC50" s="2402"/>
      <c r="AD50" s="686"/>
      <c r="AE50" s="686"/>
      <c r="AF50" s="686"/>
      <c r="AG50" s="689" t="str">
        <f>AH49&amp;"-"&amp;AJ49</f>
        <v>-</v>
      </c>
      <c r="AH50" s="2533"/>
      <c r="AI50" s="2402"/>
      <c r="AJ50" s="2535"/>
      <c r="AK50" s="2402"/>
      <c r="AL50" s="1715"/>
      <c r="AM50" s="2558"/>
      <c r="AO50" s="861"/>
      <c r="AP50" s="861" t="str">
        <f>IF(T50="","",T50)</f>
        <v/>
      </c>
      <c r="AQ50" s="861"/>
      <c r="AR50" s="861"/>
    </row>
    <row customHeight="1" ht="11.25">
      <c r="A51" s="1729" t="s">
        <v>153</v>
      </c>
      <c r="B51" s="1729" t="s">
        <v>154</v>
      </c>
      <c r="C51" s="1729" t="s">
        <v>155</v>
      </c>
      <c r="D51" s="1729" t="s">
        <v>156</v>
      </c>
      <c r="E51" s="2528"/>
      <c r="F51" s="2528"/>
      <c r="G51" s="2528"/>
      <c r="H51" s="2528"/>
      <c r="I51" s="2530"/>
      <c r="J51" s="2529"/>
      <c r="K51" s="1729"/>
      <c r="L51" s="1730"/>
      <c r="P51" s="2531"/>
      <c r="Q51" s="2531"/>
      <c r="R51" s="717"/>
      <c r="S51" s="1644"/>
      <c r="T51" s="649" t="s">
        <v>411</v>
      </c>
      <c r="U51" s="728"/>
      <c r="V51" s="728"/>
      <c r="W51" s="728"/>
      <c r="X51" s="728"/>
      <c r="Y51" s="728"/>
      <c r="Z51" s="728"/>
      <c r="AA51" s="728"/>
      <c r="AB51" s="728"/>
      <c r="AC51" s="728"/>
      <c r="AD51" s="728"/>
      <c r="AE51" s="728"/>
      <c r="AF51" s="728"/>
      <c r="AG51" s="728"/>
      <c r="AH51" s="728"/>
      <c r="AI51" s="728"/>
      <c r="AJ51" s="728"/>
      <c r="AK51" s="728"/>
      <c r="AL51" s="685"/>
      <c r="AM51" s="2559"/>
      <c r="AO51" s="861"/>
      <c r="AP51" s="861" t="str">
        <f>IF(T51="","",T51)</f>
        <v>Добавить вид теплоносителя (параметры теплоносителя)</v>
      </c>
      <c r="AQ51" s="861"/>
      <c r="AR51" s="861"/>
    </row>
    <row customHeight="1" ht="11.25">
      <c r="A52" s="1729" t="s">
        <v>153</v>
      </c>
      <c r="B52" s="1729" t="s">
        <v>154</v>
      </c>
      <c r="C52" s="1729" t="s">
        <v>155</v>
      </c>
      <c r="D52" s="1729" t="s">
        <v>156</v>
      </c>
      <c r="E52" s="2528"/>
      <c r="F52" s="2528"/>
      <c r="G52" s="2528"/>
      <c r="H52" s="2528"/>
      <c r="I52" s="2529"/>
      <c r="J52" s="1729"/>
      <c r="K52" s="1729"/>
      <c r="L52" s="1730"/>
      <c r="P52" s="2531"/>
      <c r="Q52" s="1585"/>
      <c r="R52" s="717"/>
      <c r="S52" s="1644"/>
      <c r="T52" s="648" t="s">
        <v>412</v>
      </c>
      <c r="U52" s="728"/>
      <c r="V52" s="728"/>
      <c r="W52" s="728"/>
      <c r="X52" s="728"/>
      <c r="Y52" s="728"/>
      <c r="Z52" s="728"/>
      <c r="AA52" s="728"/>
      <c r="AB52" s="728"/>
      <c r="AC52" s="727"/>
      <c r="AD52" s="728"/>
      <c r="AE52" s="728"/>
      <c r="AF52" s="728"/>
      <c r="AG52" s="728"/>
      <c r="AH52" s="728"/>
      <c r="AI52" s="728"/>
      <c r="AJ52" s="728"/>
      <c r="AK52" s="727"/>
      <c r="AL52" s="728"/>
      <c r="AM52" s="664"/>
      <c r="AO52" s="861"/>
      <c r="AP52" s="861" t="str">
        <f>IF(T52="","",T52)</f>
        <v>Добавить группу потребителей</v>
      </c>
      <c r="AQ52" s="861"/>
      <c r="AR52" s="861"/>
    </row>
    <row customHeight="1" ht="14.25">
      <c r="A53" s="1729" t="s">
        <v>153</v>
      </c>
      <c r="B53" s="1729" t="s">
        <v>154</v>
      </c>
      <c r="C53" s="1729" t="s">
        <v>155</v>
      </c>
      <c r="D53" s="1729" t="s">
        <v>156</v>
      </c>
      <c r="E53" s="2528"/>
      <c r="F53" s="2528"/>
      <c r="G53" s="2528"/>
      <c r="H53" s="2527"/>
      <c r="I53" s="1729"/>
      <c r="J53" s="1729"/>
      <c r="K53" s="1729"/>
      <c r="L53" s="1730"/>
      <c r="M53" s="1731"/>
      <c r="N53" s="1731"/>
      <c r="O53" s="898"/>
      <c r="P53" s="721"/>
      <c r="Q53" s="736"/>
      <c r="R53" s="716"/>
      <c r="S53" s="1644"/>
      <c r="T53" s="726" t="s">
        <v>413</v>
      </c>
      <c r="U53" s="728"/>
      <c r="V53" s="728"/>
      <c r="W53" s="728"/>
      <c r="X53" s="728"/>
      <c r="Y53" s="728"/>
      <c r="Z53" s="728"/>
      <c r="AA53" s="728"/>
      <c r="AB53" s="728"/>
      <c r="AC53" s="727"/>
      <c r="AD53" s="728"/>
      <c r="AE53" s="728"/>
      <c r="AF53" s="728"/>
      <c r="AG53" s="728"/>
      <c r="AH53" s="728"/>
      <c r="AI53" s="728"/>
      <c r="AJ53" s="728"/>
      <c r="AK53" s="727"/>
      <c r="AL53" s="728"/>
      <c r="AM53" s="664"/>
      <c r="AO53" s="861"/>
      <c r="AP53" s="861" t="str">
        <f>IF(T53="","",T53)</f>
        <v>Добавить схему подключения</v>
      </c>
      <c r="AQ53" s="861"/>
      <c r="AR53" s="861"/>
    </row>
    <row s="19127" customFormat="1" customHeight="1" ht="0.75">
      <c r="A54" s="1709" t="s">
        <v>153</v>
      </c>
      <c r="B54" s="1709" t="s">
        <v>154</v>
      </c>
      <c r="C54" s="1709" t="s">
        <v>155</v>
      </c>
      <c r="D54" s="1680"/>
      <c r="E54" s="2528"/>
      <c r="F54" s="2528"/>
      <c r="G54" s="2527"/>
      <c r="H54" s="1680"/>
      <c r="I54" s="1680"/>
      <c r="J54" s="1680"/>
      <c r="K54" s="1680"/>
      <c r="L54" s="1705"/>
      <c r="M54" s="1681"/>
      <c r="N54" s="1681"/>
      <c r="P54" s="1682"/>
      <c r="Q54" s="1683"/>
      <c r="R54" s="1682"/>
      <c r="S54" s="1688"/>
      <c r="T54" s="1691" t="s">
        <v>414</v>
      </c>
      <c r="U54" s="1690"/>
      <c r="V54" s="1690"/>
      <c r="W54" s="1690"/>
      <c r="X54" s="1690"/>
      <c r="Y54" s="1690"/>
      <c r="Z54" s="1690"/>
      <c r="AA54" s="1690"/>
      <c r="AB54" s="1690"/>
      <c r="AC54" s="1690"/>
      <c r="AD54" s="1690"/>
      <c r="AE54" s="1690"/>
      <c r="AF54" s="1690"/>
      <c r="AG54" s="1690"/>
      <c r="AH54" s="1690"/>
      <c r="AI54" s="1690"/>
      <c r="AJ54" s="1690"/>
      <c r="AK54" s="1690"/>
      <c r="AL54" s="1690"/>
      <c r="AM54" s="1690"/>
      <c r="AO54" s="1150"/>
      <c r="AP54" s="1150" t="str">
        <f>IF(T54="","",T54)</f>
        <v>Добавить источник для дифференциации</v>
      </c>
      <c r="AQ54" s="1150"/>
      <c r="AR54" s="1150"/>
    </row>
    <row s="19127" customFormat="1" customHeight="1" ht="0.75">
      <c r="A55" s="1709" t="s">
        <v>153</v>
      </c>
      <c r="B55" s="1709" t="s">
        <v>154</v>
      </c>
      <c r="C55" s="1680"/>
      <c r="D55" s="1680"/>
      <c r="E55" s="2528"/>
      <c r="F55" s="2527"/>
      <c r="G55" s="1680"/>
      <c r="H55" s="1680"/>
      <c r="I55" s="1680"/>
      <c r="J55" s="1680"/>
      <c r="K55" s="1680"/>
      <c r="L55" s="1705"/>
      <c r="M55" s="1687"/>
      <c r="N55" s="1687"/>
      <c r="P55" s="1682"/>
      <c r="Q55" s="1683"/>
      <c r="R55" s="1682"/>
      <c r="S55" s="1688"/>
      <c r="T55" s="1691" t="s">
        <v>251</v>
      </c>
      <c r="U55" s="1690"/>
      <c r="V55" s="1690"/>
      <c r="W55" s="1690"/>
      <c r="X55" s="1690"/>
      <c r="Y55" s="1690"/>
      <c r="Z55" s="1690"/>
      <c r="AA55" s="1690"/>
      <c r="AB55" s="1690"/>
      <c r="AC55" s="1690"/>
      <c r="AD55" s="1690"/>
      <c r="AE55" s="1690"/>
      <c r="AF55" s="1690"/>
      <c r="AG55" s="1690"/>
      <c r="AH55" s="1690"/>
      <c r="AI55" s="1690"/>
      <c r="AJ55" s="1690"/>
      <c r="AK55" s="1690"/>
      <c r="AL55" s="1690"/>
      <c r="AM55" s="1690"/>
      <c r="AO55" s="1150"/>
      <c r="AP55" s="1150" t="str">
        <f>IF(T55="","",T55)</f>
        <v>Добавить централизованную систему для дифференциации</v>
      </c>
      <c r="AQ55" s="1150"/>
      <c r="AR55" s="1150"/>
    </row>
    <row s="19219" customFormat="1" customHeight="1" ht="0.75">
      <c r="A56" s="1709" t="s">
        <v>153</v>
      </c>
      <c r="B56" s="1709"/>
      <c r="C56" s="1709"/>
      <c r="D56" s="1709"/>
      <c r="E56" s="2527"/>
      <c r="F56" s="1709"/>
      <c r="G56" s="1709"/>
      <c r="H56" s="1709"/>
      <c r="I56" s="1709"/>
      <c r="J56" s="1709"/>
      <c r="K56" s="1709"/>
      <c r="L56" s="1712"/>
      <c r="M56" s="1687"/>
      <c r="N56" s="1687"/>
      <c r="O56" s="879"/>
      <c r="P56" s="741"/>
      <c r="Q56" s="1710"/>
      <c r="R56" s="741"/>
      <c r="S56" s="1688"/>
      <c r="T56" s="1691" t="s">
        <v>252</v>
      </c>
      <c r="U56" s="1690"/>
      <c r="V56" s="1690"/>
      <c r="W56" s="1690"/>
      <c r="X56" s="1690"/>
      <c r="Y56" s="1690"/>
      <c r="Z56" s="1690"/>
      <c r="AA56" s="1690"/>
      <c r="AB56" s="1690"/>
      <c r="AC56" s="1690"/>
      <c r="AD56" s="1690"/>
      <c r="AE56" s="1690"/>
      <c r="AF56" s="1690"/>
      <c r="AG56" s="1690"/>
      <c r="AH56" s="1690"/>
      <c r="AI56" s="1690"/>
      <c r="AJ56" s="1690"/>
      <c r="AK56" s="1690"/>
      <c r="AL56" s="1690"/>
      <c r="AM56" s="1690"/>
      <c r="AO56" s="861"/>
      <c r="AP56" s="861" t="str">
        <f>IF(T56="","",T56)</f>
        <v>Добавить территорию для дифференциации</v>
      </c>
      <c r="AQ56" s="861"/>
      <c r="AR56" s="861"/>
    </row>
    <row s="19127" customFormat="1" customHeight="1" ht="0.75">
      <c r="A57" s="1680"/>
      <c r="B57" s="1680"/>
      <c r="C57" s="1680"/>
      <c r="D57" s="1680"/>
      <c r="E57" s="1709"/>
      <c r="F57" s="1680"/>
      <c r="G57" s="1680"/>
      <c r="H57" s="1680"/>
      <c r="I57" s="1680"/>
      <c r="J57" s="1680"/>
      <c r="K57" s="1680"/>
      <c r="L57" s="1705"/>
      <c r="M57" s="1687"/>
      <c r="N57" s="1687"/>
      <c r="P57" s="1682"/>
      <c r="Q57" s="1683"/>
      <c r="R57" s="1682"/>
      <c r="S57" s="1688"/>
      <c r="T57" s="1691" t="s">
        <v>253</v>
      </c>
      <c r="U57" s="1690"/>
      <c r="V57" s="1690"/>
      <c r="W57" s="1690"/>
      <c r="X57" s="1690"/>
      <c r="Y57" s="1690"/>
      <c r="Z57" s="1690"/>
      <c r="AA57" s="1690"/>
      <c r="AB57" s="1690"/>
      <c r="AC57" s="1690"/>
      <c r="AD57" s="1690"/>
      <c r="AE57" s="1690"/>
      <c r="AF57" s="1690"/>
      <c r="AG57" s="1690"/>
      <c r="AH57" s="1690"/>
      <c r="AI57" s="1690"/>
      <c r="AJ57" s="1690"/>
      <c r="AK57" s="1690"/>
      <c r="AL57" s="1690"/>
      <c r="AM57" s="1690"/>
      <c r="AO57" s="1150"/>
      <c r="AP57" s="1150" t="str">
        <f>IF(T57="","",T57)</f>
        <v>Добавить наименование тарифа</v>
      </c>
      <c r="AQ57" s="1150"/>
      <c r="AR57" s="1150"/>
    </row>
    <row customHeight="1" ht="11.25">
      <c r="M58" s="1523"/>
      <c r="N58" s="1523"/>
      <c r="O58" s="898"/>
      <c r="P58" s="1518"/>
      <c r="Q58" s="1518"/>
      <c r="R58" s="1518"/>
      <c r="S58" s="1518"/>
      <c r="AN58" s="1518"/>
      <c r="AO58" s="1518"/>
      <c r="AP58" s="1518"/>
      <c r="AQ58" s="1518"/>
      <c r="AR58" s="1518"/>
    </row>
    <row customHeight="1" ht="27">
      <c r="O59" s="898"/>
      <c r="S59" s="1618"/>
      <c r="T59" s="2526"/>
      <c r="U59" s="2526"/>
      <c r="V59" s="2526"/>
      <c r="W59" s="2526"/>
      <c r="X59" s="2526"/>
      <c r="Y59" s="2526"/>
      <c r="Z59" s="2526"/>
      <c r="AA59" s="2526"/>
      <c r="AB59" s="2526"/>
      <c r="AC59" s="2526"/>
      <c r="AD59" s="2526"/>
      <c r="AE59" s="2526"/>
      <c r="AF59" s="2526"/>
      <c r="AG59" s="2526"/>
      <c r="AH59" s="2526"/>
      <c r="AI59" s="2526"/>
      <c r="AJ59" s="2526"/>
      <c r="AK59" s="2526"/>
      <c r="AL59" s="2526"/>
      <c r="AM59" s="2526"/>
    </row>
    <row customHeight="1" ht="64.5">
      <c r="O60" s="898"/>
      <c r="P60" s="1669"/>
      <c r="T60" s="2526"/>
      <c r="U60" s="2526"/>
      <c r="V60" s="2526"/>
      <c r="W60" s="2526"/>
      <c r="X60" s="2526"/>
      <c r="Y60" s="2526"/>
      <c r="Z60" s="2526"/>
      <c r="AA60" s="2526"/>
      <c r="AB60" s="2526"/>
      <c r="AC60" s="2526"/>
      <c r="AD60" s="2526"/>
      <c r="AE60" s="2526"/>
      <c r="AF60" s="2526"/>
      <c r="AG60" s="2526"/>
      <c r="AH60" s="2526"/>
      <c r="AI60" s="2526"/>
      <c r="AJ60" s="2526"/>
      <c r="AK60" s="2526"/>
      <c r="AL60" s="2526"/>
      <c r="AM60" s="2526"/>
    </row>
    <row customHeight="1" ht="14.25">
      <c r="O61" s="898"/>
    </row>
    <row customHeight="1" ht="18">
      <c r="O62" s="898"/>
      <c r="P62" s="1694"/>
      <c r="S62" s="1618"/>
      <c r="T62" s="2526"/>
      <c r="U62" s="2526"/>
      <c r="V62" s="2526"/>
      <c r="W62" s="2526"/>
      <c r="X62" s="2526"/>
      <c r="Y62" s="2526"/>
      <c r="Z62" s="2526"/>
      <c r="AA62" s="2526"/>
      <c r="AB62" s="2526"/>
      <c r="AC62" s="2526"/>
      <c r="AD62" s="2526"/>
      <c r="AE62" s="2526"/>
      <c r="AF62" s="2526"/>
      <c r="AG62" s="2526"/>
      <c r="AH62" s="2526"/>
      <c r="AI62" s="2526"/>
      <c r="AJ62" s="2526"/>
      <c r="AK62" s="2526"/>
      <c r="AL62" s="2526"/>
      <c r="AM62" s="2526"/>
    </row>
    <row customHeight="1" ht="18">
      <c r="O63" s="898"/>
      <c r="P63" s="1694"/>
      <c r="T63" s="2526"/>
      <c r="U63" s="2526"/>
      <c r="V63" s="2526"/>
      <c r="W63" s="2526"/>
      <c r="X63" s="2526"/>
      <c r="Y63" s="2526"/>
      <c r="Z63" s="2526"/>
      <c r="AA63" s="2526"/>
      <c r="AB63" s="2526"/>
      <c r="AC63" s="2526"/>
      <c r="AD63" s="2526"/>
      <c r="AE63" s="2526"/>
      <c r="AF63" s="2526"/>
      <c r="AG63" s="2526"/>
      <c r="AH63" s="2526"/>
      <c r="AI63" s="2526"/>
      <c r="AJ63" s="2526"/>
      <c r="AK63" s="2526"/>
      <c r="AL63" s="2526"/>
      <c r="AM63" s="2526"/>
    </row>
    <row customHeight="1" ht="27.75">
      <c r="O64" s="898"/>
      <c r="P64" s="1694"/>
      <c r="S64" s="1618"/>
      <c r="T64" s="2526"/>
      <c r="U64" s="2526"/>
      <c r="V64" s="2526"/>
      <c r="W64" s="2526"/>
      <c r="X64" s="2526"/>
      <c r="Y64" s="2526"/>
      <c r="Z64" s="2526"/>
      <c r="AA64" s="2526"/>
      <c r="AB64" s="2526"/>
      <c r="AC64" s="2526"/>
      <c r="AD64" s="2526"/>
      <c r="AE64" s="2526"/>
      <c r="AF64" s="2526"/>
      <c r="AG64" s="2526"/>
      <c r="AH64" s="2526"/>
      <c r="AI64" s="2526"/>
      <c r="AJ64" s="2526"/>
      <c r="AK64" s="2526"/>
      <c r="AL64" s="2526"/>
      <c r="AM64" s="2526"/>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508C25-0BA6-FD79-1E84-C2C670BBA233}"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19146" width="10.57421875" hidden="1"/>
    <col min="2" max="2" style="19146" width="11.00390625" hidden="1" customWidth="1"/>
    <col min="3" max="3" style="19146" width="10.57421875" hidden="1"/>
    <col min="4" max="4" style="19146" width="11.8515625" hidden="1" customWidth="1"/>
    <col min="5" max="5" style="19146" width="10.00390625" hidden="1" customWidth="1"/>
    <col min="6" max="6" style="19146" width="8.7109375" hidden="1" customWidth="1"/>
    <col min="7" max="7" style="19146" width="7.57421875" hidden="1" customWidth="1"/>
    <col min="8" max="8" style="19146" width="11.421875" hidden="1" customWidth="1"/>
    <col min="9" max="9" style="19146" width="12.00390625" hidden="1" customWidth="1"/>
    <col min="10" max="10" style="19146" width="9.8515625" hidden="1" customWidth="1"/>
    <col min="11" max="11" style="19146" width="11.421875" hidden="1" customWidth="1"/>
    <col min="12" max="12" style="19227" width="19.140625" hidden="1" customWidth="1"/>
    <col min="13" max="14" style="19228" width="12.28125" hidden="1" customWidth="1"/>
    <col min="15" max="15" style="19228" width="23.421875" hidden="1" customWidth="1"/>
    <col min="16" max="16" style="19240" width="3.7109375" customWidth="1"/>
    <col min="17" max="18" style="19230" width="3.7109375" customWidth="1"/>
    <col min="19" max="19" style="19231" width="12.7109375" customWidth="1"/>
    <col min="20" max="20" style="19232" width="32.00390625" customWidth="1"/>
    <col min="21" max="21" style="19232" width="0.140625" customWidth="1"/>
    <col min="22" max="22" style="19232" width="24.7109375" hidden="1" customWidth="1"/>
    <col min="23" max="23" style="19232" width="0.140625" hidden="1" customWidth="1"/>
    <col min="24" max="25" style="19232" width="24.7109375" hidden="1" customWidth="1"/>
    <col min="26" max="26" style="19232" width="11.7109375" hidden="1" customWidth="1"/>
    <col min="27" max="27" style="19232" width="3.7109375" hidden="1" customWidth="1"/>
    <col min="28" max="28" style="19232" width="11.7109375" hidden="1" customWidth="1"/>
    <col min="29" max="29" style="19232" width="8.57421875" hidden="1" customWidth="1"/>
    <col min="30" max="30" style="19232" width="24.7109375" customWidth="1"/>
    <col min="31" max="31" style="19232" width="0.140625" customWidth="1"/>
    <col min="32" max="33" style="19232" width="24.7109375" customWidth="1"/>
    <col min="34" max="34" style="19232" width="11.7109375" customWidth="1"/>
    <col min="35" max="35" style="19232" width="3.7109375" customWidth="1"/>
    <col min="36" max="36" style="19232" width="11.7109375" customWidth="1"/>
    <col min="37" max="37" style="19232" width="8.57421875" hidden="1" customWidth="1"/>
    <col min="38" max="38" style="19232" width="4.7109375" customWidth="1"/>
    <col min="39" max="39" style="19232" width="115.7109375" customWidth="1"/>
    <col min="40" max="41" style="19219" width="10.57421875"/>
    <col min="42" max="42" style="19219" width="11.140625" customWidth="1"/>
    <col min="43" max="44" style="19219" width="10.57421875"/>
  </cols>
  <sheetData>
    <row customHeight="1" ht="14.25" hidden="1">
      <c r="Y1" s="688"/>
      <c r="Z1" s="688"/>
      <c r="AG1" s="688"/>
      <c r="AH1" s="688"/>
    </row>
    <row customHeight="1" ht="21" hidden="1">
      <c r="A2" s="1729"/>
      <c r="B2" s="1729"/>
      <c r="C2" s="1729"/>
      <c r="D2" s="1729"/>
      <c r="E2" s="2527">
        <v>1</v>
      </c>
      <c r="F2" s="1729"/>
      <c r="G2" s="1729"/>
      <c r="H2" s="1729"/>
      <c r="I2" s="1729"/>
      <c r="J2" s="1729"/>
      <c r="K2" s="1729"/>
      <c r="L2" s="1730"/>
      <c r="M2" s="1731"/>
      <c r="N2" s="1731"/>
      <c r="O2" s="1731"/>
      <c r="P2" s="722"/>
      <c r="Q2" s="721"/>
      <c r="R2" s="716"/>
      <c r="S2" s="1702">
        <f>INDEX(PT_DIFFERENTIATION_NUM_NTAR,MATCH(A2,PT_DIFFERENTIATION_NTAR_ID,0))</f>
      </c>
      <c r="T2" s="659" t="s">
        <v>120</v>
      </c>
      <c r="U2" s="661"/>
      <c r="V2" s="2521"/>
      <c r="W2" s="2522"/>
      <c r="X2" s="2522"/>
      <c r="Y2" s="2522"/>
      <c r="Z2" s="2522"/>
      <c r="AA2" s="2522"/>
      <c r="AB2" s="2522"/>
      <c r="AC2" s="2523"/>
      <c r="AD2" s="2521">
        <f>INDEX(PT_DIFFERENTIATION_NTAR,MATCH(A2,PT_DIFFERENTIATION_NTAR_ID,0))</f>
      </c>
      <c r="AE2" s="2522"/>
      <c r="AF2" s="2522"/>
      <c r="AG2" s="2522"/>
      <c r="AH2" s="2522"/>
      <c r="AI2" s="2522"/>
      <c r="AJ2" s="2522"/>
      <c r="AK2" s="2522"/>
      <c r="AL2" s="2523"/>
      <c r="AM2" s="1623" t="s">
        <v>396</v>
      </c>
      <c r="AO2" s="861"/>
      <c r="AP2" s="861" t="str">
        <f>IF(T2="","",T2)</f>
        <v>Наименование тарифа</v>
      </c>
      <c r="AQ2" s="861"/>
      <c r="AR2" s="861"/>
    </row>
    <row customHeight="1" ht="21" hidden="1">
      <c r="A3" s="1729"/>
      <c r="B3" s="1729"/>
      <c r="C3" s="1729"/>
      <c r="D3" s="1729"/>
      <c r="E3" s="2528"/>
      <c r="F3" s="2527">
        <v>1</v>
      </c>
      <c r="G3" s="1729"/>
      <c r="H3" s="1729"/>
      <c r="I3" s="1729"/>
      <c r="J3" s="1729"/>
      <c r="K3" s="1729"/>
      <c r="L3" s="1730"/>
      <c r="M3" s="1731"/>
      <c r="N3" s="1731"/>
      <c r="O3" s="1731"/>
      <c r="P3" s="1698"/>
      <c r="Q3" s="713"/>
      <c r="R3" s="714"/>
      <c r="S3" s="1702">
        <f>INDEX(PT_DIFFERENTIATION_NUM_TER,MATCH(B3,PT_DIFFERENTIATION_TER_ID,0))</f>
      </c>
      <c r="T3" s="669" t="s">
        <v>397</v>
      </c>
      <c r="U3" s="661"/>
      <c r="V3" s="2521"/>
      <c r="W3" s="2522"/>
      <c r="X3" s="2522"/>
      <c r="Y3" s="2522"/>
      <c r="Z3" s="2522"/>
      <c r="AA3" s="2522"/>
      <c r="AB3" s="2522"/>
      <c r="AC3" s="2523"/>
      <c r="AD3" s="2521">
        <f>INDEX(PT_DIFFERENTIATION_TER,MATCH(B3,PT_DIFFERENTIATION_TER_ID,0))</f>
      </c>
      <c r="AE3" s="2522"/>
      <c r="AF3" s="2522"/>
      <c r="AG3" s="2522"/>
      <c r="AH3" s="2522"/>
      <c r="AI3" s="2522"/>
      <c r="AJ3" s="2522"/>
      <c r="AK3" s="2522"/>
      <c r="AL3" s="2523"/>
      <c r="AM3" s="1623" t="s">
        <v>398</v>
      </c>
      <c r="AO3" s="861"/>
      <c r="AP3" s="861" t="str">
        <f>IF(T3="","",T3)</f>
        <v>Территория действия тарифа</v>
      </c>
      <c r="AQ3" s="861"/>
      <c r="AR3" s="861"/>
    </row>
    <row customHeight="1" ht="23.25" hidden="1">
      <c r="A4" s="1729"/>
      <c r="B4" s="1729"/>
      <c r="C4" s="1729"/>
      <c r="D4" s="1729"/>
      <c r="E4" s="2528"/>
      <c r="F4" s="2528"/>
      <c r="G4" s="2527">
        <v>1</v>
      </c>
      <c r="H4" s="1729"/>
      <c r="I4" s="1729"/>
      <c r="J4" s="1729"/>
      <c r="K4" s="1729"/>
      <c r="L4" s="1730"/>
      <c r="M4" s="1731"/>
      <c r="N4" s="1731"/>
      <c r="O4" s="1731"/>
      <c r="P4" s="715"/>
      <c r="Q4" s="713"/>
      <c r="R4" s="714"/>
      <c r="S4" s="1702">
        <f>INDEX(PT_DIFFERENTIATION_NUM_CS,MATCH(C4,PT_DIFFERENTIATION_CS_ID,0))</f>
      </c>
      <c r="T4" s="670" t="s">
        <v>399</v>
      </c>
      <c r="U4" s="661"/>
      <c r="V4" s="2521"/>
      <c r="W4" s="2522"/>
      <c r="X4" s="2522"/>
      <c r="Y4" s="2522"/>
      <c r="Z4" s="2522"/>
      <c r="AA4" s="2522"/>
      <c r="AB4" s="2522"/>
      <c r="AC4" s="2523"/>
      <c r="AD4" s="2521">
        <f>INDEX(PT_DIFFERENTIATION_CS,MATCH(C4,PT_DIFFERENTIATION_CS_ID,0))</f>
      </c>
      <c r="AE4" s="2522"/>
      <c r="AF4" s="2522"/>
      <c r="AG4" s="2522"/>
      <c r="AH4" s="2522"/>
      <c r="AI4" s="2522"/>
      <c r="AJ4" s="2522"/>
      <c r="AK4" s="2522"/>
      <c r="AL4" s="2523"/>
      <c r="AM4" s="1623" t="s">
        <v>400</v>
      </c>
      <c r="AO4" s="861"/>
      <c r="AP4" s="861" t="str">
        <f>IF(T4="","",T4)</f>
        <v>Наименование системы теплоснабжения </v>
      </c>
      <c r="AQ4" s="861"/>
      <c r="AR4" s="861"/>
    </row>
    <row customHeight="1" ht="21" hidden="1">
      <c r="A5" s="1729"/>
      <c r="B5" s="1729"/>
      <c r="C5" s="1729"/>
      <c r="D5" s="1729"/>
      <c r="E5" s="2528"/>
      <c r="F5" s="2528"/>
      <c r="G5" s="2528"/>
      <c r="H5" s="2527">
        <v>1</v>
      </c>
      <c r="I5" s="1729"/>
      <c r="J5" s="1729"/>
      <c r="K5" s="1729"/>
      <c r="L5" s="1730"/>
      <c r="M5" s="1731"/>
      <c r="N5" s="1731"/>
      <c r="O5" s="1731"/>
      <c r="P5" s="715"/>
      <c r="Q5" s="713"/>
      <c r="R5" s="714"/>
      <c r="S5" s="1702">
        <f>INDEX(PT_DIFFERENTIATION_NUM_IST_TE,MATCH(D5,PT_DIFFERENTIATION_IST_TE_ID,0))</f>
      </c>
      <c r="T5" s="671" t="s">
        <v>401</v>
      </c>
      <c r="U5" s="661"/>
      <c r="V5" s="2521"/>
      <c r="W5" s="2522"/>
      <c r="X5" s="2522"/>
      <c r="Y5" s="2522"/>
      <c r="Z5" s="2522"/>
      <c r="AA5" s="2522"/>
      <c r="AB5" s="2522"/>
      <c r="AC5" s="2523"/>
      <c r="AD5" s="2521">
        <f>INDEX(PT_DIFFERENTIATION_IST_TE,MATCH(D5,PT_DIFFERENTIATION_IST_TE_ID,0))</f>
      </c>
      <c r="AE5" s="2522"/>
      <c r="AF5" s="2522"/>
      <c r="AG5" s="2522"/>
      <c r="AH5" s="2522"/>
      <c r="AI5" s="2522"/>
      <c r="AJ5" s="2522"/>
      <c r="AK5" s="2522"/>
      <c r="AL5" s="2523"/>
      <c r="AM5" s="1623" t="s">
        <v>402</v>
      </c>
      <c r="AO5" s="861"/>
      <c r="AP5" s="861" t="str">
        <f>IF(T5="","",T5)</f>
        <v>Источник тепловой энергии  </v>
      </c>
      <c r="AQ5" s="861"/>
      <c r="AR5" s="861"/>
    </row>
    <row customHeight="1" ht="47.25" hidden="1">
      <c r="A6" s="1729"/>
      <c r="B6" s="1729"/>
      <c r="C6" s="1729"/>
      <c r="D6" s="1729"/>
      <c r="E6" s="2528"/>
      <c r="F6" s="2528"/>
      <c r="G6" s="2528"/>
      <c r="H6" s="2528"/>
      <c r="I6" s="2529">
        <f>S5&amp;".1"</f>
      </c>
      <c r="J6" s="1729"/>
      <c r="K6" s="1729"/>
      <c r="L6" s="1730" t="s">
        <v>403</v>
      </c>
      <c r="M6" s="898"/>
      <c r="P6" s="2531">
        <v>1</v>
      </c>
      <c r="Q6" s="1697"/>
      <c r="R6" s="717"/>
      <c r="S6" s="1702">
        <f>$I6</f>
      </c>
      <c r="T6" s="646" t="s">
        <v>404</v>
      </c>
      <c r="U6" s="661"/>
      <c r="V6" s="2515"/>
      <c r="W6" s="2516"/>
      <c r="X6" s="2516"/>
      <c r="Y6" s="2516"/>
      <c r="Z6" s="2516"/>
      <c r="AA6" s="2516"/>
      <c r="AB6" s="2516"/>
      <c r="AC6" s="2517"/>
      <c r="AD6" s="2515"/>
      <c r="AE6" s="2516"/>
      <c r="AF6" s="2516"/>
      <c r="AG6" s="2516"/>
      <c r="AH6" s="2516"/>
      <c r="AI6" s="2516"/>
      <c r="AJ6" s="2516"/>
      <c r="AK6" s="2516"/>
      <c r="AL6" s="2517"/>
      <c r="AM6" s="1623" t="s">
        <v>405</v>
      </c>
      <c r="AO6" s="861"/>
      <c r="AP6" s="861" t="str">
        <f>IF(T6="","",T6)</f>
        <v>Схема подключения теплопотребляющей установки к коллектору источника тепловой энергии</v>
      </c>
      <c r="AQ6" s="861"/>
      <c r="AR6" s="861"/>
    </row>
    <row customHeight="1" ht="21" hidden="1">
      <c r="A7" s="1729"/>
      <c r="B7" s="1729"/>
      <c r="C7" s="1729"/>
      <c r="D7" s="1729"/>
      <c r="E7" s="2528"/>
      <c r="F7" s="2528"/>
      <c r="G7" s="2528"/>
      <c r="H7" s="2528"/>
      <c r="I7" s="2530"/>
      <c r="J7" s="2529">
        <f>I6&amp;".1"</f>
      </c>
      <c r="K7" s="1729"/>
      <c r="L7" s="1730" t="s">
        <v>406</v>
      </c>
      <c r="M7" s="898"/>
      <c r="N7" s="1732"/>
      <c r="P7" s="2531"/>
      <c r="Q7" s="2531">
        <v>1</v>
      </c>
      <c r="R7" s="718"/>
      <c r="S7" s="1702">
        <f>$J7</f>
      </c>
      <c r="T7" s="647" t="s">
        <v>407</v>
      </c>
      <c r="U7" s="661"/>
      <c r="V7" s="2515"/>
      <c r="W7" s="2516"/>
      <c r="X7" s="2516"/>
      <c r="Y7" s="2516"/>
      <c r="Z7" s="2516"/>
      <c r="AA7" s="2516"/>
      <c r="AB7" s="2516"/>
      <c r="AC7" s="2517"/>
      <c r="AD7" s="2515"/>
      <c r="AE7" s="2516"/>
      <c r="AF7" s="2516"/>
      <c r="AG7" s="2516"/>
      <c r="AH7" s="2516"/>
      <c r="AI7" s="2516"/>
      <c r="AJ7" s="2516"/>
      <c r="AK7" s="2516"/>
      <c r="AL7" s="2517"/>
      <c r="AM7" s="1623" t="s">
        <v>408</v>
      </c>
      <c r="AO7" s="861"/>
      <c r="AP7" s="861" t="str">
        <f>IF(T7="","",T7)</f>
        <v>Группа потребителей</v>
      </c>
      <c r="AQ7" s="861"/>
      <c r="AR7" s="861"/>
    </row>
    <row customHeight="1" ht="21" hidden="1">
      <c r="A8" s="1729"/>
      <c r="B8" s="1729"/>
      <c r="C8" s="1729"/>
      <c r="D8" s="1729"/>
      <c r="E8" s="2528"/>
      <c r="F8" s="2528"/>
      <c r="G8" s="2528"/>
      <c r="H8" s="2528"/>
      <c r="I8" s="2530"/>
      <c r="J8" s="2530"/>
      <c r="K8" s="2529">
        <f>J7&amp;".1"</f>
      </c>
      <c r="L8" s="1730" t="s">
        <v>409</v>
      </c>
      <c r="M8" s="898"/>
      <c r="N8" s="1732"/>
      <c r="O8" s="1732"/>
      <c r="P8" s="2531"/>
      <c r="Q8" s="2531"/>
      <c r="R8" s="718">
        <v>1</v>
      </c>
      <c r="S8" s="1702">
        <f>$K8</f>
      </c>
      <c r="T8" s="1713"/>
      <c r="U8" s="661"/>
      <c r="V8" s="1112"/>
      <c r="W8" s="686"/>
      <c r="X8" s="1112"/>
      <c r="Y8" s="1622"/>
      <c r="Z8" s="2532"/>
      <c r="AA8" s="2402" t="s">
        <v>59</v>
      </c>
      <c r="AB8" s="2532"/>
      <c r="AC8" s="2402" t="s">
        <v>59</v>
      </c>
      <c r="AD8" s="1112"/>
      <c r="AE8" s="686"/>
      <c r="AF8" s="1112"/>
      <c r="AG8" s="1622"/>
      <c r="AH8" s="2532"/>
      <c r="AI8" s="2402" t="s">
        <v>59</v>
      </c>
      <c r="AJ8" s="2532"/>
      <c r="AK8" s="2402" t="s">
        <v>59</v>
      </c>
      <c r="AL8" s="686"/>
      <c r="AM8" s="2557" t="s">
        <v>410</v>
      </c>
      <c r="AN8" s="872">
        <f>STRCHECKDATE(V9:AL9)</f>
      </c>
      <c r="AO8" s="861"/>
      <c r="AP8" s="861" t="str">
        <f>IF(T8="","",T8)</f>
        <v/>
      </c>
      <c r="AQ8" s="861"/>
      <c r="AR8" s="861"/>
    </row>
    <row customHeight="1" ht="0.75" hidden="1">
      <c r="A9" s="1729"/>
      <c r="B9" s="1729"/>
      <c r="C9" s="1729"/>
      <c r="D9" s="1729"/>
      <c r="E9" s="2528"/>
      <c r="F9" s="2528"/>
      <c r="G9" s="2528"/>
      <c r="H9" s="2528"/>
      <c r="I9" s="2530"/>
      <c r="J9" s="2530"/>
      <c r="K9" s="2529"/>
      <c r="L9" s="1730"/>
      <c r="M9" s="898"/>
      <c r="N9" s="1732"/>
      <c r="O9" s="1732"/>
      <c r="P9" s="2531"/>
      <c r="Q9" s="2531"/>
      <c r="R9" s="718"/>
      <c r="S9" s="1708"/>
      <c r="T9" s="661"/>
      <c r="U9" s="661"/>
      <c r="V9" s="686"/>
      <c r="W9" s="686"/>
      <c r="X9" s="686"/>
      <c r="Y9" s="689" t="str">
        <f>Z8&amp;"-"&amp;AB8</f>
        <v>-</v>
      </c>
      <c r="Z9" s="2533"/>
      <c r="AA9" s="2402"/>
      <c r="AB9" s="2533"/>
      <c r="AC9" s="2402"/>
      <c r="AD9" s="686"/>
      <c r="AE9" s="686"/>
      <c r="AF9" s="686"/>
      <c r="AG9" s="689" t="str">
        <f>AH8&amp;"-"&amp;AJ8</f>
        <v>-</v>
      </c>
      <c r="AH9" s="2533"/>
      <c r="AI9" s="2402"/>
      <c r="AJ9" s="2533"/>
      <c r="AK9" s="2402"/>
      <c r="AL9" s="686"/>
      <c r="AM9" s="2558"/>
      <c r="AO9" s="861"/>
      <c r="AP9" s="861" t="str">
        <f>IF(T9="","",T9)</f>
        <v/>
      </c>
      <c r="AQ9" s="861"/>
      <c r="AR9" s="861"/>
    </row>
    <row customHeight="1" ht="15" hidden="1">
      <c r="A10" s="1729"/>
      <c r="B10" s="1729"/>
      <c r="C10" s="1729"/>
      <c r="D10" s="1729"/>
      <c r="E10" s="2528"/>
      <c r="F10" s="2528"/>
      <c r="G10" s="2528"/>
      <c r="H10" s="2528"/>
      <c r="I10" s="2530"/>
      <c r="J10" s="2529"/>
      <c r="K10" s="1729"/>
      <c r="L10" s="1730"/>
      <c r="M10" s="898"/>
      <c r="N10" s="1732"/>
      <c r="P10" s="2531"/>
      <c r="Q10" s="2531"/>
      <c r="R10" s="717"/>
      <c r="S10" s="1644"/>
      <c r="T10" s="649" t="s">
        <v>411</v>
      </c>
      <c r="U10" s="728"/>
      <c r="V10" s="728"/>
      <c r="W10" s="728"/>
      <c r="X10" s="728"/>
      <c r="Y10" s="728"/>
      <c r="Z10" s="728"/>
      <c r="AA10" s="728"/>
      <c r="AB10" s="728"/>
      <c r="AC10" s="728"/>
      <c r="AD10" s="728"/>
      <c r="AE10" s="728"/>
      <c r="AF10" s="728"/>
      <c r="AG10" s="728"/>
      <c r="AH10" s="728"/>
      <c r="AI10" s="728"/>
      <c r="AJ10" s="728"/>
      <c r="AK10" s="728"/>
      <c r="AL10" s="685"/>
      <c r="AM10" s="2559"/>
      <c r="AO10" s="861"/>
      <c r="AP10" s="861" t="str">
        <f>IF(T10="","",T10)</f>
        <v>Добавить вид теплоносителя (параметры теплоносителя)</v>
      </c>
      <c r="AQ10" s="861"/>
      <c r="AR10" s="861"/>
    </row>
    <row customHeight="1" ht="15" hidden="1">
      <c r="A11" s="1729"/>
      <c r="B11" s="1729"/>
      <c r="C11" s="1729"/>
      <c r="D11" s="1729"/>
      <c r="E11" s="2528"/>
      <c r="F11" s="2528"/>
      <c r="G11" s="2528"/>
      <c r="H11" s="2528"/>
      <c r="I11" s="2529"/>
      <c r="J11" s="1729"/>
      <c r="K11" s="1729"/>
      <c r="L11" s="1730"/>
      <c r="M11" s="898"/>
      <c r="P11" s="2531"/>
      <c r="Q11" s="1697"/>
      <c r="R11" s="717"/>
      <c r="S11" s="1644"/>
      <c r="T11" s="648" t="s">
        <v>412</v>
      </c>
      <c r="U11" s="728"/>
      <c r="V11" s="728"/>
      <c r="W11" s="728"/>
      <c r="X11" s="728"/>
      <c r="Y11" s="728"/>
      <c r="Z11" s="728"/>
      <c r="AA11" s="728"/>
      <c r="AB11" s="728"/>
      <c r="AC11" s="727"/>
      <c r="AD11" s="728"/>
      <c r="AE11" s="728"/>
      <c r="AF11" s="728"/>
      <c r="AG11" s="728"/>
      <c r="AH11" s="728"/>
      <c r="AI11" s="728"/>
      <c r="AJ11" s="728"/>
      <c r="AK11" s="727"/>
      <c r="AL11" s="728"/>
      <c r="AM11" s="664"/>
      <c r="AO11" s="861"/>
      <c r="AP11" s="861" t="str">
        <f>IF(T11="","",T11)</f>
        <v>Добавить группу потребителей</v>
      </c>
      <c r="AQ11" s="861"/>
      <c r="AR11" s="861"/>
    </row>
    <row customHeight="1" ht="14.25" hidden="1">
      <c r="A12" s="1729"/>
      <c r="B12" s="1729"/>
      <c r="C12" s="1729"/>
      <c r="D12" s="1729"/>
      <c r="E12" s="2528"/>
      <c r="F12" s="2528"/>
      <c r="G12" s="2528"/>
      <c r="H12" s="2527"/>
      <c r="I12" s="1729"/>
      <c r="J12" s="1729"/>
      <c r="K12" s="1729"/>
      <c r="L12" s="1730"/>
      <c r="M12" s="1731"/>
      <c r="N12" s="1731"/>
      <c r="O12" s="898"/>
      <c r="P12" s="721"/>
      <c r="Q12" s="736"/>
      <c r="R12" s="716"/>
      <c r="S12" s="1644"/>
      <c r="T12" s="726" t="s">
        <v>413</v>
      </c>
      <c r="U12" s="728"/>
      <c r="V12" s="728"/>
      <c r="W12" s="728"/>
      <c r="X12" s="728"/>
      <c r="Y12" s="728"/>
      <c r="Z12" s="728"/>
      <c r="AA12" s="728"/>
      <c r="AB12" s="728"/>
      <c r="AC12" s="727"/>
      <c r="AD12" s="728"/>
      <c r="AE12" s="728"/>
      <c r="AF12" s="728"/>
      <c r="AG12" s="728"/>
      <c r="AH12" s="728"/>
      <c r="AI12" s="728"/>
      <c r="AJ12" s="728"/>
      <c r="AK12" s="727"/>
      <c r="AL12" s="728"/>
      <c r="AM12" s="664"/>
      <c r="AO12" s="861"/>
      <c r="AP12" s="861" t="str">
        <f>IF(T12="","",T12)</f>
        <v>Добавить схему подключения</v>
      </c>
      <c r="AQ12" s="861"/>
      <c r="AR12" s="861"/>
    </row>
    <row s="19127" customFormat="1" customHeight="1" ht="0.75" hidden="1">
      <c r="A13" s="1680"/>
      <c r="B13" s="1680"/>
      <c r="C13" s="1680"/>
      <c r="D13" s="1680"/>
      <c r="E13" s="2528"/>
      <c r="F13" s="2528"/>
      <c r="G13" s="2527"/>
      <c r="H13" s="1680"/>
      <c r="I13" s="1680"/>
      <c r="J13" s="1680"/>
      <c r="K13" s="1680"/>
      <c r="L13" s="1705"/>
      <c r="M13" s="1681"/>
      <c r="N13" s="1681"/>
      <c r="P13" s="1682"/>
      <c r="Q13" s="1683"/>
      <c r="R13" s="1682"/>
      <c r="S13" s="1684"/>
      <c r="T13" s="1685" t="s">
        <v>414</v>
      </c>
      <c r="U13" s="1686"/>
      <c r="V13" s="1686"/>
      <c r="W13" s="1686"/>
      <c r="X13" s="1686"/>
      <c r="Y13" s="1686"/>
      <c r="Z13" s="1686"/>
      <c r="AA13" s="1686"/>
      <c r="AB13" s="1686"/>
      <c r="AC13" s="1686"/>
      <c r="AD13" s="1686"/>
      <c r="AE13" s="1686"/>
      <c r="AF13" s="1686"/>
      <c r="AG13" s="1686"/>
      <c r="AH13" s="1686"/>
      <c r="AI13" s="1686"/>
      <c r="AJ13" s="1686"/>
      <c r="AK13" s="1686"/>
      <c r="AL13" s="1686"/>
      <c r="AM13" s="1686"/>
      <c r="AO13" s="1150"/>
      <c r="AP13" s="1150" t="str">
        <f>IF(T13="","",T13)</f>
        <v>Добавить источник для дифференциации</v>
      </c>
      <c r="AQ13" s="1150"/>
      <c r="AR13" s="1150"/>
    </row>
    <row s="19127" customFormat="1" customHeight="1" ht="0.75" hidden="1">
      <c r="A14" s="1680"/>
      <c r="B14" s="1680"/>
      <c r="C14" s="1680"/>
      <c r="D14" s="1680"/>
      <c r="E14" s="2528"/>
      <c r="F14" s="2527"/>
      <c r="G14" s="1680"/>
      <c r="H14" s="1680"/>
      <c r="I14" s="1680"/>
      <c r="J14" s="1680"/>
      <c r="K14" s="1680"/>
      <c r="L14" s="1705"/>
      <c r="M14" s="1687"/>
      <c r="N14" s="1687"/>
      <c r="P14" s="1682"/>
      <c r="Q14" s="1683"/>
      <c r="R14" s="1682"/>
      <c r="S14" s="1688"/>
      <c r="T14" s="1689" t="s">
        <v>251</v>
      </c>
      <c r="U14" s="1690"/>
      <c r="V14" s="1690"/>
      <c r="W14" s="1690"/>
      <c r="X14" s="1690"/>
      <c r="Y14" s="1690"/>
      <c r="Z14" s="1690"/>
      <c r="AA14" s="1690"/>
      <c r="AB14" s="1690"/>
      <c r="AC14" s="1690"/>
      <c r="AD14" s="1690"/>
      <c r="AE14" s="1690"/>
      <c r="AF14" s="1690"/>
      <c r="AG14" s="1690"/>
      <c r="AH14" s="1690"/>
      <c r="AI14" s="1690"/>
      <c r="AJ14" s="1690"/>
      <c r="AK14" s="1690"/>
      <c r="AL14" s="1690"/>
      <c r="AM14" s="1690"/>
      <c r="AO14" s="1150"/>
      <c r="AP14" s="1150" t="str">
        <f>IF(T14="","",T14)</f>
        <v>Добавить централизованную систему для дифференциации</v>
      </c>
      <c r="AQ14" s="1150"/>
      <c r="AR14" s="1150"/>
    </row>
    <row s="19127" customFormat="1" customHeight="1" ht="0.75" hidden="1">
      <c r="A15" s="1680"/>
      <c r="B15" s="1680"/>
      <c r="C15" s="1680"/>
      <c r="D15" s="1680"/>
      <c r="E15" s="2527"/>
      <c r="F15" s="1680"/>
      <c r="G15" s="1680"/>
      <c r="H15" s="1680"/>
      <c r="I15" s="1680"/>
      <c r="J15" s="1680"/>
      <c r="K15" s="1680"/>
      <c r="L15" s="1705"/>
      <c r="M15" s="1687"/>
      <c r="N15" s="1687"/>
      <c r="P15" s="1682"/>
      <c r="Q15" s="1683"/>
      <c r="R15" s="1682"/>
      <c r="S15" s="1688"/>
      <c r="T15" s="1691" t="s">
        <v>252</v>
      </c>
      <c r="U15" s="1690"/>
      <c r="V15" s="1690"/>
      <c r="W15" s="1690"/>
      <c r="X15" s="1690"/>
      <c r="Y15" s="1690"/>
      <c r="Z15" s="1690"/>
      <c r="AA15" s="1690"/>
      <c r="AB15" s="1690"/>
      <c r="AC15" s="1690"/>
      <c r="AD15" s="1690"/>
      <c r="AE15" s="1690"/>
      <c r="AF15" s="1690"/>
      <c r="AG15" s="1690"/>
      <c r="AH15" s="1690"/>
      <c r="AI15" s="1690"/>
      <c r="AJ15" s="1690"/>
      <c r="AK15" s="1690"/>
      <c r="AL15" s="1690"/>
      <c r="AM15" s="1690"/>
      <c r="AO15" s="1150"/>
      <c r="AP15" s="1150" t="str">
        <f>IF(T15="","",T15)</f>
        <v>Добавить территорию для дифференциации</v>
      </c>
      <c r="AQ15" s="1150"/>
      <c r="AR15" s="1150"/>
    </row>
    <row customHeight="1" ht="14.25" hidden="1">
      <c r="AC16" s="688"/>
      <c r="AK16" s="688"/>
    </row>
    <row customHeight="1" ht="14.25" hidden="1">
      <c r="AD17" s="1726"/>
      <c r="AE17" s="1726"/>
      <c r="AF17" s="1726"/>
      <c r="AG17" s="1727"/>
      <c r="AH17" s="2525"/>
      <c r="AI17" s="2524" t="s">
        <v>59</v>
      </c>
      <c r="AJ17" s="2525"/>
      <c r="AK17" s="2524" t="s">
        <v>59</v>
      </c>
    </row>
    <row customHeight="1" ht="14.25" hidden="1">
      <c r="AD18" s="1726"/>
      <c r="AE18" s="1726"/>
      <c r="AF18" s="1726"/>
      <c r="AG18" s="689" t="str">
        <f>AH17&amp;"-"&amp;AJ17</f>
        <v>-</v>
      </c>
      <c r="AH18" s="2524"/>
      <c r="AI18" s="2524"/>
      <c r="AJ18" s="2524"/>
      <c r="AK18" s="2524"/>
    </row>
    <row customHeight="1" ht="14.25" hidden="1">
      <c r="AK19" s="688"/>
    </row>
    <row s="19146" customFormat="1" customHeight="1" ht="22.5" hidden="1">
      <c r="L20" s="1695"/>
      <c r="M20" s="1728"/>
      <c r="N20" s="1728"/>
      <c r="O20" s="1733" t="s">
        <v>415</v>
      </c>
      <c r="P20" s="1728"/>
      <c r="Q20" s="1737"/>
      <c r="R20" s="1737"/>
      <c r="S20" s="1090"/>
      <c r="Z20" s="1733"/>
      <c r="AB20" s="1733"/>
      <c r="AC20" s="1732"/>
      <c r="AH20" s="1733"/>
      <c r="AJ20" s="1733"/>
      <c r="AK20" s="1732"/>
      <c r="AN20" s="872"/>
      <c r="AO20" s="872"/>
      <c r="AP20" s="872"/>
      <c r="AQ20" s="872"/>
      <c r="AR20" s="872"/>
    </row>
    <row s="19146" customFormat="1" customHeight="1" ht="14.25" hidden="1">
      <c r="L21" s="1695"/>
      <c r="M21" s="1728"/>
      <c r="N21" s="1728"/>
      <c r="O21" s="1728"/>
      <c r="P21" s="1728"/>
      <c r="Q21" s="1737"/>
      <c r="R21" s="1737"/>
      <c r="S21" s="1090"/>
      <c r="AC21" s="1732"/>
      <c r="AK21" s="1732"/>
      <c r="AN21" s="872"/>
      <c r="AO21" s="872"/>
      <c r="AP21" s="872"/>
      <c r="AQ21" s="872"/>
      <c r="AR21" s="872"/>
    </row>
    <row s="19146" customFormat="1" customHeight="1" ht="14.25" hidden="1">
      <c r="L22" s="1695"/>
      <c r="M22" s="1728"/>
      <c r="N22" s="1728"/>
      <c r="O22" s="1730" t="s">
        <v>416</v>
      </c>
      <c r="P22" s="1728"/>
      <c r="Q22" s="1737"/>
      <c r="R22" s="1737"/>
      <c r="S22" s="1090"/>
      <c r="T22" s="1523" t="s">
        <v>417</v>
      </c>
      <c r="AA22" s="547" t="s">
        <v>418</v>
      </c>
      <c r="AC22" s="547" t="s">
        <v>419</v>
      </c>
      <c r="AD22" s="1523" t="s">
        <v>417</v>
      </c>
      <c r="AI22" s="547" t="s">
        <v>420</v>
      </c>
      <c r="AK22" s="547" t="s">
        <v>419</v>
      </c>
      <c r="AN22" s="872"/>
      <c r="AO22" s="872"/>
      <c r="AP22" s="872"/>
      <c r="AQ22" s="872"/>
      <c r="AR22" s="872"/>
    </row>
    <row customHeight="1" ht="14.25" hidden="1">
      <c r="O23" s="1730"/>
    </row>
    <row customHeight="1" ht="14.25" hidden="1">
      <c r="O24" s="1730"/>
    </row>
    <row customHeight="1" ht="14.25">
      <c r="Q25" s="737"/>
      <c r="R25" s="737"/>
      <c r="S25" s="1641"/>
      <c r="T25" s="724"/>
      <c r="U25" s="724"/>
      <c r="V25" s="870"/>
      <c r="W25" s="870"/>
      <c r="X25" s="870"/>
      <c r="Y25" s="870"/>
      <c r="Z25" s="870"/>
      <c r="AA25" s="870"/>
      <c r="AB25" s="870"/>
      <c r="AC25" s="870"/>
      <c r="AD25" s="870"/>
      <c r="AE25" s="870"/>
      <c r="AF25" s="870"/>
      <c r="AG25" s="870"/>
      <c r="AH25" s="870"/>
      <c r="AI25" s="870"/>
      <c r="AJ25" s="870"/>
      <c r="AK25" s="870"/>
    </row>
    <row customHeight="1" ht="14.25">
      <c r="Q26" s="737"/>
      <c r="R26" s="737"/>
      <c r="S26" s="256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60"/>
      <c r="U26" s="2560"/>
      <c r="V26" s="2560"/>
      <c r="W26" s="2560"/>
      <c r="X26" s="2560"/>
      <c r="Y26" s="2560"/>
      <c r="Z26" s="2560"/>
      <c r="AA26" s="2560"/>
      <c r="AB26" s="2560"/>
      <c r="AC26" s="2560"/>
      <c r="AD26" s="2560"/>
      <c r="AE26" s="2560"/>
      <c r="AF26" s="2560"/>
      <c r="AG26" s="2560"/>
      <c r="AH26" s="2560"/>
      <c r="AI26" s="2560"/>
      <c r="AJ26" s="2560"/>
      <c r="AK26" s="1608"/>
    </row>
    <row customHeight="1" ht="14.25">
      <c r="Q27" s="737"/>
      <c r="R27" s="737"/>
      <c r="S27" s="2561" t="str">
        <f>IF(org=0,"Не определено",org)</f>
        <v>Филиал "Шатурская ГРЭС" ПАО "Юнипро"</v>
      </c>
      <c r="T27" s="2561"/>
      <c r="U27" s="2561"/>
      <c r="V27" s="2561"/>
      <c r="W27" s="2561"/>
      <c r="X27" s="2561"/>
      <c r="Y27" s="2561"/>
      <c r="Z27" s="2561"/>
      <c r="AA27" s="2561"/>
      <c r="AB27" s="2561"/>
      <c r="AC27" s="2561"/>
      <c r="AD27" s="2561"/>
      <c r="AE27" s="2561"/>
      <c r="AF27" s="2561"/>
      <c r="AG27" s="2561"/>
      <c r="AH27" s="2561"/>
      <c r="AI27" s="2561"/>
      <c r="AJ27" s="2561"/>
      <c r="AK27" s="1608"/>
    </row>
    <row customHeight="1" ht="14.25">
      <c r="Q28" s="737"/>
      <c r="R28" s="737"/>
      <c r="S28" s="1641"/>
      <c r="T28" s="724"/>
      <c r="U28" s="724"/>
      <c r="V28" s="683"/>
      <c r="W28" s="683"/>
      <c r="X28" s="683"/>
      <c r="Y28" s="683"/>
      <c r="Z28" s="683"/>
      <c r="AA28" s="683"/>
      <c r="AB28" s="683"/>
      <c r="AC28" s="683"/>
      <c r="AD28" s="683"/>
      <c r="AE28" s="683"/>
      <c r="AF28" s="683"/>
      <c r="AG28" s="683"/>
      <c r="AH28" s="683"/>
      <c r="AI28" s="683"/>
      <c r="AJ28" s="683"/>
      <c r="AK28" s="683"/>
      <c r="AL28" s="870"/>
    </row>
    <row s="19160" customFormat="1" customHeight="1" ht="25.5">
      <c r="A29" s="1734"/>
      <c r="B29" s="1734"/>
      <c r="C29" s="1734"/>
      <c r="D29" s="1734"/>
      <c r="E29" s="1734"/>
      <c r="F29" s="1734"/>
      <c r="G29" s="1734"/>
      <c r="H29" s="1734"/>
      <c r="I29" s="1734"/>
      <c r="J29" s="1734"/>
      <c r="K29" s="1734"/>
      <c r="L29" s="1735"/>
      <c r="M29" s="1734"/>
      <c r="N29" s="1734"/>
      <c r="O29" s="1734"/>
      <c r="S29" s="2518" t="s">
        <v>38</v>
      </c>
      <c r="T29" s="2518"/>
      <c r="U29" s="1738"/>
      <c r="V29" s="2520" t="str">
        <f>IF(TITLE_NAME_OR_PR_CHANGE="",IF(TITLE_NAME_OR_PR="","",TITLE_NAME_OR_PR),TITLE_NAME_OR_PR_CHANGE)</f>
        <v>Комитет по ценам и тарифам по Московской области</v>
      </c>
      <c r="W29" s="2520"/>
      <c r="X29" s="2520"/>
      <c r="Y29" s="2520"/>
      <c r="Z29" s="2520"/>
      <c r="AA29" s="2520"/>
      <c r="AB29" s="2520"/>
      <c r="AC29" s="687"/>
      <c r="AD29" s="2520" t="str">
        <f>IF(TITLE_NAME_OR_PR_CHANGE="",IF(TITLE_NAME_OR_PR="","",TITLE_NAME_OR_PR),TITLE_NAME_OR_PR_CHANGE)</f>
        <v>Комитет по ценам и тарифам по Московской области</v>
      </c>
      <c r="AE29" s="2520"/>
      <c r="AF29" s="2520"/>
      <c r="AG29" s="2520"/>
      <c r="AH29" s="2520"/>
      <c r="AI29" s="2520"/>
      <c r="AJ29" s="2520"/>
      <c r="AK29" s="687"/>
      <c r="AL29" s="687"/>
      <c r="AM29" s="641"/>
      <c r="AN29" s="729"/>
      <c r="AO29" s="729"/>
      <c r="AP29" s="729"/>
      <c r="AQ29" s="729"/>
      <c r="AR29" s="729"/>
    </row>
    <row s="19160" customFormat="1" customHeight="1" ht="18.75">
      <c r="A30" s="1734"/>
      <c r="B30" s="1734"/>
      <c r="C30" s="1734"/>
      <c r="D30" s="1734"/>
      <c r="E30" s="1734"/>
      <c r="F30" s="1734"/>
      <c r="G30" s="1734"/>
      <c r="H30" s="1734"/>
      <c r="I30" s="1734"/>
      <c r="J30" s="1734"/>
      <c r="K30" s="1734"/>
      <c r="L30" s="1735"/>
      <c r="M30" s="1734"/>
      <c r="N30" s="1734"/>
      <c r="O30" s="1734"/>
      <c r="S30" s="2518" t="s">
        <v>421</v>
      </c>
      <c r="T30" s="2518"/>
      <c r="U30" s="1738"/>
      <c r="V30" s="2519" t="str">
        <f>IF(TITLE_DATE_PR_CHANGE="",IF(TITLE_DATE_PR="","",TITLE_DATE_PR),TITLE_DATE_PR_CHANGE)</f>
        <v>45280.70914351852</v>
      </c>
      <c r="W30" s="2519"/>
      <c r="X30" s="2519"/>
      <c r="Y30" s="2519"/>
      <c r="Z30" s="2519"/>
      <c r="AA30" s="2519"/>
      <c r="AB30" s="2519"/>
      <c r="AC30" s="687"/>
      <c r="AD30" s="2519" t="str">
        <f>IF(TITLE_DATE_PR_CHANGE="",IF(TITLE_DATE_PR="","",TITLE_DATE_PR),TITLE_DATE_PR_CHANGE)</f>
        <v>45280.70914351852</v>
      </c>
      <c r="AE30" s="2519"/>
      <c r="AF30" s="2519"/>
      <c r="AG30" s="2519"/>
      <c r="AH30" s="2519"/>
      <c r="AI30" s="2519"/>
      <c r="AJ30" s="2519"/>
      <c r="AK30" s="687"/>
      <c r="AL30" s="687"/>
      <c r="AM30" s="641"/>
      <c r="AN30" s="729"/>
      <c r="AO30" s="729"/>
      <c r="AP30" s="729"/>
      <c r="AQ30" s="729"/>
      <c r="AR30" s="729"/>
    </row>
    <row s="19160" customFormat="1" customHeight="1" ht="18.75">
      <c r="A31" s="1734"/>
      <c r="B31" s="1734"/>
      <c r="C31" s="1734"/>
      <c r="D31" s="1734"/>
      <c r="E31" s="1734"/>
      <c r="F31" s="1734"/>
      <c r="G31" s="1734"/>
      <c r="H31" s="1734"/>
      <c r="I31" s="1734"/>
      <c r="J31" s="1734"/>
      <c r="K31" s="1734"/>
      <c r="L31" s="1735"/>
      <c r="M31" s="1734"/>
      <c r="N31" s="1734"/>
      <c r="O31" s="1734"/>
      <c r="S31" s="2518" t="s">
        <v>422</v>
      </c>
      <c r="T31" s="2518"/>
      <c r="U31" s="1738"/>
      <c r="V31" s="2520" t="str">
        <f>IF(TITLE_NUMBER_PR_CHANGE="",IF(TITLE_NUMBER_PR="","",TITLE_NUMBER_PR),TITLE_NUMBER_PR_CHANGE)</f>
        <v>317-Р</v>
      </c>
      <c r="W31" s="2520"/>
      <c r="X31" s="2520"/>
      <c r="Y31" s="2520"/>
      <c r="Z31" s="2520"/>
      <c r="AA31" s="2520"/>
      <c r="AB31" s="2520"/>
      <c r="AC31" s="687"/>
      <c r="AD31" s="2520" t="str">
        <f>IF(TITLE_NUMBER_PR_CHANGE="",IF(TITLE_NUMBER_PR="","",TITLE_NUMBER_PR),TITLE_NUMBER_PR_CHANGE)</f>
        <v>317-Р</v>
      </c>
      <c r="AE31" s="2520"/>
      <c r="AF31" s="2520"/>
      <c r="AG31" s="2520"/>
      <c r="AH31" s="2520"/>
      <c r="AI31" s="2520"/>
      <c r="AJ31" s="2520"/>
      <c r="AK31" s="687"/>
      <c r="AL31" s="687"/>
      <c r="AM31" s="641"/>
      <c r="AN31" s="729"/>
      <c r="AO31" s="729"/>
      <c r="AP31" s="729"/>
      <c r="AQ31" s="729"/>
      <c r="AR31" s="729"/>
    </row>
    <row s="19160" customFormat="1" customHeight="1" ht="18.75">
      <c r="A32" s="1734"/>
      <c r="B32" s="1734"/>
      <c r="C32" s="1734"/>
      <c r="D32" s="1734"/>
      <c r="E32" s="1734"/>
      <c r="F32" s="1734"/>
      <c r="G32" s="1734"/>
      <c r="H32" s="1734"/>
      <c r="I32" s="1734"/>
      <c r="J32" s="1734"/>
      <c r="K32" s="1734"/>
      <c r="L32" s="1735"/>
      <c r="M32" s="1734"/>
      <c r="N32" s="1734"/>
      <c r="O32" s="1734"/>
      <c r="S32" s="2518" t="s">
        <v>40</v>
      </c>
      <c r="T32" s="2518"/>
      <c r="U32" s="1738"/>
      <c r="V32"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520"/>
      <c r="X32" s="2520"/>
      <c r="Y32" s="2520"/>
      <c r="Z32" s="2520"/>
      <c r="AA32" s="2520"/>
      <c r="AB32" s="2520"/>
      <c r="AC32" s="687"/>
      <c r="AD32"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520"/>
      <c r="AF32" s="2520"/>
      <c r="AG32" s="2520"/>
      <c r="AH32" s="2520"/>
      <c r="AI32" s="2520"/>
      <c r="AJ32" s="2520"/>
      <c r="AK32" s="687"/>
      <c r="AL32" s="687"/>
      <c r="AM32" s="641"/>
      <c r="AN32" s="729"/>
      <c r="AO32" s="729"/>
      <c r="AP32" s="729"/>
      <c r="AQ32" s="729"/>
      <c r="AR32" s="729"/>
    </row>
    <row customHeight="1" ht="14.25" hidden="1">
      <c r="Q33" s="737"/>
      <c r="R33" s="737"/>
      <c r="S33" s="1641"/>
      <c r="T33" s="724"/>
      <c r="U33" s="724"/>
      <c r="V33" s="683"/>
      <c r="W33" s="683"/>
      <c r="X33" s="683"/>
      <c r="Y33" s="683"/>
      <c r="Z33" s="683"/>
      <c r="AA33" s="683"/>
      <c r="AB33" s="683"/>
      <c r="AC33" s="683"/>
      <c r="AD33" s="683"/>
      <c r="AE33" s="683"/>
      <c r="AF33" s="683"/>
      <c r="AG33" s="683"/>
      <c r="AH33" s="683"/>
      <c r="AI33" s="683"/>
      <c r="AJ33" s="683"/>
      <c r="AK33" s="683"/>
      <c r="AL33" s="870"/>
    </row>
    <row s="19160" customFormat="1" customHeight="1" ht="18.75" hidden="1">
      <c r="A34" s="1734"/>
      <c r="B34" s="1734"/>
      <c r="C34" s="1734"/>
      <c r="D34" s="1734"/>
      <c r="E34" s="1734"/>
      <c r="F34" s="1734"/>
      <c r="G34" s="1734"/>
      <c r="H34" s="1734"/>
      <c r="I34" s="1734"/>
      <c r="J34" s="1734"/>
      <c r="K34" s="1734"/>
      <c r="L34" s="1735"/>
      <c r="M34" s="1734"/>
      <c r="N34" s="1734"/>
      <c r="O34" s="1734"/>
      <c r="S34" s="2518" t="s">
        <v>423</v>
      </c>
      <c r="T34" s="2518"/>
      <c r="U34" s="1738"/>
      <c r="V34" s="2519" t="str">
        <f>IF(TITLE_DATE_PR_CHANGE="",IF(TITLE_DATE_PR="","",TITLE_DATE_PR),TITLE_DATE_PR_CHANGE)</f>
        <v>45280.70914351852</v>
      </c>
      <c r="W34" s="2519"/>
      <c r="X34" s="2519"/>
      <c r="Y34" s="2519"/>
      <c r="Z34" s="2519"/>
      <c r="AA34" s="2519"/>
      <c r="AB34" s="2519"/>
      <c r="AC34" s="687"/>
      <c r="AD34" s="2519" t="str">
        <f>IF(TITLE_DATE_PR_CHANGE="",IF(TITLE_DATE_PR="","",TITLE_DATE_PR),TITLE_DATE_PR_CHANGE)</f>
        <v>45280.70914351852</v>
      </c>
      <c r="AE34" s="2519"/>
      <c r="AF34" s="2519"/>
      <c r="AG34" s="2519"/>
      <c r="AH34" s="2519"/>
      <c r="AI34" s="2519"/>
      <c r="AJ34" s="2519"/>
      <c r="AK34" s="687"/>
      <c r="AL34" s="687"/>
      <c r="AM34" s="641"/>
      <c r="AN34" s="729"/>
      <c r="AO34" s="729"/>
      <c r="AP34" s="729"/>
      <c r="AQ34" s="729"/>
      <c r="AR34" s="729"/>
    </row>
    <row s="19160" customFormat="1" customHeight="1" ht="18.75" hidden="1">
      <c r="A35" s="1734"/>
      <c r="B35" s="1734"/>
      <c r="C35" s="1734"/>
      <c r="D35" s="1734"/>
      <c r="E35" s="1734"/>
      <c r="F35" s="1734"/>
      <c r="G35" s="1734"/>
      <c r="H35" s="1734"/>
      <c r="I35" s="1734"/>
      <c r="J35" s="1734"/>
      <c r="K35" s="1734"/>
      <c r="L35" s="1735"/>
      <c r="M35" s="1734"/>
      <c r="N35" s="1734"/>
      <c r="O35" s="1734"/>
      <c r="S35" s="2518" t="s">
        <v>424</v>
      </c>
      <c r="T35" s="2518"/>
      <c r="U35" s="1738"/>
      <c r="V35" s="2520" t="str">
        <f>IF(TITLE_NUMBER_PR_CHANGE="",IF(TITLE_NUMBER_PR="","",TITLE_NUMBER_PR),TITLE_NUMBER_PR_CHANGE)</f>
        <v>317-Р</v>
      </c>
      <c r="W35" s="2520"/>
      <c r="X35" s="2520"/>
      <c r="Y35" s="2520"/>
      <c r="Z35" s="2520"/>
      <c r="AA35" s="2520"/>
      <c r="AB35" s="2520"/>
      <c r="AC35" s="687"/>
      <c r="AD35" s="2520" t="str">
        <f>IF(TITLE_NUMBER_PR_CHANGE="",IF(TITLE_NUMBER_PR="","",TITLE_NUMBER_PR),TITLE_NUMBER_PR_CHANGE)</f>
        <v>317-Р</v>
      </c>
      <c r="AE35" s="2520"/>
      <c r="AF35" s="2520"/>
      <c r="AG35" s="2520"/>
      <c r="AH35" s="2520"/>
      <c r="AI35" s="2520"/>
      <c r="AJ35" s="2520"/>
      <c r="AK35" s="687"/>
      <c r="AL35" s="687"/>
      <c r="AM35" s="641"/>
      <c r="AN35" s="729"/>
      <c r="AO35" s="729"/>
      <c r="AP35" s="729"/>
      <c r="AQ35" s="729"/>
      <c r="AR35" s="729"/>
    </row>
    <row s="19160" customFormat="1" customHeight="1" ht="0">
      <c r="A36" s="1734"/>
      <c r="B36" s="1734"/>
      <c r="C36" s="1734"/>
      <c r="D36" s="1734"/>
      <c r="E36" s="1734"/>
      <c r="F36" s="1734"/>
      <c r="G36" s="1734"/>
      <c r="H36" s="1734"/>
      <c r="I36" s="1734"/>
      <c r="J36" s="1734"/>
      <c r="K36" s="1734"/>
      <c r="L36" s="1735"/>
      <c r="M36" s="1734"/>
      <c r="N36" s="1734"/>
      <c r="O36" s="1734"/>
      <c r="S36" s="684"/>
      <c r="T36" s="684"/>
      <c r="U36" s="1706"/>
      <c r="V36" s="687"/>
      <c r="W36" s="687"/>
      <c r="X36" s="687"/>
      <c r="Y36" s="687"/>
      <c r="Z36" s="687"/>
      <c r="AA36" s="687"/>
      <c r="AB36" s="687"/>
      <c r="AC36" s="639" t="s">
        <v>425</v>
      </c>
      <c r="AD36" s="687"/>
      <c r="AE36" s="687"/>
      <c r="AF36" s="687"/>
      <c r="AG36" s="687"/>
      <c r="AH36" s="687"/>
      <c r="AI36" s="687"/>
      <c r="AJ36" s="687"/>
      <c r="AK36" s="639" t="s">
        <v>425</v>
      </c>
      <c r="AN36" s="729"/>
      <c r="AO36" s="729"/>
      <c r="AP36" s="729"/>
      <c r="AQ36" s="729"/>
      <c r="AR36" s="729"/>
    </row>
    <row customHeight="1" ht="14.25">
      <c r="Q37" s="737"/>
      <c r="R37" s="737"/>
      <c r="S37" s="1641"/>
      <c r="T37" s="724"/>
      <c r="U37" s="1609"/>
      <c r="V37" s="2544"/>
      <c r="W37" s="2544"/>
      <c r="X37" s="2544"/>
      <c r="Y37" s="2544"/>
      <c r="Z37" s="2544"/>
      <c r="AA37" s="2544"/>
      <c r="AB37" s="2544"/>
      <c r="AC37" s="2544"/>
      <c r="AD37" s="2544"/>
      <c r="AE37" s="2544"/>
      <c r="AF37" s="2544"/>
      <c r="AG37" s="2544"/>
      <c r="AH37" s="2544"/>
      <c r="AI37" s="2544"/>
      <c r="AJ37" s="2544"/>
      <c r="AK37" s="2544"/>
    </row>
    <row customHeight="1" ht="14.25">
      <c r="Q38" s="737"/>
      <c r="R38" s="737"/>
      <c r="S38" s="2392" t="s">
        <v>300</v>
      </c>
      <c r="T38" s="2392"/>
      <c r="U38" s="2392"/>
      <c r="V38" s="2392"/>
      <c r="W38" s="2392"/>
      <c r="X38" s="2392"/>
      <c r="Y38" s="2392"/>
      <c r="Z38" s="2392"/>
      <c r="AA38" s="2392"/>
      <c r="AB38" s="2392"/>
      <c r="AC38" s="2392"/>
      <c r="AD38" s="2392"/>
      <c r="AE38" s="2392"/>
      <c r="AF38" s="2392"/>
      <c r="AG38" s="2392"/>
      <c r="AH38" s="2392"/>
      <c r="AI38" s="2392"/>
      <c r="AJ38" s="2392"/>
      <c r="AK38" s="2392"/>
      <c r="AL38" s="2392"/>
      <c r="AM38" s="2392" t="s">
        <v>301</v>
      </c>
    </row>
    <row customHeight="1" ht="14.25">
      <c r="Q39" s="737"/>
      <c r="R39" s="737"/>
      <c r="S39" s="2545" t="s">
        <v>85</v>
      </c>
      <c r="T39" s="2482" t="s">
        <v>426</v>
      </c>
      <c r="U39" s="662"/>
      <c r="V39" s="2546" t="s">
        <v>427</v>
      </c>
      <c r="W39" s="2547"/>
      <c r="X39" s="2547"/>
      <c r="Y39" s="2547"/>
      <c r="Z39" s="2547"/>
      <c r="AA39" s="2547"/>
      <c r="AB39" s="2548"/>
      <c r="AC39" s="2549" t="s">
        <v>428</v>
      </c>
      <c r="AD39" s="2546" t="s">
        <v>427</v>
      </c>
      <c r="AE39" s="2547"/>
      <c r="AF39" s="2547"/>
      <c r="AG39" s="2547"/>
      <c r="AH39" s="2547"/>
      <c r="AI39" s="2547"/>
      <c r="AJ39" s="2548"/>
      <c r="AK39" s="2549" t="s">
        <v>429</v>
      </c>
      <c r="AL39" s="2552" t="s">
        <v>430</v>
      </c>
      <c r="AM39" s="2392"/>
    </row>
    <row customHeight="1" ht="33.75">
      <c r="Q40" s="737"/>
      <c r="R40" s="737"/>
      <c r="S40" s="2545"/>
      <c r="T40" s="2482"/>
      <c r="U40" s="1393"/>
      <c r="V40" s="2555" t="s">
        <v>431</v>
      </c>
      <c r="W40" s="2536" t="s">
        <v>432</v>
      </c>
      <c r="X40" s="2538" t="s">
        <v>433</v>
      </c>
      <c r="Y40" s="2540"/>
      <c r="Z40" s="2538" t="s">
        <v>446</v>
      </c>
      <c r="AA40" s="2539"/>
      <c r="AB40" s="2540"/>
      <c r="AC40" s="2550"/>
      <c r="AD40" s="2555" t="s">
        <v>431</v>
      </c>
      <c r="AE40" s="2536" t="s">
        <v>432</v>
      </c>
      <c r="AF40" s="2538" t="s">
        <v>433</v>
      </c>
      <c r="AG40" s="2540"/>
      <c r="AH40" s="2538" t="s">
        <v>434</v>
      </c>
      <c r="AI40" s="2539"/>
      <c r="AJ40" s="2540"/>
      <c r="AK40" s="2550"/>
      <c r="AL40" s="2553"/>
      <c r="AM40" s="2392"/>
    </row>
    <row customHeight="1" ht="33.75">
      <c r="A41" s="1736"/>
      <c r="B41" s="1736" t="s">
        <v>132</v>
      </c>
      <c r="C41" s="1736" t="s">
        <v>133</v>
      </c>
      <c r="D41" s="1736" t="s">
        <v>134</v>
      </c>
      <c r="E41" s="1730" t="s">
        <v>435</v>
      </c>
      <c r="F41" s="1730" t="s">
        <v>436</v>
      </c>
      <c r="G41" s="1730" t="s">
        <v>437</v>
      </c>
      <c r="H41" s="1730" t="s">
        <v>438</v>
      </c>
      <c r="I41" s="1730" t="s">
        <v>439</v>
      </c>
      <c r="J41" s="1730" t="s">
        <v>440</v>
      </c>
      <c r="K41" s="1730" t="s">
        <v>441</v>
      </c>
      <c r="L41" s="1730" t="s">
        <v>416</v>
      </c>
      <c r="Q41" s="737"/>
      <c r="R41" s="737"/>
      <c r="S41" s="2545"/>
      <c r="T41" s="2482"/>
      <c r="U41" s="663"/>
      <c r="V41" s="2556"/>
      <c r="W41" s="2537"/>
      <c r="X41" s="1587" t="s">
        <v>442</v>
      </c>
      <c r="Y41" s="1587" t="s">
        <v>443</v>
      </c>
      <c r="Z41" s="1704" t="s">
        <v>444</v>
      </c>
      <c r="AA41" s="2541" t="s">
        <v>445</v>
      </c>
      <c r="AB41" s="2542"/>
      <c r="AC41" s="2551"/>
      <c r="AD41" s="2556"/>
      <c r="AE41" s="2537"/>
      <c r="AF41" s="1587" t="s">
        <v>442</v>
      </c>
      <c r="AG41" s="1587" t="s">
        <v>443</v>
      </c>
      <c r="AH41" s="1704" t="s">
        <v>444</v>
      </c>
      <c r="AI41" s="2541" t="s">
        <v>445</v>
      </c>
      <c r="AJ41" s="2542"/>
      <c r="AK41" s="2551"/>
      <c r="AL41" s="2554"/>
      <c r="AM41" s="2392"/>
    </row>
    <row s="18977" customFormat="1" customHeight="1" ht="11.25" hidden="1">
      <c r="A42" s="1736"/>
      <c r="B42" s="1736"/>
      <c r="C42" s="1736"/>
      <c r="D42" s="1736"/>
      <c r="E42" s="1736"/>
      <c r="F42" s="1736"/>
      <c r="G42" s="1736"/>
      <c r="H42" s="1736"/>
      <c r="I42" s="1736"/>
      <c r="J42" s="1736"/>
      <c r="K42" s="1736"/>
      <c r="L42" s="1730"/>
      <c r="M42" s="1728"/>
      <c r="N42" s="1728"/>
      <c r="O42" s="1728"/>
      <c r="P42" s="1611"/>
      <c r="Q42" s="1612"/>
      <c r="R42" s="1619">
        <v>1</v>
      </c>
      <c r="S42" s="1643" t="s">
        <v>106</v>
      </c>
      <c r="T42" s="1620" t="s">
        <v>107</v>
      </c>
      <c r="U42" s="1610" t="str">
        <f>OFFSET(U42,0,-1)</f>
        <v>2</v>
      </c>
      <c r="V42" s="1701">
        <f>OFFSET(V42,0,-1)+1</f>
        <v>3</v>
      </c>
      <c r="W42" s="1701"/>
      <c r="X42" s="1701">
        <f>OFFSET(X42,0,-1)+1</f>
        <v>1</v>
      </c>
      <c r="Y42" s="1701">
        <f>OFFSET(Y42,0,-1)+1</f>
        <v>2</v>
      </c>
      <c r="Z42" s="1701">
        <f>OFFSET(Z42,0,-1)+1</f>
        <v>3</v>
      </c>
      <c r="AA42" s="2543">
        <f>OFFSET(AA42,0,-1)+1</f>
        <v>4</v>
      </c>
      <c r="AB42" s="2543"/>
      <c r="AC42" s="1701">
        <f>OFFSET(AC42,0,-2)+1</f>
        <v>5</v>
      </c>
      <c r="AD42" s="1701">
        <f>OFFSET(AD42,0,-1)+1</f>
        <v>6</v>
      </c>
      <c r="AE42" s="1701"/>
      <c r="AF42" s="1701">
        <f>OFFSET(AF42,0,-1)+1</f>
        <v>1</v>
      </c>
      <c r="AG42" s="1701">
        <f>OFFSET(AG42,0,-1)+1</f>
        <v>2</v>
      </c>
      <c r="AH42" s="1701">
        <f>OFFSET(AH42,0,-1)+1</f>
        <v>3</v>
      </c>
      <c r="AI42" s="2543">
        <f>OFFSET(AI42,0,-1)+1</f>
        <v>4</v>
      </c>
      <c r="AJ42" s="2543"/>
      <c r="AK42" s="1701">
        <f>OFFSET(AK42,0,-2)+1</f>
        <v>5</v>
      </c>
      <c r="AL42" s="1610">
        <f>OFFSET(AL42,0,-1)</f>
        <v>5</v>
      </c>
      <c r="AM42" s="1701">
        <f>OFFSET(AM42,0,-1)+1</f>
        <v>6</v>
      </c>
      <c r="AN42" s="872"/>
      <c r="AO42" s="872"/>
      <c r="AP42" s="872"/>
      <c r="AQ42" s="872"/>
      <c r="AR42" s="872"/>
    </row>
    <row customHeight="1" ht="21">
      <c r="A43" s="1729" t="s">
        <v>159</v>
      </c>
      <c r="B43" s="1729"/>
      <c r="C43" s="1729"/>
      <c r="D43" s="1729"/>
      <c r="E43" s="2527">
        <v>1</v>
      </c>
      <c r="F43" s="1729"/>
      <c r="G43" s="1729"/>
      <c r="H43" s="1729"/>
      <c r="I43" s="1729"/>
      <c r="J43" s="1729"/>
      <c r="K43" s="1729"/>
      <c r="L43" s="1730"/>
      <c r="M43" s="1731"/>
      <c r="N43" s="1731"/>
      <c r="O43" s="1731"/>
      <c r="P43" s="722"/>
      <c r="Q43" s="721"/>
      <c r="R43" s="716"/>
      <c r="S43" s="1702">
        <f>INDEX(PT_DIFFERENTIATION_NUM_NTAR,MATCH(A43,PT_DIFFERENTIATION_NTAR_ID,0))</f>
        <v>0</v>
      </c>
      <c r="T43" s="659" t="s">
        <v>120</v>
      </c>
      <c r="U43" s="661"/>
      <c r="V43" s="2521"/>
      <c r="W43" s="2522"/>
      <c r="X43" s="2522"/>
      <c r="Y43" s="2522"/>
      <c r="Z43" s="2522"/>
      <c r="AA43" s="2522"/>
      <c r="AB43" s="2522"/>
      <c r="AC43" s="2523"/>
      <c r="AD43" s="2521" t="str">
        <f>INDEX(PT_DIFFERENTIATION_NTAR,MATCH(A43,PT_DIFFERENTIATION_NTAR_ID,0))</f>
        <v/>
      </c>
      <c r="AE43" s="2522"/>
      <c r="AF43" s="2522"/>
      <c r="AG43" s="2522"/>
      <c r="AH43" s="2522"/>
      <c r="AI43" s="2522"/>
      <c r="AJ43" s="2522"/>
      <c r="AK43" s="2522"/>
      <c r="AL43" s="2523"/>
      <c r="AM43" s="162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861"/>
      <c r="AP43" s="861" t="str">
        <f>IF(T43="","",T43)</f>
        <v>Наименование тарифа</v>
      </c>
      <c r="AQ43" s="861"/>
      <c r="AR43" s="861"/>
    </row>
    <row customHeight="1" ht="21">
      <c r="A44" s="1729" t="s">
        <v>159</v>
      </c>
      <c r="B44" s="1729" t="s">
        <v>160</v>
      </c>
      <c r="C44" s="1729"/>
      <c r="D44" s="1729"/>
      <c r="E44" s="2528"/>
      <c r="F44" s="2527">
        <v>1</v>
      </c>
      <c r="G44" s="1729"/>
      <c r="H44" s="1729"/>
      <c r="I44" s="1729"/>
      <c r="J44" s="1729"/>
      <c r="K44" s="1729"/>
      <c r="L44" s="1730"/>
      <c r="M44" s="1731"/>
      <c r="N44" s="1731"/>
      <c r="O44" s="1731"/>
      <c r="P44" s="1698"/>
      <c r="Q44" s="713"/>
      <c r="R44" s="714"/>
      <c r="S44" s="1702" t="str">
        <f>INDEX(PT_DIFFERENTIATION_NUM_TER,MATCH(B44,PT_DIFFERENTIATION_TER_ID,0))</f>
        <v>.</v>
      </c>
      <c r="T44" s="669" t="s">
        <v>397</v>
      </c>
      <c r="U44" s="661"/>
      <c r="V44" s="2521"/>
      <c r="W44" s="2522"/>
      <c r="X44" s="2522"/>
      <c r="Y44" s="2522"/>
      <c r="Z44" s="2522"/>
      <c r="AA44" s="2522"/>
      <c r="AB44" s="2522"/>
      <c r="AC44" s="2523"/>
      <c r="AD44" s="2521" t="str">
        <f>INDEX(PT_DIFFERENTIATION_TER,MATCH(B44,PT_DIFFERENTIATION_TER_ID,0))</f>
        <v/>
      </c>
      <c r="AE44" s="2522"/>
      <c r="AF44" s="2522"/>
      <c r="AG44" s="2522"/>
      <c r="AH44" s="2522"/>
      <c r="AI44" s="2522"/>
      <c r="AJ44" s="2522"/>
      <c r="AK44" s="2522"/>
      <c r="AL44" s="2523"/>
      <c r="AM44" s="1623" t="s">
        <v>398</v>
      </c>
      <c r="AO44" s="861"/>
      <c r="AP44" s="861" t="str">
        <f>IF(T44="","",T44)</f>
        <v>Территория действия тарифа</v>
      </c>
      <c r="AQ44" s="861"/>
      <c r="AR44" s="861"/>
    </row>
    <row customHeight="1" ht="23.25">
      <c r="A45" s="1729" t="s">
        <v>159</v>
      </c>
      <c r="B45" s="1729" t="s">
        <v>160</v>
      </c>
      <c r="C45" s="1729" t="s">
        <v>161</v>
      </c>
      <c r="D45" s="1729"/>
      <c r="E45" s="2528"/>
      <c r="F45" s="2528"/>
      <c r="G45" s="2527">
        <v>1</v>
      </c>
      <c r="H45" s="1729"/>
      <c r="I45" s="1729"/>
      <c r="J45" s="1729"/>
      <c r="K45" s="1729"/>
      <c r="L45" s="1730"/>
      <c r="M45" s="1731"/>
      <c r="N45" s="1731"/>
      <c r="O45" s="1731"/>
      <c r="P45" s="715"/>
      <c r="Q45" s="713"/>
      <c r="R45" s="714"/>
      <c r="S45" s="1702" t="str">
        <f>INDEX(PT_DIFFERENTIATION_NUM_CS,MATCH(C45,PT_DIFFERENTIATION_CS_ID,0))</f>
        <v>..</v>
      </c>
      <c r="T45" s="670" t="s">
        <v>399</v>
      </c>
      <c r="U45" s="661"/>
      <c r="V45" s="2521"/>
      <c r="W45" s="2522"/>
      <c r="X45" s="2522"/>
      <c r="Y45" s="2522"/>
      <c r="Z45" s="2522"/>
      <c r="AA45" s="2522"/>
      <c r="AB45" s="2522"/>
      <c r="AC45" s="2523"/>
      <c r="AD45" s="2521" t="str">
        <f>INDEX(PT_DIFFERENTIATION_CS,MATCH(C45,PT_DIFFERENTIATION_CS_ID,0))</f>
        <v/>
      </c>
      <c r="AE45" s="2522"/>
      <c r="AF45" s="2522"/>
      <c r="AG45" s="2522"/>
      <c r="AH45" s="2522"/>
      <c r="AI45" s="2522"/>
      <c r="AJ45" s="2522"/>
      <c r="AK45" s="2522"/>
      <c r="AL45" s="2523"/>
      <c r="AM45" s="1623" t="s">
        <v>400</v>
      </c>
      <c r="AO45" s="861"/>
      <c r="AP45" s="861" t="str">
        <f>IF(T45="","",T45)</f>
        <v>Наименование системы теплоснабжения </v>
      </c>
      <c r="AQ45" s="861"/>
      <c r="AR45" s="861"/>
    </row>
    <row customHeight="1" ht="21">
      <c r="A46" s="1729" t="s">
        <v>159</v>
      </c>
      <c r="B46" s="1729" t="s">
        <v>160</v>
      </c>
      <c r="C46" s="1729" t="s">
        <v>161</v>
      </c>
      <c r="D46" s="1729" t="s">
        <v>162</v>
      </c>
      <c r="E46" s="2528"/>
      <c r="F46" s="2528"/>
      <c r="G46" s="2528"/>
      <c r="H46" s="2527">
        <v>1</v>
      </c>
      <c r="I46" s="1729"/>
      <c r="J46" s="1729"/>
      <c r="K46" s="1729"/>
      <c r="L46" s="1730"/>
      <c r="M46" s="1731"/>
      <c r="N46" s="1731"/>
      <c r="O46" s="1731"/>
      <c r="P46" s="715"/>
      <c r="Q46" s="713"/>
      <c r="R46" s="714"/>
      <c r="S46" s="1702" t="str">
        <f>INDEX(PT_DIFFERENTIATION_NUM_IST_TE,MATCH(D46,PT_DIFFERENTIATION_IST_TE_ID,0))</f>
        <v>...</v>
      </c>
      <c r="T46" s="671" t="s">
        <v>401</v>
      </c>
      <c r="U46" s="661"/>
      <c r="V46" s="2521"/>
      <c r="W46" s="2522"/>
      <c r="X46" s="2522"/>
      <c r="Y46" s="2522"/>
      <c r="Z46" s="2522"/>
      <c r="AA46" s="2522"/>
      <c r="AB46" s="2522"/>
      <c r="AC46" s="2523"/>
      <c r="AD46" s="2521" t="str">
        <f>INDEX(PT_DIFFERENTIATION_IST_TE,MATCH(D46,PT_DIFFERENTIATION_IST_TE_ID,0))</f>
        <v/>
      </c>
      <c r="AE46" s="2522"/>
      <c r="AF46" s="2522"/>
      <c r="AG46" s="2522"/>
      <c r="AH46" s="2522"/>
      <c r="AI46" s="2522"/>
      <c r="AJ46" s="2522"/>
      <c r="AK46" s="2522"/>
      <c r="AL46" s="2523"/>
      <c r="AM46" s="1623" t="s">
        <v>402</v>
      </c>
      <c r="AO46" s="861"/>
      <c r="AP46" s="861" t="str">
        <f>IF(T46="","",T46)</f>
        <v>Источник тепловой энергии  </v>
      </c>
      <c r="AQ46" s="861"/>
      <c r="AR46" s="861"/>
    </row>
    <row customHeight="1" ht="47.25">
      <c r="A47" s="1729" t="s">
        <v>159</v>
      </c>
      <c r="B47" s="1729" t="s">
        <v>160</v>
      </c>
      <c r="C47" s="1729" t="s">
        <v>161</v>
      </c>
      <c r="D47" s="1729" t="s">
        <v>162</v>
      </c>
      <c r="E47" s="2528"/>
      <c r="F47" s="2528"/>
      <c r="G47" s="2528"/>
      <c r="H47" s="2528"/>
      <c r="I47" s="2529" t="str">
        <f>S46&amp;".1"</f>
        <v>....1</v>
      </c>
      <c r="J47" s="1729"/>
      <c r="K47" s="1729"/>
      <c r="L47" s="1730" t="s">
        <v>403</v>
      </c>
      <c r="P47" s="2531">
        <v>1</v>
      </c>
      <c r="Q47" s="1697"/>
      <c r="R47" s="717"/>
      <c r="S47" s="1702" t="str">
        <f>$I47</f>
        <v>....1</v>
      </c>
      <c r="T47" s="646" t="s">
        <v>404</v>
      </c>
      <c r="U47" s="661"/>
      <c r="V47" s="2515"/>
      <c r="W47" s="2516"/>
      <c r="X47" s="2516"/>
      <c r="Y47" s="2516"/>
      <c r="Z47" s="2516"/>
      <c r="AA47" s="2516"/>
      <c r="AB47" s="2516"/>
      <c r="AC47" s="2517"/>
      <c r="AD47" s="2515"/>
      <c r="AE47" s="2516"/>
      <c r="AF47" s="2516"/>
      <c r="AG47" s="2516"/>
      <c r="AH47" s="2516"/>
      <c r="AI47" s="2516"/>
      <c r="AJ47" s="2516"/>
      <c r="AK47" s="2516"/>
      <c r="AL47" s="2517"/>
      <c r="AM47" s="1623" t="s">
        <v>405</v>
      </c>
      <c r="AO47" s="861"/>
      <c r="AP47" s="861" t="str">
        <f>IF(T47="","",T47)</f>
        <v>Схема подключения теплопотребляющей установки к коллектору источника тепловой энергии</v>
      </c>
      <c r="AQ47" s="861"/>
      <c r="AR47" s="861"/>
    </row>
    <row customHeight="1" ht="21">
      <c r="A48" s="1729" t="s">
        <v>159</v>
      </c>
      <c r="B48" s="1729" t="s">
        <v>160</v>
      </c>
      <c r="C48" s="1729" t="s">
        <v>161</v>
      </c>
      <c r="D48" s="1729" t="s">
        <v>162</v>
      </c>
      <c r="E48" s="2528"/>
      <c r="F48" s="2528"/>
      <c r="G48" s="2528"/>
      <c r="H48" s="2528"/>
      <c r="I48" s="2530"/>
      <c r="J48" s="2529" t="str">
        <f>I47&amp;".1"</f>
        <v>....1.1</v>
      </c>
      <c r="K48" s="1729"/>
      <c r="L48" s="1730" t="s">
        <v>406</v>
      </c>
      <c r="P48" s="2531"/>
      <c r="Q48" s="2531">
        <v>1</v>
      </c>
      <c r="R48" s="718"/>
      <c r="S48" s="1702" t="str">
        <f>$J48</f>
        <v>....1.1</v>
      </c>
      <c r="T48" s="647" t="s">
        <v>407</v>
      </c>
      <c r="U48" s="661"/>
      <c r="V48" s="2515"/>
      <c r="W48" s="2516"/>
      <c r="X48" s="2516"/>
      <c r="Y48" s="2516"/>
      <c r="Z48" s="2516"/>
      <c r="AA48" s="2516"/>
      <c r="AB48" s="2516"/>
      <c r="AC48" s="2517"/>
      <c r="AD48" s="2515"/>
      <c r="AE48" s="2516"/>
      <c r="AF48" s="2516"/>
      <c r="AG48" s="2516"/>
      <c r="AH48" s="2516"/>
      <c r="AI48" s="2516"/>
      <c r="AJ48" s="2516"/>
      <c r="AK48" s="2516"/>
      <c r="AL48" s="2517"/>
      <c r="AM48" s="1623" t="s">
        <v>408</v>
      </c>
      <c r="AO48" s="861"/>
      <c r="AP48" s="861" t="str">
        <f>IF(T48="","",T48)</f>
        <v>Группа потребителей</v>
      </c>
      <c r="AQ48" s="861"/>
      <c r="AR48" s="861"/>
    </row>
    <row customHeight="1" ht="21">
      <c r="A49" s="1729" t="s">
        <v>159</v>
      </c>
      <c r="B49" s="1729" t="s">
        <v>160</v>
      </c>
      <c r="C49" s="1729" t="s">
        <v>161</v>
      </c>
      <c r="D49" s="1729" t="s">
        <v>162</v>
      </c>
      <c r="E49" s="2528"/>
      <c r="F49" s="2528"/>
      <c r="G49" s="2528"/>
      <c r="H49" s="2528"/>
      <c r="I49" s="2530"/>
      <c r="J49" s="2530"/>
      <c r="K49" s="2529" t="str">
        <f>J48&amp;".1"</f>
        <v>....1.1.1</v>
      </c>
      <c r="L49" s="1730" t="s">
        <v>409</v>
      </c>
      <c r="P49" s="2531"/>
      <c r="Q49" s="2531"/>
      <c r="R49" s="718">
        <v>1</v>
      </c>
      <c r="S49" s="1702" t="str">
        <f>$K49</f>
        <v>....1.1.1</v>
      </c>
      <c r="T49" s="1713"/>
      <c r="U49" s="661"/>
      <c r="V49" s="1112"/>
      <c r="W49" s="686"/>
      <c r="X49" s="1112"/>
      <c r="Y49" s="1622"/>
      <c r="Z49" s="2532"/>
      <c r="AA49" s="2402" t="s">
        <v>59</v>
      </c>
      <c r="AB49" s="2532"/>
      <c r="AC49" s="2402" t="s">
        <v>59</v>
      </c>
      <c r="AD49" s="1112"/>
      <c r="AE49" s="686"/>
      <c r="AF49" s="1112"/>
      <c r="AG49" s="1622"/>
      <c r="AH49" s="2532"/>
      <c r="AI49" s="2402" t="s">
        <v>59</v>
      </c>
      <c r="AJ49" s="2534"/>
      <c r="AK49" s="2402" t="s">
        <v>59</v>
      </c>
      <c r="AL49" s="1714"/>
      <c r="AM49" s="2557" t="s">
        <v>410</v>
      </c>
      <c r="AN49" s="872">
        <f>STRCHECKDATE(V50:AL50)</f>
      </c>
      <c r="AO49" s="861"/>
      <c r="AP49" s="861" t="str">
        <f>IF(T49="","",T49)</f>
        <v/>
      </c>
      <c r="AQ49" s="861"/>
      <c r="AR49" s="861"/>
    </row>
    <row customHeight="1" ht="0.75">
      <c r="A50" s="1729" t="s">
        <v>159</v>
      </c>
      <c r="B50" s="1729" t="s">
        <v>160</v>
      </c>
      <c r="C50" s="1729" t="s">
        <v>161</v>
      </c>
      <c r="D50" s="1729" t="s">
        <v>162</v>
      </c>
      <c r="E50" s="2528"/>
      <c r="F50" s="2528"/>
      <c r="G50" s="2528"/>
      <c r="H50" s="2528"/>
      <c r="I50" s="2530"/>
      <c r="J50" s="2530"/>
      <c r="K50" s="2529"/>
      <c r="L50" s="1730"/>
      <c r="P50" s="2531"/>
      <c r="Q50" s="2531"/>
      <c r="R50" s="718"/>
      <c r="S50" s="1708"/>
      <c r="T50" s="661"/>
      <c r="U50" s="661"/>
      <c r="V50" s="686"/>
      <c r="W50" s="686"/>
      <c r="X50" s="686"/>
      <c r="Y50" s="689" t="str">
        <f>Z49&amp;"-"&amp;AB49</f>
        <v>-</v>
      </c>
      <c r="Z50" s="2533"/>
      <c r="AA50" s="2402"/>
      <c r="AB50" s="2533"/>
      <c r="AC50" s="2402"/>
      <c r="AD50" s="686"/>
      <c r="AE50" s="686"/>
      <c r="AF50" s="686"/>
      <c r="AG50" s="689" t="str">
        <f>AH49&amp;"-"&amp;AJ49</f>
        <v>-</v>
      </c>
      <c r="AH50" s="2533"/>
      <c r="AI50" s="2402"/>
      <c r="AJ50" s="2535"/>
      <c r="AK50" s="2402"/>
      <c r="AL50" s="1715"/>
      <c r="AM50" s="2558"/>
      <c r="AO50" s="861"/>
      <c r="AP50" s="861" t="str">
        <f>IF(T50="","",T50)</f>
        <v/>
      </c>
      <c r="AQ50" s="861"/>
      <c r="AR50" s="861"/>
    </row>
    <row customHeight="1" ht="11.25">
      <c r="A51" s="1729" t="s">
        <v>159</v>
      </c>
      <c r="B51" s="1729" t="s">
        <v>160</v>
      </c>
      <c r="C51" s="1729" t="s">
        <v>161</v>
      </c>
      <c r="D51" s="1729" t="s">
        <v>162</v>
      </c>
      <c r="E51" s="2528"/>
      <c r="F51" s="2528"/>
      <c r="G51" s="2528"/>
      <c r="H51" s="2528"/>
      <c r="I51" s="2530"/>
      <c r="J51" s="2529"/>
      <c r="K51" s="1729"/>
      <c r="L51" s="1730"/>
      <c r="P51" s="2531"/>
      <c r="Q51" s="2531"/>
      <c r="R51" s="717"/>
      <c r="S51" s="1644"/>
      <c r="T51" s="649" t="s">
        <v>411</v>
      </c>
      <c r="U51" s="728"/>
      <c r="V51" s="728"/>
      <c r="W51" s="728"/>
      <c r="X51" s="728"/>
      <c r="Y51" s="728"/>
      <c r="Z51" s="728"/>
      <c r="AA51" s="728"/>
      <c r="AB51" s="728"/>
      <c r="AC51" s="728"/>
      <c r="AD51" s="728"/>
      <c r="AE51" s="728"/>
      <c r="AF51" s="728"/>
      <c r="AG51" s="728"/>
      <c r="AH51" s="728"/>
      <c r="AI51" s="728"/>
      <c r="AJ51" s="728"/>
      <c r="AK51" s="728"/>
      <c r="AL51" s="685"/>
      <c r="AM51" s="2559"/>
      <c r="AO51" s="861"/>
      <c r="AP51" s="861" t="str">
        <f>IF(T51="","",T51)</f>
        <v>Добавить вид теплоносителя (параметры теплоносителя)</v>
      </c>
      <c r="AQ51" s="861"/>
      <c r="AR51" s="861"/>
    </row>
    <row customHeight="1" ht="11.25">
      <c r="A52" s="1729" t="s">
        <v>159</v>
      </c>
      <c r="B52" s="1729" t="s">
        <v>160</v>
      </c>
      <c r="C52" s="1729" t="s">
        <v>161</v>
      </c>
      <c r="D52" s="1729" t="s">
        <v>162</v>
      </c>
      <c r="E52" s="2528"/>
      <c r="F52" s="2528"/>
      <c r="G52" s="2528"/>
      <c r="H52" s="2528"/>
      <c r="I52" s="2529"/>
      <c r="J52" s="1729"/>
      <c r="K52" s="1729"/>
      <c r="L52" s="1730"/>
      <c r="P52" s="2531"/>
      <c r="Q52" s="1697"/>
      <c r="R52" s="717"/>
      <c r="S52" s="1644"/>
      <c r="T52" s="648" t="s">
        <v>412</v>
      </c>
      <c r="U52" s="728"/>
      <c r="V52" s="728"/>
      <c r="W52" s="728"/>
      <c r="X52" s="728"/>
      <c r="Y52" s="728"/>
      <c r="Z52" s="728"/>
      <c r="AA52" s="728"/>
      <c r="AB52" s="728"/>
      <c r="AC52" s="727"/>
      <c r="AD52" s="728"/>
      <c r="AE52" s="728"/>
      <c r="AF52" s="728"/>
      <c r="AG52" s="728"/>
      <c r="AH52" s="728"/>
      <c r="AI52" s="728"/>
      <c r="AJ52" s="728"/>
      <c r="AK52" s="727"/>
      <c r="AL52" s="728"/>
      <c r="AM52" s="664"/>
      <c r="AO52" s="861"/>
      <c r="AP52" s="861" t="str">
        <f>IF(T52="","",T52)</f>
        <v>Добавить группу потребителей</v>
      </c>
      <c r="AQ52" s="861"/>
      <c r="AR52" s="861"/>
    </row>
    <row customHeight="1" ht="14.25">
      <c r="A53" s="1729" t="s">
        <v>159</v>
      </c>
      <c r="B53" s="1729" t="s">
        <v>160</v>
      </c>
      <c r="C53" s="1729" t="s">
        <v>161</v>
      </c>
      <c r="D53" s="1729" t="s">
        <v>162</v>
      </c>
      <c r="E53" s="2528"/>
      <c r="F53" s="2528"/>
      <c r="G53" s="2528"/>
      <c r="H53" s="2527"/>
      <c r="I53" s="1729"/>
      <c r="J53" s="1729"/>
      <c r="K53" s="1729"/>
      <c r="L53" s="1730"/>
      <c r="M53" s="1731"/>
      <c r="N53" s="1731"/>
      <c r="O53" s="898"/>
      <c r="P53" s="721"/>
      <c r="Q53" s="736"/>
      <c r="R53" s="716"/>
      <c r="S53" s="1644"/>
      <c r="T53" s="726" t="s">
        <v>413</v>
      </c>
      <c r="U53" s="728"/>
      <c r="V53" s="728"/>
      <c r="W53" s="728"/>
      <c r="X53" s="728"/>
      <c r="Y53" s="728"/>
      <c r="Z53" s="728"/>
      <c r="AA53" s="728"/>
      <c r="AB53" s="728"/>
      <c r="AC53" s="727"/>
      <c r="AD53" s="728"/>
      <c r="AE53" s="728"/>
      <c r="AF53" s="728"/>
      <c r="AG53" s="728"/>
      <c r="AH53" s="728"/>
      <c r="AI53" s="728"/>
      <c r="AJ53" s="728"/>
      <c r="AK53" s="727"/>
      <c r="AL53" s="728"/>
      <c r="AM53" s="664"/>
      <c r="AO53" s="861"/>
      <c r="AP53" s="861" t="str">
        <f>IF(T53="","",T53)</f>
        <v>Добавить схему подключения</v>
      </c>
      <c r="AQ53" s="861"/>
      <c r="AR53" s="861"/>
    </row>
    <row s="19127" customFormat="1" customHeight="1" ht="0.75">
      <c r="A54" s="1709" t="s">
        <v>159</v>
      </c>
      <c r="B54" s="1709" t="s">
        <v>160</v>
      </c>
      <c r="C54" s="1709" t="s">
        <v>161</v>
      </c>
      <c r="D54" s="1680"/>
      <c r="E54" s="2528"/>
      <c r="F54" s="2528"/>
      <c r="G54" s="2527"/>
      <c r="H54" s="1680"/>
      <c r="I54" s="1680"/>
      <c r="J54" s="1680"/>
      <c r="K54" s="1680"/>
      <c r="L54" s="1705"/>
      <c r="M54" s="1681"/>
      <c r="N54" s="1681"/>
      <c r="P54" s="1682"/>
      <c r="Q54" s="1683"/>
      <c r="R54" s="1682"/>
      <c r="S54" s="1688"/>
      <c r="T54" s="1691" t="s">
        <v>414</v>
      </c>
      <c r="U54" s="1690"/>
      <c r="V54" s="1690"/>
      <c r="W54" s="1690"/>
      <c r="X54" s="1690"/>
      <c r="Y54" s="1690"/>
      <c r="Z54" s="1690"/>
      <c r="AA54" s="1690"/>
      <c r="AB54" s="1690"/>
      <c r="AC54" s="1690"/>
      <c r="AD54" s="1690"/>
      <c r="AE54" s="1690"/>
      <c r="AF54" s="1690"/>
      <c r="AG54" s="1690"/>
      <c r="AH54" s="1690"/>
      <c r="AI54" s="1690"/>
      <c r="AJ54" s="1690"/>
      <c r="AK54" s="1690"/>
      <c r="AL54" s="1690"/>
      <c r="AM54" s="1690"/>
      <c r="AO54" s="1150"/>
      <c r="AP54" s="1150" t="str">
        <f>IF(T54="","",T54)</f>
        <v>Добавить источник для дифференциации</v>
      </c>
      <c r="AQ54" s="1150"/>
      <c r="AR54" s="1150"/>
    </row>
    <row s="19127" customFormat="1" customHeight="1" ht="0.75">
      <c r="A55" s="1709" t="s">
        <v>159</v>
      </c>
      <c r="B55" s="1709" t="s">
        <v>160</v>
      </c>
      <c r="C55" s="1680"/>
      <c r="D55" s="1680"/>
      <c r="E55" s="2528"/>
      <c r="F55" s="2527"/>
      <c r="G55" s="1680"/>
      <c r="H55" s="1680"/>
      <c r="I55" s="1680"/>
      <c r="J55" s="1680"/>
      <c r="K55" s="1680"/>
      <c r="L55" s="1705"/>
      <c r="M55" s="1687"/>
      <c r="N55" s="1687"/>
      <c r="P55" s="1682"/>
      <c r="Q55" s="1683"/>
      <c r="R55" s="1682"/>
      <c r="S55" s="1688"/>
      <c r="T55" s="1691" t="s">
        <v>251</v>
      </c>
      <c r="U55" s="1690"/>
      <c r="V55" s="1690"/>
      <c r="W55" s="1690"/>
      <c r="X55" s="1690"/>
      <c r="Y55" s="1690"/>
      <c r="Z55" s="1690"/>
      <c r="AA55" s="1690"/>
      <c r="AB55" s="1690"/>
      <c r="AC55" s="1690"/>
      <c r="AD55" s="1690"/>
      <c r="AE55" s="1690"/>
      <c r="AF55" s="1690"/>
      <c r="AG55" s="1690"/>
      <c r="AH55" s="1690"/>
      <c r="AI55" s="1690"/>
      <c r="AJ55" s="1690"/>
      <c r="AK55" s="1690"/>
      <c r="AL55" s="1690"/>
      <c r="AM55" s="1690"/>
      <c r="AO55" s="1150"/>
      <c r="AP55" s="1150" t="str">
        <f>IF(T55="","",T55)</f>
        <v>Добавить централизованную систему для дифференциации</v>
      </c>
      <c r="AQ55" s="1150"/>
      <c r="AR55" s="1150"/>
    </row>
    <row s="19219" customFormat="1" customHeight="1" ht="0.75">
      <c r="A56" s="1709" t="s">
        <v>159</v>
      </c>
      <c r="B56" s="1709"/>
      <c r="C56" s="1709"/>
      <c r="D56" s="1709"/>
      <c r="E56" s="2527"/>
      <c r="F56" s="1709"/>
      <c r="G56" s="1709"/>
      <c r="H56" s="1709"/>
      <c r="I56" s="1709"/>
      <c r="J56" s="1709"/>
      <c r="K56" s="1709"/>
      <c r="L56" s="1712"/>
      <c r="M56" s="1687"/>
      <c r="N56" s="1687"/>
      <c r="O56" s="879"/>
      <c r="P56" s="741"/>
      <c r="Q56" s="1710"/>
      <c r="R56" s="741"/>
      <c r="S56" s="1688"/>
      <c r="T56" s="1691" t="s">
        <v>252</v>
      </c>
      <c r="U56" s="1690"/>
      <c r="V56" s="1690"/>
      <c r="W56" s="1690"/>
      <c r="X56" s="1690"/>
      <c r="Y56" s="1690"/>
      <c r="Z56" s="1690"/>
      <c r="AA56" s="1690"/>
      <c r="AB56" s="1690"/>
      <c r="AC56" s="1690"/>
      <c r="AD56" s="1690"/>
      <c r="AE56" s="1690"/>
      <c r="AF56" s="1690"/>
      <c r="AG56" s="1690"/>
      <c r="AH56" s="1690"/>
      <c r="AI56" s="1690"/>
      <c r="AJ56" s="1690"/>
      <c r="AK56" s="1690"/>
      <c r="AL56" s="1690"/>
      <c r="AM56" s="1690"/>
      <c r="AO56" s="861"/>
      <c r="AP56" s="861" t="str">
        <f>IF(T56="","",T56)</f>
        <v>Добавить территорию для дифференциации</v>
      </c>
      <c r="AQ56" s="861"/>
      <c r="AR56" s="861"/>
    </row>
    <row s="19127" customFormat="1" customHeight="1" ht="0.75">
      <c r="A57" s="1680"/>
      <c r="B57" s="1680"/>
      <c r="C57" s="1680"/>
      <c r="D57" s="1680"/>
      <c r="E57" s="1709"/>
      <c r="F57" s="1680"/>
      <c r="G57" s="1680"/>
      <c r="H57" s="1680"/>
      <c r="I57" s="1680"/>
      <c r="J57" s="1680"/>
      <c r="K57" s="1680"/>
      <c r="L57" s="1705"/>
      <c r="M57" s="1687"/>
      <c r="N57" s="1687"/>
      <c r="P57" s="1682"/>
      <c r="Q57" s="1683"/>
      <c r="R57" s="1682"/>
      <c r="S57" s="1688"/>
      <c r="T57" s="1691" t="s">
        <v>253</v>
      </c>
      <c r="U57" s="1690"/>
      <c r="V57" s="1690"/>
      <c r="W57" s="1690"/>
      <c r="X57" s="1690"/>
      <c r="Y57" s="1690"/>
      <c r="Z57" s="1690"/>
      <c r="AA57" s="1690"/>
      <c r="AB57" s="1690"/>
      <c r="AC57" s="1690"/>
      <c r="AD57" s="1690"/>
      <c r="AE57" s="1690"/>
      <c r="AF57" s="1690"/>
      <c r="AG57" s="1690"/>
      <c r="AH57" s="1690"/>
      <c r="AI57" s="1690"/>
      <c r="AJ57" s="1690"/>
      <c r="AK57" s="1690"/>
      <c r="AL57" s="1690"/>
      <c r="AM57" s="1690"/>
      <c r="AO57" s="1150"/>
      <c r="AP57" s="1150" t="str">
        <f>IF(T57="","",T57)</f>
        <v>Добавить наименование тарифа</v>
      </c>
      <c r="AQ57" s="1150"/>
      <c r="AR57" s="1150"/>
    </row>
    <row customHeight="1" ht="11.25">
      <c r="M58" s="1523"/>
      <c r="N58" s="1523"/>
      <c r="O58" s="898"/>
      <c r="P58" s="1518"/>
      <c r="Q58" s="1518"/>
      <c r="R58" s="1518"/>
      <c r="S58" s="1518"/>
      <c r="AN58" s="1518"/>
      <c r="AO58" s="1518"/>
      <c r="AP58" s="1518"/>
      <c r="AQ58" s="1518"/>
      <c r="AR58" s="1518"/>
    </row>
    <row customHeight="1" ht="27">
      <c r="O59" s="898"/>
      <c r="S59" s="1618"/>
      <c r="T59" s="2526"/>
      <c r="U59" s="2526"/>
      <c r="V59" s="2526"/>
      <c r="W59" s="2526"/>
      <c r="X59" s="2526"/>
      <c r="Y59" s="2526"/>
      <c r="Z59" s="2526"/>
      <c r="AA59" s="2526"/>
      <c r="AB59" s="2526"/>
      <c r="AC59" s="2526"/>
      <c r="AD59" s="2526"/>
      <c r="AE59" s="2526"/>
      <c r="AF59" s="2526"/>
      <c r="AG59" s="2526"/>
      <c r="AH59" s="2526"/>
      <c r="AI59" s="2526"/>
      <c r="AJ59" s="2526"/>
      <c r="AK59" s="2526"/>
      <c r="AL59" s="2526"/>
      <c r="AM59" s="2526"/>
    </row>
    <row customHeight="1" ht="62.25">
      <c r="O60" s="898"/>
      <c r="T60" s="2526"/>
      <c r="U60" s="2526"/>
      <c r="V60" s="2526"/>
      <c r="W60" s="2526"/>
      <c r="X60" s="2526"/>
      <c r="Y60" s="2526"/>
      <c r="Z60" s="2526"/>
      <c r="AA60" s="2526"/>
      <c r="AB60" s="2526"/>
      <c r="AC60" s="2526"/>
      <c r="AD60" s="2526"/>
      <c r="AE60" s="2526"/>
      <c r="AF60" s="2526"/>
      <c r="AG60" s="2526"/>
      <c r="AH60" s="2526"/>
      <c r="AI60" s="2526"/>
      <c r="AJ60" s="2526"/>
      <c r="AK60" s="2526"/>
      <c r="AL60" s="2526"/>
      <c r="AM60" s="2526"/>
    </row>
    <row customHeight="1" ht="14.25">
      <c r="O61" s="898"/>
    </row>
    <row customHeight="1" ht="18">
      <c r="O62" s="898"/>
      <c r="S62" s="1618"/>
      <c r="T62" s="2526"/>
      <c r="U62" s="2526"/>
      <c r="V62" s="2526"/>
      <c r="W62" s="2526"/>
      <c r="X62" s="2526"/>
      <c r="Y62" s="2526"/>
      <c r="Z62" s="2526"/>
      <c r="AA62" s="2526"/>
      <c r="AB62" s="2526"/>
      <c r="AC62" s="2526"/>
      <c r="AD62" s="2526"/>
      <c r="AE62" s="2526"/>
      <c r="AF62" s="2526"/>
      <c r="AG62" s="2526"/>
      <c r="AH62" s="2526"/>
      <c r="AI62" s="2526"/>
      <c r="AJ62" s="2526"/>
      <c r="AK62" s="2526"/>
      <c r="AL62" s="2526"/>
      <c r="AM62" s="2526"/>
    </row>
    <row customHeight="1" ht="18">
      <c r="O63" s="898"/>
      <c r="T63" s="2526"/>
      <c r="U63" s="2526"/>
      <c r="V63" s="2526"/>
      <c r="W63" s="2526"/>
      <c r="X63" s="2526"/>
      <c r="Y63" s="2526"/>
      <c r="Z63" s="2526"/>
      <c r="AA63" s="2526"/>
      <c r="AB63" s="2526"/>
      <c r="AC63" s="2526"/>
      <c r="AD63" s="2526"/>
      <c r="AE63" s="2526"/>
      <c r="AF63" s="2526"/>
      <c r="AG63" s="2526"/>
      <c r="AH63" s="2526"/>
      <c r="AI63" s="2526"/>
      <c r="AJ63" s="2526"/>
      <c r="AK63" s="2526"/>
      <c r="AL63" s="2526"/>
      <c r="AM63" s="2526"/>
    </row>
    <row customHeight="1" ht="27.75">
      <c r="O64" s="898"/>
      <c r="S64" s="1618"/>
      <c r="T64" s="2526"/>
      <c r="U64" s="2526"/>
      <c r="V64" s="2526"/>
      <c r="W64" s="2526"/>
      <c r="X64" s="2526"/>
      <c r="Y64" s="2526"/>
      <c r="Z64" s="2526"/>
      <c r="AA64" s="2526"/>
      <c r="AB64" s="2526"/>
      <c r="AC64" s="2526"/>
      <c r="AD64" s="2526"/>
      <c r="AE64" s="2526"/>
      <c r="AF64" s="2526"/>
      <c r="AG64" s="2526"/>
      <c r="AH64" s="2526"/>
      <c r="AI64" s="2526"/>
      <c r="AJ64" s="2526"/>
      <c r="AK64" s="2526"/>
      <c r="AL64" s="2526"/>
      <c r="AM64" s="2526"/>
    </row>
  </sheetData>
  <sheetProtection formatColumns="0" formatRows="0" autoFilter="0" sort="0" insertRows="0" insertColumns="1" deleteRows="0" deleteColumns="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4D6476-6BA4-6151-9F52-FA97F9AF7E5C}" mc:Ignorable="x14ac xr xr2 xr3">
  <sheetPr>
    <tabColor theme="6" tint="0.4"/>
  </sheetPr>
  <dimension ref="A1:AR64"/>
  <sheetViews>
    <sheetView topLeftCell="A1" showGridLines="0" workbookViewId="0">
      <selection activeCell="A1" sqref="A1"/>
    </sheetView>
  </sheetViews>
  <sheetFormatPr defaultColWidth="10.57421875" customHeight="1" defaultRowHeight="14.25"/>
  <cols>
    <col min="1" max="1" style="19274" width="10.57421875" hidden="1"/>
    <col min="2" max="2" style="19274" width="11.00390625" hidden="1" customWidth="1"/>
    <col min="3" max="3" style="19274" width="10.57421875" hidden="1"/>
    <col min="4" max="4" style="19274" width="11.8515625" hidden="1" customWidth="1"/>
    <col min="5" max="5" style="19274" width="10.00390625" hidden="1" customWidth="1"/>
    <col min="6" max="6" style="19274" width="8.7109375" hidden="1" customWidth="1"/>
    <col min="7" max="7" style="19274" width="7.57421875" hidden="1" customWidth="1"/>
    <col min="8" max="8" style="19274" width="11.421875" hidden="1" customWidth="1"/>
    <col min="9" max="9" style="19274" width="12.00390625" hidden="1" customWidth="1"/>
    <col min="10" max="10" style="19274" width="9.8515625" hidden="1" customWidth="1"/>
    <col min="11" max="11" style="19274" width="11.421875" hidden="1" customWidth="1"/>
    <col min="12" max="12" style="19275" width="19.140625" hidden="1" customWidth="1"/>
    <col min="13" max="14" style="19276" width="12.28125" hidden="1" customWidth="1"/>
    <col min="15" max="15" style="19276" width="23.421875" hidden="1" customWidth="1"/>
    <col min="16" max="16" style="19276" width="3.7109375" customWidth="1"/>
    <col min="17" max="18" style="19230" width="3.7109375" customWidth="1"/>
    <col min="19" max="19" style="19231" width="12.7109375" customWidth="1"/>
    <col min="20" max="20" style="19274" width="32.00390625" customWidth="1"/>
    <col min="21" max="21" style="19274" width="0.140625" customWidth="1"/>
    <col min="22" max="22" style="19274" width="24.7109375" hidden="1" customWidth="1"/>
    <col min="23" max="23" style="19274" width="0.140625" hidden="1" customWidth="1"/>
    <col min="24" max="25" style="19274" width="24.7109375" hidden="1" customWidth="1"/>
    <col min="26" max="26" style="19274" width="11.7109375" hidden="1" customWidth="1"/>
    <col min="27" max="27" style="19274" width="3.7109375" hidden="1" customWidth="1"/>
    <col min="28" max="28" style="19274" width="11.7109375" hidden="1" customWidth="1"/>
    <col min="29" max="29" style="19274" width="8.57421875" hidden="1" customWidth="1"/>
    <col min="30" max="30" style="19274" width="24.7109375" customWidth="1"/>
    <col min="31" max="31" style="19274" width="0.140625" customWidth="1"/>
    <col min="32" max="33" style="19274" width="24.7109375" customWidth="1"/>
    <col min="34" max="34" style="19274" width="11.7109375" customWidth="1"/>
    <col min="35" max="35" style="19274" width="3.7109375" customWidth="1"/>
    <col min="36" max="36" style="19274" width="11.7109375" customWidth="1"/>
    <col min="37" max="37" style="19274" width="8.57421875" hidden="1" customWidth="1"/>
    <col min="38" max="38" style="19274" width="4.7109375" customWidth="1"/>
    <col min="39" max="39" style="19274" width="115.7109375" customWidth="1"/>
    <col min="40" max="41" style="19272" width="10.57421875"/>
    <col min="42" max="42" style="19272" width="11.140625" customWidth="1"/>
    <col min="43" max="44" style="19272" width="10.57421875"/>
  </cols>
  <sheetData>
    <row customHeight="1" ht="14.25" hidden="1"/>
    <row customHeight="1" ht="21" hidden="1">
      <c r="A2" s="1633"/>
      <c r="B2" s="1633"/>
      <c r="C2" s="1633"/>
      <c r="D2" s="1633"/>
      <c r="E2" s="2562">
        <v>1</v>
      </c>
      <c r="F2" s="1633"/>
      <c r="G2" s="1633"/>
      <c r="H2" s="1633"/>
      <c r="I2" s="1633"/>
      <c r="J2" s="1633"/>
      <c r="K2" s="1633"/>
      <c r="L2" s="1676"/>
      <c r="M2" s="1976"/>
      <c r="N2" s="1976"/>
      <c r="O2" s="1976"/>
      <c r="P2" s="1956"/>
      <c r="Q2" s="721"/>
      <c r="R2" s="716"/>
      <c r="S2" s="2325">
        <f>INDEX(PT_DIFFERENTIATION_NUM_NTAR,MATCH(A2,PT_DIFFERENTIATION_NTAR_ID,0))</f>
      </c>
      <c r="T2" s="1891" t="s">
        <v>120</v>
      </c>
      <c r="U2" s="661"/>
      <c r="V2" s="2521"/>
      <c r="W2" s="2522"/>
      <c r="X2" s="2522"/>
      <c r="Y2" s="2522"/>
      <c r="Z2" s="2522"/>
      <c r="AA2" s="2522"/>
      <c r="AB2" s="2522"/>
      <c r="AC2" s="2523"/>
      <c r="AD2" s="2521">
        <f>INDEX(PT_DIFFERENTIATION_NTAR,MATCH(A2,PT_DIFFERENTIATION_NTAR_ID,0))</f>
      </c>
      <c r="AE2" s="2522"/>
      <c r="AF2" s="2522"/>
      <c r="AG2" s="2522"/>
      <c r="AH2" s="2522"/>
      <c r="AI2" s="2522"/>
      <c r="AJ2" s="2522"/>
      <c r="AK2" s="2522"/>
      <c r="AL2" s="2523"/>
      <c r="AM2" s="1623" t="s">
        <v>396</v>
      </c>
      <c r="AO2" s="1990"/>
      <c r="AP2" s="1990" t="str">
        <f>IF(T2="","",T2)</f>
        <v>Наименование тарифа</v>
      </c>
      <c r="AQ2" s="1990"/>
      <c r="AR2" s="1990"/>
    </row>
    <row customHeight="1" ht="21" hidden="1">
      <c r="A3" s="1633"/>
      <c r="B3" s="1633"/>
      <c r="C3" s="1633"/>
      <c r="D3" s="1633"/>
      <c r="E3" s="2563"/>
      <c r="F3" s="2562">
        <v>1</v>
      </c>
      <c r="G3" s="1633"/>
      <c r="H3" s="1633"/>
      <c r="I3" s="1633"/>
      <c r="J3" s="1633"/>
      <c r="K3" s="1633"/>
      <c r="L3" s="1676"/>
      <c r="M3" s="1976"/>
      <c r="N3" s="1976"/>
      <c r="O3" s="1976"/>
      <c r="P3" s="2307"/>
      <c r="Q3" s="713"/>
      <c r="R3" s="714"/>
      <c r="S3" s="2325">
        <f>INDEX(PT_DIFFERENTIATION_NUM_TER,MATCH(B3,PT_DIFFERENTIATION_TER_ID,0))</f>
      </c>
      <c r="T3" s="1888" t="s">
        <v>397</v>
      </c>
      <c r="U3" s="661"/>
      <c r="V3" s="2521"/>
      <c r="W3" s="2522"/>
      <c r="X3" s="2522"/>
      <c r="Y3" s="2522"/>
      <c r="Z3" s="2522"/>
      <c r="AA3" s="2522"/>
      <c r="AB3" s="2522"/>
      <c r="AC3" s="2523"/>
      <c r="AD3" s="2521">
        <f>INDEX(PT_DIFFERENTIATION_TER,MATCH(B3,PT_DIFFERENTIATION_TER_ID,0))</f>
      </c>
      <c r="AE3" s="2522"/>
      <c r="AF3" s="2522"/>
      <c r="AG3" s="2522"/>
      <c r="AH3" s="2522"/>
      <c r="AI3" s="2522"/>
      <c r="AJ3" s="2522"/>
      <c r="AK3" s="2522"/>
      <c r="AL3" s="2523"/>
      <c r="AM3" s="1623" t="s">
        <v>398</v>
      </c>
      <c r="AO3" s="1990"/>
      <c r="AP3" s="1990" t="str">
        <f>IF(T3="","",T3)</f>
        <v>Территория действия тарифа</v>
      </c>
      <c r="AQ3" s="1990"/>
      <c r="AR3" s="1990"/>
    </row>
    <row customHeight="1" ht="23.25" hidden="1">
      <c r="A4" s="1633"/>
      <c r="B4" s="1633"/>
      <c r="C4" s="1633"/>
      <c r="D4" s="1633"/>
      <c r="E4" s="2563"/>
      <c r="F4" s="2563"/>
      <c r="G4" s="2562">
        <v>1</v>
      </c>
      <c r="H4" s="1633"/>
      <c r="I4" s="1633"/>
      <c r="J4" s="1633"/>
      <c r="K4" s="1633"/>
      <c r="L4" s="1676"/>
      <c r="M4" s="1976"/>
      <c r="N4" s="1976"/>
      <c r="O4" s="1976"/>
      <c r="P4" s="715"/>
      <c r="Q4" s="713"/>
      <c r="R4" s="714"/>
      <c r="S4" s="2325">
        <f>INDEX(PT_DIFFERENTIATION_NUM_CS,MATCH(C4,PT_DIFFERENTIATION_CS_ID,0))</f>
      </c>
      <c r="T4" s="670" t="s">
        <v>399</v>
      </c>
      <c r="U4" s="661"/>
      <c r="V4" s="2521"/>
      <c r="W4" s="2522"/>
      <c r="X4" s="2522"/>
      <c r="Y4" s="2522"/>
      <c r="Z4" s="2522"/>
      <c r="AA4" s="2522"/>
      <c r="AB4" s="2522"/>
      <c r="AC4" s="2523"/>
      <c r="AD4" s="2521">
        <f>INDEX(PT_DIFFERENTIATION_CS,MATCH(C4,PT_DIFFERENTIATION_CS_ID,0))</f>
      </c>
      <c r="AE4" s="2522"/>
      <c r="AF4" s="2522"/>
      <c r="AG4" s="2522"/>
      <c r="AH4" s="2522"/>
      <c r="AI4" s="2522"/>
      <c r="AJ4" s="2522"/>
      <c r="AK4" s="2522"/>
      <c r="AL4" s="2523"/>
      <c r="AM4" s="1623" t="s">
        <v>400</v>
      </c>
      <c r="AO4" s="1990"/>
      <c r="AP4" s="1990" t="str">
        <f>IF(T4="","",T4)</f>
        <v>Наименование системы теплоснабжения </v>
      </c>
      <c r="AQ4" s="1990"/>
      <c r="AR4" s="1990"/>
    </row>
    <row customHeight="1" ht="21" hidden="1">
      <c r="A5" s="1633"/>
      <c r="B5" s="1633"/>
      <c r="C5" s="1633"/>
      <c r="D5" s="1633"/>
      <c r="E5" s="2563"/>
      <c r="F5" s="2563"/>
      <c r="G5" s="2563"/>
      <c r="H5" s="2562">
        <v>1</v>
      </c>
      <c r="I5" s="1633"/>
      <c r="J5" s="1633"/>
      <c r="K5" s="1633"/>
      <c r="L5" s="1676"/>
      <c r="M5" s="1976"/>
      <c r="N5" s="1976"/>
      <c r="O5" s="1976"/>
      <c r="P5" s="715"/>
      <c r="Q5" s="713"/>
      <c r="R5" s="714"/>
      <c r="S5" s="2325">
        <f>INDEX(PT_DIFFERENTIATION_NUM_IST_TE,MATCH(D5,PT_DIFFERENTIATION_IST_TE_ID,0))</f>
      </c>
      <c r="T5" s="671" t="s">
        <v>401</v>
      </c>
      <c r="U5" s="661"/>
      <c r="V5" s="2521"/>
      <c r="W5" s="2522"/>
      <c r="X5" s="2522"/>
      <c r="Y5" s="2522"/>
      <c r="Z5" s="2522"/>
      <c r="AA5" s="2522"/>
      <c r="AB5" s="2522"/>
      <c r="AC5" s="2523"/>
      <c r="AD5" s="2521">
        <f>INDEX(PT_DIFFERENTIATION_IST_TE,MATCH(D5,PT_DIFFERENTIATION_IST_TE_ID,0))</f>
      </c>
      <c r="AE5" s="2522"/>
      <c r="AF5" s="2522"/>
      <c r="AG5" s="2522"/>
      <c r="AH5" s="2522"/>
      <c r="AI5" s="2522"/>
      <c r="AJ5" s="2522"/>
      <c r="AK5" s="2522"/>
      <c r="AL5" s="2523"/>
      <c r="AM5" s="1623" t="s">
        <v>402</v>
      </c>
      <c r="AO5" s="1990"/>
      <c r="AP5" s="1990" t="str">
        <f>IF(T5="","",T5)</f>
        <v>Источник тепловой энергии  </v>
      </c>
      <c r="AQ5" s="1990"/>
      <c r="AR5" s="1990"/>
    </row>
    <row customHeight="1" ht="47.25" hidden="1">
      <c r="A6" s="1633"/>
      <c r="B6" s="1633"/>
      <c r="C6" s="1633"/>
      <c r="D6" s="1633"/>
      <c r="E6" s="2563"/>
      <c r="F6" s="2563"/>
      <c r="G6" s="2563"/>
      <c r="H6" s="2563"/>
      <c r="I6" s="2392">
        <f>S5&amp;".1"</f>
      </c>
      <c r="J6" s="1633"/>
      <c r="K6" s="1633"/>
      <c r="L6" s="1676" t="s">
        <v>403</v>
      </c>
      <c r="M6" s="2001"/>
      <c r="P6" s="2531">
        <v>1</v>
      </c>
      <c r="Q6" s="2321"/>
      <c r="R6" s="717"/>
      <c r="S6" s="2325">
        <f>$I6</f>
      </c>
      <c r="T6" s="646" t="s">
        <v>404</v>
      </c>
      <c r="U6" s="661"/>
      <c r="V6" s="2515"/>
      <c r="W6" s="2516"/>
      <c r="X6" s="2516"/>
      <c r="Y6" s="2516"/>
      <c r="Z6" s="2516"/>
      <c r="AA6" s="2516"/>
      <c r="AB6" s="2516"/>
      <c r="AC6" s="2517"/>
      <c r="AD6" s="2515"/>
      <c r="AE6" s="2516"/>
      <c r="AF6" s="2516"/>
      <c r="AG6" s="2516"/>
      <c r="AH6" s="2516"/>
      <c r="AI6" s="2516"/>
      <c r="AJ6" s="2516"/>
      <c r="AK6" s="2516"/>
      <c r="AL6" s="2517"/>
      <c r="AM6" s="1623" t="s">
        <v>405</v>
      </c>
      <c r="AO6" s="1990"/>
      <c r="AP6" s="1990" t="str">
        <f>IF(T6="","",T6)</f>
        <v>Схема подключения теплопотребляющей установки к коллектору источника тепловой энергии</v>
      </c>
      <c r="AQ6" s="1990"/>
      <c r="AR6" s="1990"/>
    </row>
    <row customHeight="1" ht="21" hidden="1">
      <c r="A7" s="1633"/>
      <c r="B7" s="1633"/>
      <c r="C7" s="1633"/>
      <c r="D7" s="1633"/>
      <c r="E7" s="2563"/>
      <c r="F7" s="2563"/>
      <c r="G7" s="2563"/>
      <c r="H7" s="2563"/>
      <c r="I7" s="2376"/>
      <c r="J7" s="2392">
        <f>I6&amp;".1"</f>
      </c>
      <c r="K7" s="1633"/>
      <c r="L7" s="1676" t="s">
        <v>406</v>
      </c>
      <c r="M7" s="2001"/>
      <c r="N7" s="1997"/>
      <c r="P7" s="2531"/>
      <c r="Q7" s="2531">
        <v>1</v>
      </c>
      <c r="R7" s="718"/>
      <c r="S7" s="2325">
        <f>$J7</f>
      </c>
      <c r="T7" s="647" t="s">
        <v>407</v>
      </c>
      <c r="U7" s="661"/>
      <c r="V7" s="2515"/>
      <c r="W7" s="2516"/>
      <c r="X7" s="2516"/>
      <c r="Y7" s="2516"/>
      <c r="Z7" s="2516"/>
      <c r="AA7" s="2516"/>
      <c r="AB7" s="2516"/>
      <c r="AC7" s="2517"/>
      <c r="AD7" s="2515"/>
      <c r="AE7" s="2516"/>
      <c r="AF7" s="2516"/>
      <c r="AG7" s="2516"/>
      <c r="AH7" s="2516"/>
      <c r="AI7" s="2516"/>
      <c r="AJ7" s="2516"/>
      <c r="AK7" s="2516"/>
      <c r="AL7" s="2517"/>
      <c r="AM7" s="1623" t="s">
        <v>408</v>
      </c>
      <c r="AO7" s="1990"/>
      <c r="AP7" s="1990" t="str">
        <f>IF(T7="","",T7)</f>
        <v>Группа потребителей</v>
      </c>
      <c r="AQ7" s="1990"/>
      <c r="AR7" s="1990"/>
    </row>
    <row customHeight="1" ht="21" hidden="1">
      <c r="A8" s="1633"/>
      <c r="B8" s="1633"/>
      <c r="C8" s="1633"/>
      <c r="D8" s="1633"/>
      <c r="E8" s="2563"/>
      <c r="F8" s="2563"/>
      <c r="G8" s="2563"/>
      <c r="H8" s="2563"/>
      <c r="I8" s="2376"/>
      <c r="J8" s="2376"/>
      <c r="K8" s="2392">
        <f>J7&amp;".1"</f>
      </c>
      <c r="L8" s="1676" t="s">
        <v>409</v>
      </c>
      <c r="M8" s="2001"/>
      <c r="N8" s="1997"/>
      <c r="O8" s="1997"/>
      <c r="P8" s="2531"/>
      <c r="Q8" s="2531"/>
      <c r="R8" s="718">
        <v>1</v>
      </c>
      <c r="S8" s="2325">
        <f>$K8</f>
      </c>
      <c r="T8" s="1713"/>
      <c r="U8" s="661"/>
      <c r="V8" s="1112"/>
      <c r="W8" s="686"/>
      <c r="X8" s="1112"/>
      <c r="Y8" s="1622"/>
      <c r="Z8" s="2532"/>
      <c r="AA8" s="2402" t="s">
        <v>59</v>
      </c>
      <c r="AB8" s="2532"/>
      <c r="AC8" s="2402" t="s">
        <v>59</v>
      </c>
      <c r="AD8" s="1112"/>
      <c r="AE8" s="686"/>
      <c r="AF8" s="1112"/>
      <c r="AG8" s="1622"/>
      <c r="AH8" s="2532"/>
      <c r="AI8" s="2402" t="s">
        <v>59</v>
      </c>
      <c r="AJ8" s="2532"/>
      <c r="AK8" s="2402" t="s">
        <v>59</v>
      </c>
      <c r="AL8" s="686"/>
      <c r="AM8" s="2557" t="s">
        <v>410</v>
      </c>
      <c r="AN8" s="2002">
        <f>STRCHECKDATE(V9:AL9)</f>
      </c>
      <c r="AO8" s="1990"/>
      <c r="AP8" s="1990" t="str">
        <f>IF(T8="","",T8)</f>
        <v/>
      </c>
      <c r="AQ8" s="1990"/>
      <c r="AR8" s="1990"/>
    </row>
    <row customHeight="1" ht="0.75" hidden="1">
      <c r="A9" s="1633"/>
      <c r="B9" s="1633"/>
      <c r="C9" s="1633"/>
      <c r="D9" s="1633"/>
      <c r="E9" s="2563"/>
      <c r="F9" s="2563"/>
      <c r="G9" s="2563"/>
      <c r="H9" s="2563"/>
      <c r="I9" s="2376"/>
      <c r="J9" s="2376"/>
      <c r="K9" s="2392"/>
      <c r="L9" s="1676"/>
      <c r="M9" s="2001"/>
      <c r="N9" s="1997"/>
      <c r="O9" s="1997"/>
      <c r="P9" s="2531"/>
      <c r="Q9" s="2531"/>
      <c r="R9" s="718"/>
      <c r="S9" s="2334"/>
      <c r="T9" s="661"/>
      <c r="U9" s="661"/>
      <c r="V9" s="686"/>
      <c r="W9" s="686"/>
      <c r="X9" s="686"/>
      <c r="Y9" s="689" t="str">
        <f>Z8&amp;"-"&amp;AB8</f>
        <v>-</v>
      </c>
      <c r="Z9" s="2533"/>
      <c r="AA9" s="2402"/>
      <c r="AB9" s="2533"/>
      <c r="AC9" s="2402"/>
      <c r="AD9" s="686"/>
      <c r="AE9" s="686"/>
      <c r="AF9" s="686"/>
      <c r="AG9" s="689" t="str">
        <f>AH8&amp;"-"&amp;AJ8</f>
        <v>-</v>
      </c>
      <c r="AH9" s="2533"/>
      <c r="AI9" s="2402"/>
      <c r="AJ9" s="2533"/>
      <c r="AK9" s="2402"/>
      <c r="AL9" s="686"/>
      <c r="AM9" s="2558"/>
      <c r="AO9" s="1990"/>
      <c r="AP9" s="1990" t="str">
        <f>IF(T9="","",T9)</f>
        <v/>
      </c>
      <c r="AQ9" s="1990"/>
      <c r="AR9" s="1990"/>
    </row>
    <row customHeight="1" ht="15" hidden="1">
      <c r="A10" s="1633"/>
      <c r="B10" s="1633"/>
      <c r="C10" s="1633"/>
      <c r="D10" s="1633"/>
      <c r="E10" s="2563"/>
      <c r="F10" s="2563"/>
      <c r="G10" s="2563"/>
      <c r="H10" s="2563"/>
      <c r="I10" s="2376"/>
      <c r="J10" s="2392"/>
      <c r="K10" s="1633"/>
      <c r="L10" s="1676"/>
      <c r="M10" s="2001"/>
      <c r="N10" s="1997"/>
      <c r="P10" s="2531"/>
      <c r="Q10" s="2531"/>
      <c r="R10" s="717"/>
      <c r="S10" s="1644"/>
      <c r="T10" s="649" t="s">
        <v>411</v>
      </c>
      <c r="U10" s="961"/>
      <c r="V10" s="961"/>
      <c r="W10" s="961"/>
      <c r="X10" s="961"/>
      <c r="Y10" s="961"/>
      <c r="Z10" s="961"/>
      <c r="AA10" s="961"/>
      <c r="AB10" s="961"/>
      <c r="AC10" s="961"/>
      <c r="AD10" s="961"/>
      <c r="AE10" s="961"/>
      <c r="AF10" s="961"/>
      <c r="AG10" s="961"/>
      <c r="AH10" s="961"/>
      <c r="AI10" s="961"/>
      <c r="AJ10" s="961"/>
      <c r="AK10" s="961"/>
      <c r="AL10" s="685"/>
      <c r="AM10" s="2559"/>
      <c r="AO10" s="1990"/>
      <c r="AP10" s="1990" t="str">
        <f>IF(T10="","",T10)</f>
        <v>Добавить вид теплоносителя (параметры теплоносителя)</v>
      </c>
      <c r="AQ10" s="1990"/>
      <c r="AR10" s="1990"/>
    </row>
    <row customHeight="1" ht="15" hidden="1">
      <c r="A11" s="1633"/>
      <c r="B11" s="1633"/>
      <c r="C11" s="1633"/>
      <c r="D11" s="1633"/>
      <c r="E11" s="2563"/>
      <c r="F11" s="2563"/>
      <c r="G11" s="2563"/>
      <c r="H11" s="2563"/>
      <c r="I11" s="2392"/>
      <c r="J11" s="1633"/>
      <c r="K11" s="1633"/>
      <c r="L11" s="1676"/>
      <c r="M11" s="2001"/>
      <c r="P11" s="2531"/>
      <c r="Q11" s="2321"/>
      <c r="R11" s="717"/>
      <c r="S11" s="1644"/>
      <c r="T11" s="648" t="s">
        <v>412</v>
      </c>
      <c r="U11" s="961"/>
      <c r="V11" s="961"/>
      <c r="W11" s="961"/>
      <c r="X11" s="961"/>
      <c r="Y11" s="961"/>
      <c r="Z11" s="961"/>
      <c r="AA11" s="961"/>
      <c r="AB11" s="961"/>
      <c r="AC11" s="727"/>
      <c r="AD11" s="961"/>
      <c r="AE11" s="961"/>
      <c r="AF11" s="961"/>
      <c r="AG11" s="961"/>
      <c r="AH11" s="961"/>
      <c r="AI11" s="961"/>
      <c r="AJ11" s="961"/>
      <c r="AK11" s="727"/>
      <c r="AL11" s="961"/>
      <c r="AM11" s="664"/>
      <c r="AO11" s="1990"/>
      <c r="AP11" s="1990" t="str">
        <f>IF(T11="","",T11)</f>
        <v>Добавить группу потребителей</v>
      </c>
      <c r="AQ11" s="1990"/>
      <c r="AR11" s="1990"/>
    </row>
    <row customHeight="1" ht="14.25" hidden="1">
      <c r="A12" s="1633"/>
      <c r="B12" s="1633"/>
      <c r="C12" s="1633"/>
      <c r="D12" s="1633"/>
      <c r="E12" s="2563"/>
      <c r="F12" s="2563"/>
      <c r="G12" s="2563"/>
      <c r="H12" s="2562"/>
      <c r="I12" s="1633"/>
      <c r="J12" s="1633"/>
      <c r="K12" s="1633"/>
      <c r="L12" s="1676"/>
      <c r="M12" s="1976"/>
      <c r="N12" s="1976"/>
      <c r="O12" s="2001"/>
      <c r="P12" s="721"/>
      <c r="Q12" s="736"/>
      <c r="R12" s="716"/>
      <c r="S12" s="1644"/>
      <c r="T12" s="726" t="s">
        <v>413</v>
      </c>
      <c r="U12" s="961"/>
      <c r="V12" s="961"/>
      <c r="W12" s="961"/>
      <c r="X12" s="961"/>
      <c r="Y12" s="961"/>
      <c r="Z12" s="961"/>
      <c r="AA12" s="961"/>
      <c r="AB12" s="961"/>
      <c r="AC12" s="727"/>
      <c r="AD12" s="961"/>
      <c r="AE12" s="961"/>
      <c r="AF12" s="961"/>
      <c r="AG12" s="961"/>
      <c r="AH12" s="961"/>
      <c r="AI12" s="961"/>
      <c r="AJ12" s="961"/>
      <c r="AK12" s="727"/>
      <c r="AL12" s="961"/>
      <c r="AM12" s="664"/>
      <c r="AO12" s="1990"/>
      <c r="AP12" s="1990" t="str">
        <f>IF(T12="","",T12)</f>
        <v>Добавить схему подключения</v>
      </c>
      <c r="AQ12" s="1990"/>
      <c r="AR12" s="1990"/>
    </row>
    <row s="19252" customFormat="1" customHeight="1" ht="0.75" hidden="1">
      <c r="A13" s="1740"/>
      <c r="B13" s="1740"/>
      <c r="C13" s="1740"/>
      <c r="D13" s="1740"/>
      <c r="E13" s="2563"/>
      <c r="F13" s="2563"/>
      <c r="G13" s="2562"/>
      <c r="H13" s="1740"/>
      <c r="I13" s="1740"/>
      <c r="J13" s="1740"/>
      <c r="K13" s="1740"/>
      <c r="L13" s="1743"/>
      <c r="M13" s="1744"/>
      <c r="N13" s="1744"/>
      <c r="O13" s="712"/>
      <c r="P13" s="1682"/>
      <c r="Q13" s="1683"/>
      <c r="R13" s="1682"/>
      <c r="S13" s="1684"/>
      <c r="T13" s="1685" t="s">
        <v>414</v>
      </c>
      <c r="U13" s="1686"/>
      <c r="V13" s="1686"/>
      <c r="W13" s="1686"/>
      <c r="X13" s="1686"/>
      <c r="Y13" s="1686"/>
      <c r="Z13" s="1686"/>
      <c r="AA13" s="1686"/>
      <c r="AB13" s="1686"/>
      <c r="AC13" s="1686"/>
      <c r="AD13" s="1686"/>
      <c r="AE13" s="1686"/>
      <c r="AF13" s="1686"/>
      <c r="AG13" s="1686"/>
      <c r="AH13" s="1686"/>
      <c r="AI13" s="1686"/>
      <c r="AJ13" s="1686"/>
      <c r="AK13" s="1686"/>
      <c r="AL13" s="1686"/>
      <c r="AM13" s="1686"/>
      <c r="AO13" s="1616"/>
      <c r="AP13" s="1616" t="str">
        <f>IF(T13="","",T13)</f>
        <v>Добавить источник для дифференциации</v>
      </c>
      <c r="AQ13" s="1616"/>
      <c r="AR13" s="1616"/>
    </row>
    <row s="19252" customFormat="1" customHeight="1" ht="0.75" hidden="1">
      <c r="A14" s="1740"/>
      <c r="B14" s="1740"/>
      <c r="C14" s="1740"/>
      <c r="D14" s="1740"/>
      <c r="E14" s="2563"/>
      <c r="F14" s="2562"/>
      <c r="G14" s="1740"/>
      <c r="H14" s="1740"/>
      <c r="I14" s="1740"/>
      <c r="J14" s="1740"/>
      <c r="K14" s="1740"/>
      <c r="L14" s="1743"/>
      <c r="M14" s="1745"/>
      <c r="N14" s="1745"/>
      <c r="O14" s="712"/>
      <c r="P14" s="1682"/>
      <c r="Q14" s="1683"/>
      <c r="R14" s="1682"/>
      <c r="S14" s="1688"/>
      <c r="T14" s="1689" t="s">
        <v>251</v>
      </c>
      <c r="U14" s="1690"/>
      <c r="V14" s="1690"/>
      <c r="W14" s="1690"/>
      <c r="X14" s="1690"/>
      <c r="Y14" s="1690"/>
      <c r="Z14" s="1690"/>
      <c r="AA14" s="1690"/>
      <c r="AB14" s="1690"/>
      <c r="AC14" s="1690"/>
      <c r="AD14" s="1690"/>
      <c r="AE14" s="1690"/>
      <c r="AF14" s="1690"/>
      <c r="AG14" s="1690"/>
      <c r="AH14" s="1690"/>
      <c r="AI14" s="1690"/>
      <c r="AJ14" s="1690"/>
      <c r="AK14" s="1690"/>
      <c r="AL14" s="1690"/>
      <c r="AM14" s="1690"/>
      <c r="AO14" s="1616"/>
      <c r="AP14" s="1616" t="str">
        <f>IF(T14="","",T14)</f>
        <v>Добавить централизованную систему для дифференциации</v>
      </c>
      <c r="AQ14" s="1616"/>
      <c r="AR14" s="1616"/>
    </row>
    <row s="19252" customFormat="1" customHeight="1" ht="0.75" hidden="1">
      <c r="A15" s="1740"/>
      <c r="B15" s="1740"/>
      <c r="C15" s="1740"/>
      <c r="D15" s="1740"/>
      <c r="E15" s="2562"/>
      <c r="F15" s="1740"/>
      <c r="G15" s="1740"/>
      <c r="H15" s="1740"/>
      <c r="I15" s="1740"/>
      <c r="J15" s="1740"/>
      <c r="K15" s="1740"/>
      <c r="L15" s="1743"/>
      <c r="M15" s="1745"/>
      <c r="N15" s="1745"/>
      <c r="O15" s="712"/>
      <c r="P15" s="1682"/>
      <c r="Q15" s="1683"/>
      <c r="R15" s="1682"/>
      <c r="S15" s="1688"/>
      <c r="T15" s="1691" t="s">
        <v>252</v>
      </c>
      <c r="U15" s="1690"/>
      <c r="V15" s="1690"/>
      <c r="W15" s="1690"/>
      <c r="X15" s="1690"/>
      <c r="Y15" s="1690"/>
      <c r="Z15" s="1690"/>
      <c r="AA15" s="1690"/>
      <c r="AB15" s="1690"/>
      <c r="AC15" s="1690"/>
      <c r="AD15" s="1690"/>
      <c r="AE15" s="1690"/>
      <c r="AF15" s="1690"/>
      <c r="AG15" s="1690"/>
      <c r="AH15" s="1690"/>
      <c r="AI15" s="1690"/>
      <c r="AJ15" s="1690"/>
      <c r="AK15" s="1690"/>
      <c r="AL15" s="1690"/>
      <c r="AM15" s="1690"/>
      <c r="AO15" s="1616"/>
      <c r="AP15" s="1616" t="str">
        <f>IF(T15="","",T15)</f>
        <v>Добавить территорию для дифференциации</v>
      </c>
      <c r="AQ15" s="1616"/>
      <c r="AR15" s="1616"/>
    </row>
    <row customHeight="1" ht="14.25" hidden="1"/>
    <row customHeight="1" ht="14.25" hidden="1">
      <c r="AD17" s="1726"/>
      <c r="AE17" s="1726"/>
      <c r="AF17" s="1726"/>
      <c r="AG17" s="1727"/>
      <c r="AH17" s="2525"/>
      <c r="AI17" s="2524" t="s">
        <v>59</v>
      </c>
      <c r="AJ17" s="2525"/>
      <c r="AK17" s="2524" t="s">
        <v>59</v>
      </c>
    </row>
    <row customHeight="1" ht="14.25" hidden="1">
      <c r="AD18" s="1726"/>
      <c r="AE18" s="1726"/>
      <c r="AF18" s="1726"/>
      <c r="AG18" s="689" t="str">
        <f>AH17&amp;"-"&amp;AJ17</f>
        <v>-</v>
      </c>
      <c r="AH18" s="2524"/>
      <c r="AI18" s="2524"/>
      <c r="AJ18" s="2524"/>
      <c r="AK18" s="2524"/>
    </row>
    <row customHeight="1" ht="14.25" hidden="1"/>
    <row s="19259" customFormat="1" customHeight="1" ht="14.25" hidden="1">
      <c r="A20" s="1997"/>
      <c r="B20" s="1997"/>
      <c r="C20" s="1997"/>
      <c r="D20" s="1997"/>
      <c r="E20" s="1997"/>
      <c r="F20" s="1997"/>
      <c r="G20" s="1997"/>
      <c r="H20" s="1997"/>
      <c r="I20" s="1997"/>
      <c r="J20" s="1997"/>
      <c r="K20" s="1997"/>
      <c r="L20" s="2306"/>
      <c r="M20" s="2332"/>
      <c r="N20" s="2332"/>
      <c r="O20" s="1711" t="s">
        <v>415</v>
      </c>
      <c r="P20" s="1728"/>
      <c r="Q20" s="1737"/>
      <c r="R20" s="1737"/>
      <c r="S20" s="1090"/>
      <c r="Z20" s="1733"/>
      <c r="AB20" s="1733"/>
      <c r="AH20" s="1733"/>
      <c r="AJ20" s="1733"/>
      <c r="AN20" s="2002"/>
      <c r="AO20" s="2002"/>
      <c r="AP20" s="2002"/>
      <c r="AQ20" s="2002"/>
      <c r="AR20" s="2002"/>
    </row>
    <row s="19259" customFormat="1" customHeight="1" ht="14.25" hidden="1">
      <c r="A21" s="1997"/>
      <c r="B21" s="1997"/>
      <c r="C21" s="1997"/>
      <c r="D21" s="1997"/>
      <c r="E21" s="1997"/>
      <c r="F21" s="1997"/>
      <c r="G21" s="1997"/>
      <c r="H21" s="1997"/>
      <c r="I21" s="1997"/>
      <c r="J21" s="1997"/>
      <c r="K21" s="1997"/>
      <c r="L21" s="2306"/>
      <c r="M21" s="2332"/>
      <c r="N21" s="2332"/>
      <c r="O21" s="2332"/>
      <c r="P21" s="1728"/>
      <c r="Q21" s="1737"/>
      <c r="R21" s="1737"/>
      <c r="S21" s="1090"/>
      <c r="AN21" s="2002"/>
      <c r="AO21" s="2002"/>
      <c r="AP21" s="2002"/>
      <c r="AQ21" s="2002"/>
      <c r="AR21" s="2002"/>
    </row>
    <row s="19259" customFormat="1" customHeight="1" ht="14.25" hidden="1">
      <c r="A22" s="1997"/>
      <c r="B22" s="1997"/>
      <c r="C22" s="1997"/>
      <c r="D22" s="1997"/>
      <c r="E22" s="1997"/>
      <c r="F22" s="1997"/>
      <c r="G22" s="1997"/>
      <c r="H22" s="1997"/>
      <c r="I22" s="1997"/>
      <c r="J22" s="1997"/>
      <c r="K22" s="1997"/>
      <c r="L22" s="2306"/>
      <c r="M22" s="2332"/>
      <c r="N22" s="2332"/>
      <c r="O22" s="1676" t="s">
        <v>416</v>
      </c>
      <c r="P22" s="1728"/>
      <c r="Q22" s="1737"/>
      <c r="R22" s="1737"/>
      <c r="S22" s="1090"/>
      <c r="T22" s="1732" t="s">
        <v>417</v>
      </c>
      <c r="AA22" s="956" t="s">
        <v>418</v>
      </c>
      <c r="AC22" s="956" t="s">
        <v>419</v>
      </c>
      <c r="AD22" s="1732" t="s">
        <v>417</v>
      </c>
      <c r="AI22" s="956" t="s">
        <v>420</v>
      </c>
      <c r="AK22" s="956" t="s">
        <v>419</v>
      </c>
      <c r="AN22" s="2002"/>
      <c r="AO22" s="2002"/>
      <c r="AP22" s="2002"/>
      <c r="AQ22" s="2002"/>
      <c r="AR22" s="2002"/>
    </row>
    <row customHeight="1" ht="14.25" hidden="1">
      <c r="O23" s="1676"/>
    </row>
    <row customHeight="1" ht="14.25" hidden="1">
      <c r="O24" s="1676"/>
    </row>
    <row customHeight="1" ht="14.25">
      <c r="Q25" s="737"/>
      <c r="R25" s="737"/>
      <c r="S25" s="1641"/>
      <c r="T25" s="818"/>
      <c r="U25" s="818"/>
      <c r="V25" s="2001"/>
      <c r="W25" s="2001"/>
      <c r="X25" s="2001"/>
      <c r="Y25" s="2001"/>
      <c r="Z25" s="2001"/>
      <c r="AA25" s="2001"/>
      <c r="AB25" s="2001"/>
      <c r="AC25" s="2001"/>
      <c r="AD25" s="2001"/>
      <c r="AE25" s="2001"/>
      <c r="AF25" s="2001"/>
      <c r="AG25" s="2001"/>
      <c r="AH25" s="2001"/>
      <c r="AI25" s="2001"/>
      <c r="AJ25" s="2001"/>
      <c r="AK25" s="2001"/>
    </row>
    <row customHeight="1" ht="14.25">
      <c r="Q26" s="737"/>
      <c r="R26" s="737"/>
      <c r="S26" s="256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60"/>
      <c r="U26" s="2560"/>
      <c r="V26" s="2560"/>
      <c r="W26" s="2560"/>
      <c r="X26" s="2560"/>
      <c r="Y26" s="2560"/>
      <c r="Z26" s="2560"/>
      <c r="AA26" s="2560"/>
      <c r="AB26" s="2560"/>
      <c r="AC26" s="2560"/>
      <c r="AD26" s="2560"/>
      <c r="AE26" s="2560"/>
      <c r="AF26" s="2560"/>
      <c r="AG26" s="2560"/>
      <c r="AH26" s="2560"/>
      <c r="AI26" s="2560"/>
      <c r="AJ26" s="2560"/>
      <c r="AK26" s="1608"/>
    </row>
    <row customHeight="1" ht="14.25">
      <c r="Q27" s="737"/>
      <c r="R27" s="737"/>
      <c r="S27" s="2561" t="str">
        <f>IF(org=0,"Не определено",org)</f>
        <v>Филиал "Шатурская ГРЭС" ПАО "Юнипро"</v>
      </c>
      <c r="T27" s="2561"/>
      <c r="U27" s="2561"/>
      <c r="V27" s="2561"/>
      <c r="W27" s="2561"/>
      <c r="X27" s="2561"/>
      <c r="Y27" s="2561"/>
      <c r="Z27" s="2561"/>
      <c r="AA27" s="2561"/>
      <c r="AB27" s="2561"/>
      <c r="AC27" s="2561"/>
      <c r="AD27" s="2561"/>
      <c r="AE27" s="2561"/>
      <c r="AF27" s="2561"/>
      <c r="AG27" s="2561"/>
      <c r="AH27" s="2561"/>
      <c r="AI27" s="2561"/>
      <c r="AJ27" s="2561"/>
      <c r="AK27" s="1608"/>
    </row>
    <row customHeight="1" ht="14.25" hidden="1">
      <c r="Q28" s="737"/>
      <c r="R28" s="737"/>
      <c r="S28" s="1641"/>
      <c r="T28" s="818"/>
      <c r="U28" s="818"/>
      <c r="V28" s="683"/>
      <c r="W28" s="683"/>
      <c r="X28" s="683"/>
      <c r="Y28" s="683"/>
      <c r="Z28" s="683"/>
      <c r="AA28" s="683"/>
      <c r="AB28" s="683"/>
      <c r="AC28" s="683"/>
      <c r="AD28" s="683"/>
      <c r="AE28" s="683"/>
      <c r="AF28" s="683"/>
      <c r="AG28" s="683"/>
      <c r="AH28" s="683"/>
      <c r="AI28" s="683"/>
      <c r="AJ28" s="683"/>
      <c r="AK28" s="683"/>
      <c r="AL28" s="2001"/>
    </row>
    <row s="19160" customFormat="1" customHeight="1" ht="25.5" hidden="1">
      <c r="A29" s="1613"/>
      <c r="B29" s="1613"/>
      <c r="C29" s="1613"/>
      <c r="D29" s="1613"/>
      <c r="E29" s="1613"/>
      <c r="F29" s="1613"/>
      <c r="G29" s="1613"/>
      <c r="H29" s="1613"/>
      <c r="I29" s="1613"/>
      <c r="J29" s="1613"/>
      <c r="K29" s="1613"/>
      <c r="L29" s="1746"/>
      <c r="M29" s="1613"/>
      <c r="N29" s="1613"/>
      <c r="O29" s="1613"/>
      <c r="S29" s="2518" t="s">
        <v>38</v>
      </c>
      <c r="T29" s="2518"/>
      <c r="U29" s="1738"/>
      <c r="V29" s="2520" t="str">
        <f>IF(TITLE_NAME_OR_PR_CHANGE="",IF(TITLE_NAME_OR_PR="","",TITLE_NAME_OR_PR),TITLE_NAME_OR_PR_CHANGE)</f>
        <v>Комитет по ценам и тарифам по Московской области</v>
      </c>
      <c r="W29" s="2520"/>
      <c r="X29" s="2520"/>
      <c r="Y29" s="2520"/>
      <c r="Z29" s="2520"/>
      <c r="AA29" s="2520"/>
      <c r="AB29" s="2520"/>
      <c r="AC29" s="2001"/>
      <c r="AD29" s="2520" t="str">
        <f>IF(TITLE_NAME_OR_PR_CHANGE="",IF(TITLE_NAME_OR_PR="","",TITLE_NAME_OR_PR),TITLE_NAME_OR_PR_CHANGE)</f>
        <v>Комитет по ценам и тарифам по Московской области</v>
      </c>
      <c r="AE29" s="2520"/>
      <c r="AF29" s="2520"/>
      <c r="AG29" s="2520"/>
      <c r="AH29" s="2520"/>
      <c r="AI29" s="2520"/>
      <c r="AJ29" s="2520"/>
      <c r="AK29" s="2001"/>
      <c r="AL29" s="2001"/>
      <c r="AM29" s="641"/>
      <c r="AN29" s="729"/>
      <c r="AO29" s="729"/>
      <c r="AP29" s="729"/>
      <c r="AQ29" s="729"/>
      <c r="AR29" s="729"/>
    </row>
    <row s="19160" customFormat="1" customHeight="1" ht="18.75" hidden="1">
      <c r="A30" s="1613"/>
      <c r="B30" s="1613"/>
      <c r="C30" s="1613"/>
      <c r="D30" s="1613"/>
      <c r="E30" s="1613"/>
      <c r="F30" s="1613"/>
      <c r="G30" s="1613"/>
      <c r="H30" s="1613"/>
      <c r="I30" s="1613"/>
      <c r="J30" s="1613"/>
      <c r="K30" s="1613"/>
      <c r="L30" s="1746"/>
      <c r="M30" s="1613"/>
      <c r="N30" s="1613"/>
      <c r="O30" s="1613"/>
      <c r="S30" s="2518" t="s">
        <v>421</v>
      </c>
      <c r="T30" s="2518"/>
      <c r="U30" s="1738"/>
      <c r="V30" s="2519" t="str">
        <f>IF(TITLE_DATE_PR_CHANGE="",IF(TITLE_DATE_PR="","",TITLE_DATE_PR),TITLE_DATE_PR_CHANGE)</f>
        <v>45280.70914351852</v>
      </c>
      <c r="W30" s="2519"/>
      <c r="X30" s="2519"/>
      <c r="Y30" s="2519"/>
      <c r="Z30" s="2519"/>
      <c r="AA30" s="2519"/>
      <c r="AB30" s="2519"/>
      <c r="AC30" s="2001"/>
      <c r="AD30" s="2519" t="str">
        <f>IF(TITLE_DATE_PR_CHANGE="",IF(TITLE_DATE_PR="","",TITLE_DATE_PR),TITLE_DATE_PR_CHANGE)</f>
        <v>45280.70914351852</v>
      </c>
      <c r="AE30" s="2519"/>
      <c r="AF30" s="2519"/>
      <c r="AG30" s="2519"/>
      <c r="AH30" s="2519"/>
      <c r="AI30" s="2519"/>
      <c r="AJ30" s="2519"/>
      <c r="AK30" s="2001"/>
      <c r="AL30" s="2001"/>
      <c r="AM30" s="641"/>
      <c r="AN30" s="729"/>
      <c r="AO30" s="729"/>
      <c r="AP30" s="729"/>
      <c r="AQ30" s="729"/>
      <c r="AR30" s="729"/>
    </row>
    <row s="19160" customFormat="1" customHeight="1" ht="18.75" hidden="1">
      <c r="A31" s="1613"/>
      <c r="B31" s="1613"/>
      <c r="C31" s="1613"/>
      <c r="D31" s="1613"/>
      <c r="E31" s="1613"/>
      <c r="F31" s="1613"/>
      <c r="G31" s="1613"/>
      <c r="H31" s="1613"/>
      <c r="I31" s="1613"/>
      <c r="J31" s="1613"/>
      <c r="K31" s="1613"/>
      <c r="L31" s="1746"/>
      <c r="M31" s="1613"/>
      <c r="N31" s="1613"/>
      <c r="O31" s="1613"/>
      <c r="S31" s="2518" t="s">
        <v>422</v>
      </c>
      <c r="T31" s="2518"/>
      <c r="U31" s="1738"/>
      <c r="V31" s="2520" t="str">
        <f>IF(TITLE_NUMBER_PR_CHANGE="",IF(TITLE_NUMBER_PR="","",TITLE_NUMBER_PR),TITLE_NUMBER_PR_CHANGE)</f>
        <v>317-Р</v>
      </c>
      <c r="W31" s="2520"/>
      <c r="X31" s="2520"/>
      <c r="Y31" s="2520"/>
      <c r="Z31" s="2520"/>
      <c r="AA31" s="2520"/>
      <c r="AB31" s="2520"/>
      <c r="AC31" s="2001"/>
      <c r="AD31" s="2520" t="str">
        <f>IF(TITLE_NUMBER_PR_CHANGE="",IF(TITLE_NUMBER_PR="","",TITLE_NUMBER_PR),TITLE_NUMBER_PR_CHANGE)</f>
        <v>317-Р</v>
      </c>
      <c r="AE31" s="2520"/>
      <c r="AF31" s="2520"/>
      <c r="AG31" s="2520"/>
      <c r="AH31" s="2520"/>
      <c r="AI31" s="2520"/>
      <c r="AJ31" s="2520"/>
      <c r="AK31" s="2001"/>
      <c r="AL31" s="2001"/>
      <c r="AM31" s="641"/>
      <c r="AN31" s="729"/>
      <c r="AO31" s="729"/>
      <c r="AP31" s="729"/>
      <c r="AQ31" s="729"/>
      <c r="AR31" s="729"/>
    </row>
    <row s="19160" customFormat="1" customHeight="1" ht="18.75" hidden="1">
      <c r="A32" s="1613"/>
      <c r="B32" s="1613"/>
      <c r="C32" s="1613"/>
      <c r="D32" s="1613"/>
      <c r="E32" s="1613"/>
      <c r="F32" s="1613"/>
      <c r="G32" s="1613"/>
      <c r="H32" s="1613"/>
      <c r="I32" s="1613"/>
      <c r="J32" s="1613"/>
      <c r="K32" s="1613"/>
      <c r="L32" s="1746"/>
      <c r="M32" s="1613"/>
      <c r="N32" s="1613"/>
      <c r="O32" s="1613"/>
      <c r="S32" s="2518" t="s">
        <v>40</v>
      </c>
      <c r="T32" s="2518"/>
      <c r="U32" s="1738"/>
      <c r="V32"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520"/>
      <c r="X32" s="2520"/>
      <c r="Y32" s="2520"/>
      <c r="Z32" s="2520"/>
      <c r="AA32" s="2520"/>
      <c r="AB32" s="2520"/>
      <c r="AC32" s="2001"/>
      <c r="AD32"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520"/>
      <c r="AF32" s="2520"/>
      <c r="AG32" s="2520"/>
      <c r="AH32" s="2520"/>
      <c r="AI32" s="2520"/>
      <c r="AJ32" s="2520"/>
      <c r="AK32" s="2001"/>
      <c r="AL32" s="2001"/>
      <c r="AM32" s="641"/>
      <c r="AN32" s="729"/>
      <c r="AO32" s="729"/>
      <c r="AP32" s="729"/>
      <c r="AQ32" s="729"/>
      <c r="AR32" s="729"/>
    </row>
    <row customHeight="1" ht="14.25" hidden="1">
      <c r="Q33" s="737"/>
      <c r="R33" s="737"/>
      <c r="S33" s="1641"/>
      <c r="T33" s="818"/>
      <c r="U33" s="818"/>
      <c r="V33" s="683"/>
      <c r="W33" s="683"/>
      <c r="X33" s="683"/>
      <c r="Y33" s="683"/>
      <c r="Z33" s="683"/>
      <c r="AA33" s="683"/>
      <c r="AB33" s="683"/>
      <c r="AC33" s="683"/>
      <c r="AD33" s="683"/>
      <c r="AE33" s="683"/>
      <c r="AF33" s="683"/>
      <c r="AG33" s="683"/>
      <c r="AH33" s="683"/>
      <c r="AI33" s="683"/>
      <c r="AJ33" s="683"/>
      <c r="AK33" s="683"/>
      <c r="AL33" s="2001"/>
    </row>
    <row s="19160" customFormat="1" customHeight="1" ht="18.75" hidden="1">
      <c r="A34" s="1613"/>
      <c r="B34" s="1613"/>
      <c r="C34" s="1613"/>
      <c r="D34" s="1613"/>
      <c r="E34" s="1613"/>
      <c r="F34" s="1613"/>
      <c r="G34" s="1613"/>
      <c r="H34" s="1613"/>
      <c r="I34" s="1613"/>
      <c r="J34" s="1613"/>
      <c r="K34" s="1613"/>
      <c r="L34" s="1746"/>
      <c r="M34" s="1613"/>
      <c r="N34" s="1613"/>
      <c r="O34" s="1613"/>
      <c r="S34" s="2518" t="s">
        <v>423</v>
      </c>
      <c r="T34" s="2518"/>
      <c r="U34" s="1738"/>
      <c r="V34" s="2519" t="str">
        <f>IF(TITLE_DATE_PR_CHANGE="",IF(TITLE_DATE_PR="","",TITLE_DATE_PR),TITLE_DATE_PR_CHANGE)</f>
        <v>45280.70914351852</v>
      </c>
      <c r="W34" s="2519"/>
      <c r="X34" s="2519"/>
      <c r="Y34" s="2519"/>
      <c r="Z34" s="2519"/>
      <c r="AA34" s="2519"/>
      <c r="AB34" s="2519"/>
      <c r="AC34" s="2001"/>
      <c r="AD34" s="2519" t="str">
        <f>IF(TITLE_DATE_PR_CHANGE="",IF(TITLE_DATE_PR="","",TITLE_DATE_PR),TITLE_DATE_PR_CHANGE)</f>
        <v>45280.70914351852</v>
      </c>
      <c r="AE34" s="2519"/>
      <c r="AF34" s="2519"/>
      <c r="AG34" s="2519"/>
      <c r="AH34" s="2519"/>
      <c r="AI34" s="2519"/>
      <c r="AJ34" s="2519"/>
      <c r="AK34" s="2001"/>
      <c r="AL34" s="2001"/>
      <c r="AM34" s="641"/>
      <c r="AN34" s="729"/>
      <c r="AO34" s="729"/>
      <c r="AP34" s="729"/>
      <c r="AQ34" s="729"/>
      <c r="AR34" s="729"/>
    </row>
    <row s="19160" customFormat="1" customHeight="1" ht="18.75" hidden="1">
      <c r="A35" s="1613"/>
      <c r="B35" s="1613"/>
      <c r="C35" s="1613"/>
      <c r="D35" s="1613"/>
      <c r="E35" s="1613"/>
      <c r="F35" s="1613"/>
      <c r="G35" s="1613"/>
      <c r="H35" s="1613"/>
      <c r="I35" s="1613"/>
      <c r="J35" s="1613"/>
      <c r="K35" s="1613"/>
      <c r="L35" s="1746"/>
      <c r="M35" s="1613"/>
      <c r="N35" s="1613"/>
      <c r="O35" s="1613"/>
      <c r="S35" s="2518" t="s">
        <v>424</v>
      </c>
      <c r="T35" s="2518"/>
      <c r="U35" s="1738"/>
      <c r="V35" s="2520" t="str">
        <f>IF(TITLE_NUMBER_PR_CHANGE="",IF(TITLE_NUMBER_PR="","",TITLE_NUMBER_PR),TITLE_NUMBER_PR_CHANGE)</f>
        <v>317-Р</v>
      </c>
      <c r="W35" s="2520"/>
      <c r="X35" s="2520"/>
      <c r="Y35" s="2520"/>
      <c r="Z35" s="2520"/>
      <c r="AA35" s="2520"/>
      <c r="AB35" s="2520"/>
      <c r="AC35" s="2001"/>
      <c r="AD35" s="2520" t="str">
        <f>IF(TITLE_NUMBER_PR_CHANGE="",IF(TITLE_NUMBER_PR="","",TITLE_NUMBER_PR),TITLE_NUMBER_PR_CHANGE)</f>
        <v>317-Р</v>
      </c>
      <c r="AE35" s="2520"/>
      <c r="AF35" s="2520"/>
      <c r="AG35" s="2520"/>
      <c r="AH35" s="2520"/>
      <c r="AI35" s="2520"/>
      <c r="AJ35" s="2520"/>
      <c r="AK35" s="2001"/>
      <c r="AL35" s="2001"/>
      <c r="AM35" s="641"/>
      <c r="AN35" s="729"/>
      <c r="AO35" s="729"/>
      <c r="AP35" s="729"/>
      <c r="AQ35" s="729"/>
      <c r="AR35" s="729"/>
    </row>
    <row s="19160" customFormat="1" customHeight="1" ht="0">
      <c r="A36" s="1613"/>
      <c r="B36" s="1613"/>
      <c r="C36" s="1613"/>
      <c r="D36" s="1613"/>
      <c r="E36" s="1613"/>
      <c r="F36" s="1613"/>
      <c r="G36" s="1613"/>
      <c r="H36" s="1613"/>
      <c r="I36" s="1613"/>
      <c r="J36" s="1613"/>
      <c r="K36" s="1613"/>
      <c r="L36" s="1746"/>
      <c r="M36" s="1613"/>
      <c r="N36" s="1613"/>
      <c r="O36" s="1613"/>
      <c r="S36" s="2001"/>
      <c r="T36" s="2001"/>
      <c r="U36" s="2337"/>
      <c r="V36" s="2001"/>
      <c r="W36" s="2001"/>
      <c r="X36" s="2001"/>
      <c r="Y36" s="2001"/>
      <c r="Z36" s="2001"/>
      <c r="AA36" s="2001"/>
      <c r="AB36" s="2001"/>
      <c r="AC36" s="2008" t="s">
        <v>425</v>
      </c>
      <c r="AD36" s="2001"/>
      <c r="AE36" s="2001"/>
      <c r="AF36" s="2001"/>
      <c r="AG36" s="2001"/>
      <c r="AH36" s="2001"/>
      <c r="AI36" s="2001"/>
      <c r="AJ36" s="2001"/>
      <c r="AK36" s="2008" t="s">
        <v>425</v>
      </c>
      <c r="AN36" s="729"/>
      <c r="AO36" s="729"/>
      <c r="AP36" s="729"/>
      <c r="AQ36" s="729"/>
      <c r="AR36" s="729"/>
    </row>
    <row customHeight="1" ht="14.25">
      <c r="Q37" s="737"/>
      <c r="R37" s="737"/>
      <c r="S37" s="1641"/>
      <c r="T37" s="818"/>
      <c r="U37" s="1609"/>
      <c r="V37" s="2544"/>
      <c r="W37" s="2544"/>
      <c r="X37" s="2544"/>
      <c r="Y37" s="2544"/>
      <c r="Z37" s="2544"/>
      <c r="AA37" s="2544"/>
      <c r="AB37" s="2544"/>
      <c r="AC37" s="2544"/>
      <c r="AD37" s="2544"/>
      <c r="AE37" s="2544"/>
      <c r="AF37" s="2544"/>
      <c r="AG37" s="2544"/>
      <c r="AH37" s="2544"/>
      <c r="AI37" s="2544"/>
      <c r="AJ37" s="2544"/>
      <c r="AK37" s="2544"/>
    </row>
    <row customHeight="1" ht="14.25">
      <c r="Q38" s="737"/>
      <c r="R38" s="737"/>
      <c r="S38" s="2392" t="s">
        <v>300</v>
      </c>
      <c r="T38" s="2392"/>
      <c r="U38" s="2392"/>
      <c r="V38" s="2392"/>
      <c r="W38" s="2392"/>
      <c r="X38" s="2392"/>
      <c r="Y38" s="2392"/>
      <c r="Z38" s="2392"/>
      <c r="AA38" s="2392"/>
      <c r="AB38" s="2392"/>
      <c r="AC38" s="2392"/>
      <c r="AD38" s="2392"/>
      <c r="AE38" s="2392"/>
      <c r="AF38" s="2392"/>
      <c r="AG38" s="2392"/>
      <c r="AH38" s="2392"/>
      <c r="AI38" s="2392"/>
      <c r="AJ38" s="2392"/>
      <c r="AK38" s="2392"/>
      <c r="AL38" s="2392"/>
      <c r="AM38" s="2392" t="s">
        <v>301</v>
      </c>
    </row>
    <row customHeight="1" ht="14.25">
      <c r="Q39" s="737"/>
      <c r="R39" s="737"/>
      <c r="S39" s="2545" t="s">
        <v>85</v>
      </c>
      <c r="T39" s="2482" t="s">
        <v>426</v>
      </c>
      <c r="U39" s="698"/>
      <c r="V39" s="2546" t="s">
        <v>427</v>
      </c>
      <c r="W39" s="2547"/>
      <c r="X39" s="2547"/>
      <c r="Y39" s="2547"/>
      <c r="Z39" s="2547"/>
      <c r="AA39" s="2547"/>
      <c r="AB39" s="2548"/>
      <c r="AC39" s="2549" t="s">
        <v>428</v>
      </c>
      <c r="AD39" s="2546" t="s">
        <v>427</v>
      </c>
      <c r="AE39" s="2547"/>
      <c r="AF39" s="2547"/>
      <c r="AG39" s="2547"/>
      <c r="AH39" s="2547"/>
      <c r="AI39" s="2547"/>
      <c r="AJ39" s="2548"/>
      <c r="AK39" s="2549" t="s">
        <v>429</v>
      </c>
      <c r="AL39" s="2552" t="s">
        <v>430</v>
      </c>
      <c r="AM39" s="2392"/>
    </row>
    <row customHeight="1" ht="33.75">
      <c r="Q40" s="737"/>
      <c r="R40" s="737"/>
      <c r="S40" s="2545"/>
      <c r="T40" s="2482"/>
      <c r="U40" s="1393"/>
      <c r="V40" s="2555" t="s">
        <v>431</v>
      </c>
      <c r="W40" s="2536" t="s">
        <v>432</v>
      </c>
      <c r="X40" s="2538" t="s">
        <v>433</v>
      </c>
      <c r="Y40" s="2540"/>
      <c r="Z40" s="2538" t="s">
        <v>446</v>
      </c>
      <c r="AA40" s="2539"/>
      <c r="AB40" s="2540"/>
      <c r="AC40" s="2550"/>
      <c r="AD40" s="2555" t="s">
        <v>431</v>
      </c>
      <c r="AE40" s="2536" t="s">
        <v>432</v>
      </c>
      <c r="AF40" s="2538" t="s">
        <v>433</v>
      </c>
      <c r="AG40" s="2540"/>
      <c r="AH40" s="2538" t="s">
        <v>434</v>
      </c>
      <c r="AI40" s="2539"/>
      <c r="AJ40" s="2540"/>
      <c r="AK40" s="2550"/>
      <c r="AL40" s="2553"/>
      <c r="AM40" s="2392"/>
    </row>
    <row customHeight="1" ht="33.75">
      <c r="A41" s="1632"/>
      <c r="B41" s="1632" t="s">
        <v>132</v>
      </c>
      <c r="C41" s="1632" t="s">
        <v>133</v>
      </c>
      <c r="D41" s="1632" t="s">
        <v>134</v>
      </c>
      <c r="E41" s="1676" t="s">
        <v>435</v>
      </c>
      <c r="F41" s="1676" t="s">
        <v>436</v>
      </c>
      <c r="G41" s="1676" t="s">
        <v>437</v>
      </c>
      <c r="H41" s="1676" t="s">
        <v>438</v>
      </c>
      <c r="I41" s="1676" t="s">
        <v>439</v>
      </c>
      <c r="J41" s="1676" t="s">
        <v>440</v>
      </c>
      <c r="K41" s="1676" t="s">
        <v>441</v>
      </c>
      <c r="L41" s="1676" t="s">
        <v>416</v>
      </c>
      <c r="Q41" s="737"/>
      <c r="R41" s="737"/>
      <c r="S41" s="2545"/>
      <c r="T41" s="2482"/>
      <c r="U41" s="663"/>
      <c r="V41" s="2556"/>
      <c r="W41" s="2537"/>
      <c r="X41" s="2305" t="s">
        <v>442</v>
      </c>
      <c r="Y41" s="2305" t="s">
        <v>443</v>
      </c>
      <c r="Z41" s="2305" t="s">
        <v>444</v>
      </c>
      <c r="AA41" s="2541" t="s">
        <v>445</v>
      </c>
      <c r="AB41" s="2542"/>
      <c r="AC41" s="2551"/>
      <c r="AD41" s="2556"/>
      <c r="AE41" s="2537"/>
      <c r="AF41" s="2305" t="s">
        <v>442</v>
      </c>
      <c r="AG41" s="2305" t="s">
        <v>443</v>
      </c>
      <c r="AH41" s="2305" t="s">
        <v>444</v>
      </c>
      <c r="AI41" s="2541" t="s">
        <v>445</v>
      </c>
      <c r="AJ41" s="2542"/>
      <c r="AK41" s="2551"/>
      <c r="AL41" s="2554"/>
      <c r="AM41" s="2392"/>
    </row>
    <row s="19269" customFormat="1" customHeight="1" ht="11.25" hidden="1">
      <c r="A42" s="1632"/>
      <c r="B42" s="1632"/>
      <c r="C42" s="1632"/>
      <c r="D42" s="1632"/>
      <c r="E42" s="1632"/>
      <c r="F42" s="1632"/>
      <c r="G42" s="1632"/>
      <c r="H42" s="1632"/>
      <c r="I42" s="1632"/>
      <c r="J42" s="1632"/>
      <c r="K42" s="1632"/>
      <c r="L42" s="1676"/>
      <c r="M42" s="2332"/>
      <c r="N42" s="2332"/>
      <c r="O42" s="2332"/>
      <c r="P42" s="1611"/>
      <c r="Q42" s="1612"/>
      <c r="R42" s="1619">
        <v>1</v>
      </c>
      <c r="S42" s="1643" t="s">
        <v>106</v>
      </c>
      <c r="T42" s="1620" t="s">
        <v>107</v>
      </c>
      <c r="U42" s="1610" t="str">
        <f>OFFSET(U42,0,-1)</f>
        <v>2</v>
      </c>
      <c r="V42" s="2323">
        <f>OFFSET(V42,0,-1)+1</f>
        <v>3</v>
      </c>
      <c r="W42" s="2323"/>
      <c r="X42" s="2323">
        <f>OFFSET(X42,0,-1)+1</f>
        <v>1</v>
      </c>
      <c r="Y42" s="2323">
        <f>OFFSET(Y42,0,-1)+1</f>
        <v>2</v>
      </c>
      <c r="Z42" s="2323">
        <f>OFFSET(Z42,0,-1)+1</f>
        <v>3</v>
      </c>
      <c r="AA42" s="2543">
        <f>OFFSET(AA42,0,-1)+1</f>
        <v>4</v>
      </c>
      <c r="AB42" s="2543"/>
      <c r="AC42" s="2323">
        <f>OFFSET(AC42,0,-2)+1</f>
        <v>5</v>
      </c>
      <c r="AD42" s="2323">
        <f>OFFSET(AD42,0,-1)+1</f>
        <v>6</v>
      </c>
      <c r="AE42" s="2323"/>
      <c r="AF42" s="2323">
        <f>OFFSET(AF42,0,-1)+1</f>
        <v>1</v>
      </c>
      <c r="AG42" s="2323">
        <f>OFFSET(AG42,0,-1)+1</f>
        <v>2</v>
      </c>
      <c r="AH42" s="2323">
        <f>OFFSET(AH42,0,-1)+1</f>
        <v>3</v>
      </c>
      <c r="AI42" s="2543">
        <f>OFFSET(AI42,0,-1)+1</f>
        <v>4</v>
      </c>
      <c r="AJ42" s="2543"/>
      <c r="AK42" s="2323">
        <f>OFFSET(AK42,0,-2)+1</f>
        <v>5</v>
      </c>
      <c r="AL42" s="1610">
        <f>OFFSET(AL42,0,-1)</f>
        <v>5</v>
      </c>
      <c r="AM42" s="2323">
        <f>OFFSET(AM42,0,-1)+1</f>
        <v>6</v>
      </c>
      <c r="AN42" s="2002"/>
      <c r="AO42" s="2002"/>
      <c r="AP42" s="2002"/>
      <c r="AQ42" s="2002"/>
      <c r="AR42" s="2002"/>
    </row>
    <row customHeight="1" ht="21">
      <c r="A43" s="1633" t="s">
        <v>207</v>
      </c>
      <c r="B43" s="1633"/>
      <c r="C43" s="1633"/>
      <c r="D43" s="1633"/>
      <c r="E43" s="2562">
        <v>1</v>
      </c>
      <c r="F43" s="1633"/>
      <c r="G43" s="1633"/>
      <c r="H43" s="1633"/>
      <c r="I43" s="1633"/>
      <c r="J43" s="1633"/>
      <c r="K43" s="1633"/>
      <c r="L43" s="1676"/>
      <c r="M43" s="1976"/>
      <c r="N43" s="1976"/>
      <c r="O43" s="1976"/>
      <c r="P43" s="1956"/>
      <c r="Q43" s="721"/>
      <c r="R43" s="716"/>
      <c r="S43" s="2325">
        <f>INDEX(PT_DIFFERENTIATION_NUM_NTAR,MATCH(A43,PT_DIFFERENTIATION_NTAR_ID,0))</f>
        <v>0</v>
      </c>
      <c r="T43" s="1891" t="s">
        <v>120</v>
      </c>
      <c r="U43" s="661"/>
      <c r="V43" s="2521"/>
      <c r="W43" s="2522"/>
      <c r="X43" s="2522"/>
      <c r="Y43" s="2522"/>
      <c r="Z43" s="2522"/>
      <c r="AA43" s="2522"/>
      <c r="AB43" s="2522"/>
      <c r="AC43" s="2523"/>
      <c r="AD43" s="2521" t="str">
        <f>INDEX(PT_DIFFERENTIATION_NTAR,MATCH(A43,PT_DIFFERENTIATION_NTAR_ID,0))</f>
        <v/>
      </c>
      <c r="AE43" s="2522"/>
      <c r="AF43" s="2522"/>
      <c r="AG43" s="2522"/>
      <c r="AH43" s="2522"/>
      <c r="AI43" s="2522"/>
      <c r="AJ43" s="2522"/>
      <c r="AK43" s="2522"/>
      <c r="AL43" s="2523"/>
      <c r="AM43" s="162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990"/>
      <c r="AP43" s="1990" t="str">
        <f>IF(T43="","",T43)</f>
        <v>Наименование тарифа</v>
      </c>
      <c r="AQ43" s="1990"/>
      <c r="AR43" s="1990"/>
    </row>
    <row customHeight="1" ht="21">
      <c r="A44" s="1633" t="s">
        <v>207</v>
      </c>
      <c r="B44" s="1633" t="s">
        <v>208</v>
      </c>
      <c r="C44" s="1633"/>
      <c r="D44" s="1633"/>
      <c r="E44" s="2563"/>
      <c r="F44" s="2562">
        <v>1</v>
      </c>
      <c r="G44" s="1633"/>
      <c r="H44" s="1633"/>
      <c r="I44" s="1633"/>
      <c r="J44" s="1633"/>
      <c r="K44" s="1633"/>
      <c r="L44" s="1676"/>
      <c r="M44" s="1976"/>
      <c r="N44" s="1976"/>
      <c r="O44" s="1976"/>
      <c r="P44" s="2307"/>
      <c r="Q44" s="713"/>
      <c r="R44" s="714"/>
      <c r="S44" s="2325" t="str">
        <f>INDEX(PT_DIFFERENTIATION_NUM_TER,MATCH(B44,PT_DIFFERENTIATION_TER_ID,0))</f>
        <v>.</v>
      </c>
      <c r="T44" s="1888" t="s">
        <v>397</v>
      </c>
      <c r="U44" s="661"/>
      <c r="V44" s="2521"/>
      <c r="W44" s="2522"/>
      <c r="X44" s="2522"/>
      <c r="Y44" s="2522"/>
      <c r="Z44" s="2522"/>
      <c r="AA44" s="2522"/>
      <c r="AB44" s="2522"/>
      <c r="AC44" s="2523"/>
      <c r="AD44" s="2521" t="str">
        <f>INDEX(PT_DIFFERENTIATION_TER,MATCH(B44,PT_DIFFERENTIATION_TER_ID,0))</f>
        <v/>
      </c>
      <c r="AE44" s="2522"/>
      <c r="AF44" s="2522"/>
      <c r="AG44" s="2522"/>
      <c r="AH44" s="2522"/>
      <c r="AI44" s="2522"/>
      <c r="AJ44" s="2522"/>
      <c r="AK44" s="2522"/>
      <c r="AL44" s="2523"/>
      <c r="AM44" s="1623" t="s">
        <v>398</v>
      </c>
      <c r="AO44" s="1990"/>
      <c r="AP44" s="1990" t="str">
        <f>IF(T44="","",T44)</f>
        <v>Территория действия тарифа</v>
      </c>
      <c r="AQ44" s="1990"/>
      <c r="AR44" s="1990"/>
    </row>
    <row customHeight="1" ht="23.25">
      <c r="A45" s="1633" t="s">
        <v>207</v>
      </c>
      <c r="B45" s="1633" t="s">
        <v>208</v>
      </c>
      <c r="C45" s="1633" t="s">
        <v>209</v>
      </c>
      <c r="D45" s="1633"/>
      <c r="E45" s="2563"/>
      <c r="F45" s="2563"/>
      <c r="G45" s="2562">
        <v>1</v>
      </c>
      <c r="H45" s="1633"/>
      <c r="I45" s="1633"/>
      <c r="J45" s="1633"/>
      <c r="K45" s="1633"/>
      <c r="L45" s="1676"/>
      <c r="M45" s="1976"/>
      <c r="N45" s="1976"/>
      <c r="O45" s="1976"/>
      <c r="P45" s="715"/>
      <c r="Q45" s="713"/>
      <c r="R45" s="714"/>
      <c r="S45" s="2325" t="str">
        <f>INDEX(PT_DIFFERENTIATION_NUM_CS,MATCH(C45,PT_DIFFERENTIATION_CS_ID,0))</f>
        <v>..</v>
      </c>
      <c r="T45" s="670" t="s">
        <v>399</v>
      </c>
      <c r="U45" s="661"/>
      <c r="V45" s="2521"/>
      <c r="W45" s="2522"/>
      <c r="X45" s="2522"/>
      <c r="Y45" s="2522"/>
      <c r="Z45" s="2522"/>
      <c r="AA45" s="2522"/>
      <c r="AB45" s="2522"/>
      <c r="AC45" s="2523"/>
      <c r="AD45" s="2521" t="str">
        <f>INDEX(PT_DIFFERENTIATION_CS,MATCH(C45,PT_DIFFERENTIATION_CS_ID,0))</f>
        <v/>
      </c>
      <c r="AE45" s="2522"/>
      <c r="AF45" s="2522"/>
      <c r="AG45" s="2522"/>
      <c r="AH45" s="2522"/>
      <c r="AI45" s="2522"/>
      <c r="AJ45" s="2522"/>
      <c r="AK45" s="2522"/>
      <c r="AL45" s="2523"/>
      <c r="AM45" s="1623" t="s">
        <v>400</v>
      </c>
      <c r="AO45" s="1990"/>
      <c r="AP45" s="1990" t="str">
        <f>IF(T45="","",T45)</f>
        <v>Наименование системы теплоснабжения </v>
      </c>
      <c r="AQ45" s="1990"/>
      <c r="AR45" s="1990"/>
    </row>
    <row customHeight="1" ht="21">
      <c r="A46" s="1633" t="s">
        <v>207</v>
      </c>
      <c r="B46" s="1633" t="s">
        <v>208</v>
      </c>
      <c r="C46" s="1633" t="s">
        <v>209</v>
      </c>
      <c r="D46" s="1633" t="s">
        <v>210</v>
      </c>
      <c r="E46" s="2563"/>
      <c r="F46" s="2563"/>
      <c r="G46" s="2563"/>
      <c r="H46" s="2562">
        <v>1</v>
      </c>
      <c r="I46" s="1633"/>
      <c r="J46" s="1633"/>
      <c r="K46" s="1633"/>
      <c r="L46" s="1676"/>
      <c r="M46" s="1976"/>
      <c r="N46" s="1976"/>
      <c r="O46" s="1976"/>
      <c r="P46" s="715"/>
      <c r="Q46" s="713"/>
      <c r="R46" s="714"/>
      <c r="S46" s="2325" t="str">
        <f>INDEX(PT_DIFFERENTIATION_NUM_IST_TE,MATCH(D46,PT_DIFFERENTIATION_IST_TE_ID,0))</f>
        <v>...</v>
      </c>
      <c r="T46" s="671" t="s">
        <v>401</v>
      </c>
      <c r="U46" s="661"/>
      <c r="V46" s="2521"/>
      <c r="W46" s="2522"/>
      <c r="X46" s="2522"/>
      <c r="Y46" s="2522"/>
      <c r="Z46" s="2522"/>
      <c r="AA46" s="2522"/>
      <c r="AB46" s="2522"/>
      <c r="AC46" s="2523"/>
      <c r="AD46" s="2521" t="str">
        <f>INDEX(PT_DIFFERENTIATION_IST_TE,MATCH(D46,PT_DIFFERENTIATION_IST_TE_ID,0))</f>
        <v/>
      </c>
      <c r="AE46" s="2522"/>
      <c r="AF46" s="2522"/>
      <c r="AG46" s="2522"/>
      <c r="AH46" s="2522"/>
      <c r="AI46" s="2522"/>
      <c r="AJ46" s="2522"/>
      <c r="AK46" s="2522"/>
      <c r="AL46" s="2523"/>
      <c r="AM46" s="1623" t="s">
        <v>402</v>
      </c>
      <c r="AO46" s="1990"/>
      <c r="AP46" s="1990" t="str">
        <f>IF(T46="","",T46)</f>
        <v>Источник тепловой энергии  </v>
      </c>
      <c r="AQ46" s="1990"/>
      <c r="AR46" s="1990"/>
    </row>
    <row customHeight="1" ht="47.25">
      <c r="A47" s="1633" t="s">
        <v>207</v>
      </c>
      <c r="B47" s="1633" t="s">
        <v>208</v>
      </c>
      <c r="C47" s="1633" t="s">
        <v>209</v>
      </c>
      <c r="D47" s="1633" t="s">
        <v>210</v>
      </c>
      <c r="E47" s="2563"/>
      <c r="F47" s="2563"/>
      <c r="G47" s="2563"/>
      <c r="H47" s="2563"/>
      <c r="I47" s="2392" t="str">
        <f>S46&amp;".1"</f>
        <v>....1</v>
      </c>
      <c r="J47" s="1633"/>
      <c r="K47" s="1633"/>
      <c r="L47" s="1676" t="s">
        <v>403</v>
      </c>
      <c r="P47" s="2531">
        <v>1</v>
      </c>
      <c r="Q47" s="2321"/>
      <c r="R47" s="717"/>
      <c r="S47" s="2325" t="str">
        <f>$I47</f>
        <v>....1</v>
      </c>
      <c r="T47" s="646" t="s">
        <v>404</v>
      </c>
      <c r="U47" s="661"/>
      <c r="V47" s="2515"/>
      <c r="W47" s="2516"/>
      <c r="X47" s="2516"/>
      <c r="Y47" s="2516"/>
      <c r="Z47" s="2516"/>
      <c r="AA47" s="2516"/>
      <c r="AB47" s="2516"/>
      <c r="AC47" s="2517"/>
      <c r="AD47" s="2515"/>
      <c r="AE47" s="2516"/>
      <c r="AF47" s="2516"/>
      <c r="AG47" s="2516"/>
      <c r="AH47" s="2516"/>
      <c r="AI47" s="2516"/>
      <c r="AJ47" s="2516"/>
      <c r="AK47" s="2516"/>
      <c r="AL47" s="2517"/>
      <c r="AM47" s="1623" t="s">
        <v>405</v>
      </c>
      <c r="AO47" s="1990"/>
      <c r="AP47" s="1990" t="str">
        <f>IF(T47="","",T47)</f>
        <v>Схема подключения теплопотребляющей установки к коллектору источника тепловой энергии</v>
      </c>
      <c r="AQ47" s="1990"/>
      <c r="AR47" s="1990"/>
    </row>
    <row customHeight="1" ht="21">
      <c r="A48" s="1633" t="s">
        <v>207</v>
      </c>
      <c r="B48" s="1633" t="s">
        <v>208</v>
      </c>
      <c r="C48" s="1633" t="s">
        <v>209</v>
      </c>
      <c r="D48" s="1633" t="s">
        <v>210</v>
      </c>
      <c r="E48" s="2563"/>
      <c r="F48" s="2563"/>
      <c r="G48" s="2563"/>
      <c r="H48" s="2563"/>
      <c r="I48" s="2376"/>
      <c r="J48" s="2392" t="str">
        <f>I47&amp;".1"</f>
        <v>....1.1</v>
      </c>
      <c r="K48" s="1633"/>
      <c r="L48" s="1676" t="s">
        <v>406</v>
      </c>
      <c r="P48" s="2531"/>
      <c r="Q48" s="2531">
        <v>1</v>
      </c>
      <c r="R48" s="718"/>
      <c r="S48" s="2325" t="str">
        <f>$J48</f>
        <v>....1.1</v>
      </c>
      <c r="T48" s="647" t="s">
        <v>407</v>
      </c>
      <c r="U48" s="661"/>
      <c r="V48" s="2515"/>
      <c r="W48" s="2516"/>
      <c r="X48" s="2516"/>
      <c r="Y48" s="2516"/>
      <c r="Z48" s="2516"/>
      <c r="AA48" s="2516"/>
      <c r="AB48" s="2516"/>
      <c r="AC48" s="2517"/>
      <c r="AD48" s="2515"/>
      <c r="AE48" s="2516"/>
      <c r="AF48" s="2516"/>
      <c r="AG48" s="2516"/>
      <c r="AH48" s="2516"/>
      <c r="AI48" s="2516"/>
      <c r="AJ48" s="2516"/>
      <c r="AK48" s="2516"/>
      <c r="AL48" s="2517"/>
      <c r="AM48" s="1623" t="s">
        <v>408</v>
      </c>
      <c r="AO48" s="1990"/>
      <c r="AP48" s="1990" t="str">
        <f>IF(T48="","",T48)</f>
        <v>Группа потребителей</v>
      </c>
      <c r="AQ48" s="1990"/>
      <c r="AR48" s="1990"/>
    </row>
    <row customHeight="1" ht="21">
      <c r="A49" s="1633" t="s">
        <v>207</v>
      </c>
      <c r="B49" s="1633" t="s">
        <v>208</v>
      </c>
      <c r="C49" s="1633" t="s">
        <v>209</v>
      </c>
      <c r="D49" s="1633" t="s">
        <v>210</v>
      </c>
      <c r="E49" s="2563"/>
      <c r="F49" s="2563"/>
      <c r="G49" s="2563"/>
      <c r="H49" s="2563"/>
      <c r="I49" s="2376"/>
      <c r="J49" s="2376"/>
      <c r="K49" s="2392" t="str">
        <f>J48&amp;".1"</f>
        <v>....1.1.1</v>
      </c>
      <c r="L49" s="1676" t="s">
        <v>409</v>
      </c>
      <c r="P49" s="2531"/>
      <c r="Q49" s="2531"/>
      <c r="R49" s="718">
        <v>1</v>
      </c>
      <c r="S49" s="2325" t="str">
        <f>$K49</f>
        <v>....1.1.1</v>
      </c>
      <c r="T49" s="1713"/>
      <c r="U49" s="661"/>
      <c r="V49" s="1112"/>
      <c r="W49" s="686"/>
      <c r="X49" s="1112"/>
      <c r="Y49" s="1622"/>
      <c r="Z49" s="2532"/>
      <c r="AA49" s="2402" t="s">
        <v>59</v>
      </c>
      <c r="AB49" s="2532"/>
      <c r="AC49" s="2402" t="s">
        <v>59</v>
      </c>
      <c r="AD49" s="1112"/>
      <c r="AE49" s="686"/>
      <c r="AF49" s="1112"/>
      <c r="AG49" s="1622"/>
      <c r="AH49" s="2532"/>
      <c r="AI49" s="2402" t="s">
        <v>59</v>
      </c>
      <c r="AJ49" s="2534"/>
      <c r="AK49" s="2402" t="s">
        <v>59</v>
      </c>
      <c r="AL49" s="1714"/>
      <c r="AM49" s="2557" t="s">
        <v>410</v>
      </c>
      <c r="AN49" s="2002">
        <f>STRCHECKDATE(V50:AL50)</f>
      </c>
      <c r="AO49" s="1990"/>
      <c r="AP49" s="1990" t="str">
        <f>IF(T49="","",T49)</f>
        <v/>
      </c>
      <c r="AQ49" s="1990"/>
      <c r="AR49" s="1990"/>
    </row>
    <row customHeight="1" ht="0.75">
      <c r="A50" s="1633" t="s">
        <v>207</v>
      </c>
      <c r="B50" s="1633" t="s">
        <v>208</v>
      </c>
      <c r="C50" s="1633" t="s">
        <v>209</v>
      </c>
      <c r="D50" s="1633" t="s">
        <v>210</v>
      </c>
      <c r="E50" s="2563"/>
      <c r="F50" s="2563"/>
      <c r="G50" s="2563"/>
      <c r="H50" s="2563"/>
      <c r="I50" s="2376"/>
      <c r="J50" s="2376"/>
      <c r="K50" s="2392"/>
      <c r="L50" s="1676"/>
      <c r="P50" s="2531"/>
      <c r="Q50" s="2531"/>
      <c r="R50" s="718"/>
      <c r="S50" s="2334"/>
      <c r="T50" s="661"/>
      <c r="U50" s="661"/>
      <c r="V50" s="686"/>
      <c r="W50" s="686"/>
      <c r="X50" s="686"/>
      <c r="Y50" s="689" t="str">
        <f>Z49&amp;"-"&amp;AB49</f>
        <v>-</v>
      </c>
      <c r="Z50" s="2533"/>
      <c r="AA50" s="2402"/>
      <c r="AB50" s="2533"/>
      <c r="AC50" s="2402"/>
      <c r="AD50" s="686"/>
      <c r="AE50" s="686"/>
      <c r="AF50" s="686"/>
      <c r="AG50" s="689" t="str">
        <f>AH49&amp;"-"&amp;AJ49</f>
        <v>-</v>
      </c>
      <c r="AH50" s="2533"/>
      <c r="AI50" s="2402"/>
      <c r="AJ50" s="2535"/>
      <c r="AK50" s="2402"/>
      <c r="AL50" s="1715"/>
      <c r="AM50" s="2558"/>
      <c r="AO50" s="1990"/>
      <c r="AP50" s="1990" t="str">
        <f>IF(T50="","",T50)</f>
        <v/>
      </c>
      <c r="AQ50" s="1990"/>
      <c r="AR50" s="1990"/>
    </row>
    <row customHeight="1" ht="11.25">
      <c r="A51" s="1633" t="s">
        <v>207</v>
      </c>
      <c r="B51" s="1633" t="s">
        <v>208</v>
      </c>
      <c r="C51" s="1633" t="s">
        <v>209</v>
      </c>
      <c r="D51" s="1633" t="s">
        <v>210</v>
      </c>
      <c r="E51" s="2563"/>
      <c r="F51" s="2563"/>
      <c r="G51" s="2563"/>
      <c r="H51" s="2563"/>
      <c r="I51" s="2376"/>
      <c r="J51" s="2392"/>
      <c r="K51" s="1633"/>
      <c r="L51" s="1676"/>
      <c r="P51" s="2531"/>
      <c r="Q51" s="2531"/>
      <c r="R51" s="717"/>
      <c r="S51" s="1644"/>
      <c r="T51" s="649" t="s">
        <v>411</v>
      </c>
      <c r="U51" s="961"/>
      <c r="V51" s="961"/>
      <c r="W51" s="961"/>
      <c r="X51" s="961"/>
      <c r="Y51" s="961"/>
      <c r="Z51" s="961"/>
      <c r="AA51" s="961"/>
      <c r="AB51" s="961"/>
      <c r="AC51" s="961"/>
      <c r="AD51" s="961"/>
      <c r="AE51" s="961"/>
      <c r="AF51" s="961"/>
      <c r="AG51" s="961"/>
      <c r="AH51" s="961"/>
      <c r="AI51" s="961"/>
      <c r="AJ51" s="961"/>
      <c r="AK51" s="961"/>
      <c r="AL51" s="685"/>
      <c r="AM51" s="2559"/>
      <c r="AO51" s="1990"/>
      <c r="AP51" s="1990" t="str">
        <f>IF(T51="","",T51)</f>
        <v>Добавить вид теплоносителя (параметры теплоносителя)</v>
      </c>
      <c r="AQ51" s="1990"/>
      <c r="AR51" s="1990"/>
    </row>
    <row customHeight="1" ht="11.25">
      <c r="A52" s="1633" t="s">
        <v>207</v>
      </c>
      <c r="B52" s="1633" t="s">
        <v>208</v>
      </c>
      <c r="C52" s="1633" t="s">
        <v>209</v>
      </c>
      <c r="D52" s="1633" t="s">
        <v>210</v>
      </c>
      <c r="E52" s="2563"/>
      <c r="F52" s="2563"/>
      <c r="G52" s="2563"/>
      <c r="H52" s="2563"/>
      <c r="I52" s="2392"/>
      <c r="J52" s="1633"/>
      <c r="K52" s="1633"/>
      <c r="L52" s="1676"/>
      <c r="P52" s="2531"/>
      <c r="Q52" s="2321"/>
      <c r="R52" s="717"/>
      <c r="S52" s="1644"/>
      <c r="T52" s="648" t="s">
        <v>412</v>
      </c>
      <c r="U52" s="961"/>
      <c r="V52" s="961"/>
      <c r="W52" s="961"/>
      <c r="X52" s="961"/>
      <c r="Y52" s="961"/>
      <c r="Z52" s="961"/>
      <c r="AA52" s="961"/>
      <c r="AB52" s="961"/>
      <c r="AC52" s="727"/>
      <c r="AD52" s="961"/>
      <c r="AE52" s="961"/>
      <c r="AF52" s="961"/>
      <c r="AG52" s="961"/>
      <c r="AH52" s="961"/>
      <c r="AI52" s="961"/>
      <c r="AJ52" s="961"/>
      <c r="AK52" s="727"/>
      <c r="AL52" s="961"/>
      <c r="AM52" s="664"/>
      <c r="AO52" s="1990"/>
      <c r="AP52" s="1990" t="str">
        <f>IF(T52="","",T52)</f>
        <v>Добавить группу потребителей</v>
      </c>
      <c r="AQ52" s="1990"/>
      <c r="AR52" s="1990"/>
    </row>
    <row customHeight="1" ht="14.25">
      <c r="A53" s="1633" t="s">
        <v>207</v>
      </c>
      <c r="B53" s="1633" t="s">
        <v>208</v>
      </c>
      <c r="C53" s="1633" t="s">
        <v>209</v>
      </c>
      <c r="D53" s="1633" t="s">
        <v>210</v>
      </c>
      <c r="E53" s="2563"/>
      <c r="F53" s="2563"/>
      <c r="G53" s="2563"/>
      <c r="H53" s="2562"/>
      <c r="I53" s="1633"/>
      <c r="J53" s="1633"/>
      <c r="K53" s="1633"/>
      <c r="L53" s="1676"/>
      <c r="M53" s="1976"/>
      <c r="N53" s="1976"/>
      <c r="O53" s="2001"/>
      <c r="P53" s="721"/>
      <c r="Q53" s="736"/>
      <c r="R53" s="716"/>
      <c r="S53" s="1644"/>
      <c r="T53" s="726" t="s">
        <v>413</v>
      </c>
      <c r="U53" s="961"/>
      <c r="V53" s="961"/>
      <c r="W53" s="961"/>
      <c r="X53" s="961"/>
      <c r="Y53" s="961"/>
      <c r="Z53" s="961"/>
      <c r="AA53" s="961"/>
      <c r="AB53" s="961"/>
      <c r="AC53" s="727"/>
      <c r="AD53" s="961"/>
      <c r="AE53" s="961"/>
      <c r="AF53" s="961"/>
      <c r="AG53" s="961"/>
      <c r="AH53" s="961"/>
      <c r="AI53" s="961"/>
      <c r="AJ53" s="961"/>
      <c r="AK53" s="727"/>
      <c r="AL53" s="961"/>
      <c r="AM53" s="664"/>
      <c r="AO53" s="1990"/>
      <c r="AP53" s="1990" t="str">
        <f>IF(T53="","",T53)</f>
        <v>Добавить схему подключения</v>
      </c>
      <c r="AQ53" s="1990"/>
      <c r="AR53" s="1990"/>
    </row>
    <row s="19252" customFormat="1" customHeight="1" ht="0.75">
      <c r="A54" s="1741" t="s">
        <v>207</v>
      </c>
      <c r="B54" s="1741" t="s">
        <v>208</v>
      </c>
      <c r="C54" s="1741" t="s">
        <v>209</v>
      </c>
      <c r="D54" s="1740"/>
      <c r="E54" s="2563"/>
      <c r="F54" s="2563"/>
      <c r="G54" s="2562"/>
      <c r="H54" s="1740"/>
      <c r="I54" s="1740"/>
      <c r="J54" s="1740"/>
      <c r="K54" s="1740"/>
      <c r="L54" s="1743"/>
      <c r="M54" s="1744"/>
      <c r="N54" s="1744"/>
      <c r="O54" s="712"/>
      <c r="P54" s="1682"/>
      <c r="Q54" s="1683"/>
      <c r="R54" s="1682"/>
      <c r="S54" s="1688"/>
      <c r="T54" s="1691" t="s">
        <v>414</v>
      </c>
      <c r="U54" s="1690"/>
      <c r="V54" s="1690"/>
      <c r="W54" s="1690"/>
      <c r="X54" s="1690"/>
      <c r="Y54" s="1690"/>
      <c r="Z54" s="1690"/>
      <c r="AA54" s="1690"/>
      <c r="AB54" s="1690"/>
      <c r="AC54" s="1690"/>
      <c r="AD54" s="1690"/>
      <c r="AE54" s="1690"/>
      <c r="AF54" s="1690"/>
      <c r="AG54" s="1690"/>
      <c r="AH54" s="1690"/>
      <c r="AI54" s="1690"/>
      <c r="AJ54" s="1690"/>
      <c r="AK54" s="1690"/>
      <c r="AL54" s="1690"/>
      <c r="AM54" s="1690"/>
      <c r="AO54" s="1616"/>
      <c r="AP54" s="1616" t="str">
        <f>IF(T54="","",T54)</f>
        <v>Добавить источник для дифференциации</v>
      </c>
      <c r="AQ54" s="1616"/>
      <c r="AR54" s="1616"/>
    </row>
    <row s="19252" customFormat="1" customHeight="1" ht="0.75">
      <c r="A55" s="1741" t="s">
        <v>207</v>
      </c>
      <c r="B55" s="1741" t="s">
        <v>208</v>
      </c>
      <c r="C55" s="1740"/>
      <c r="D55" s="1740"/>
      <c r="E55" s="2563"/>
      <c r="F55" s="2562"/>
      <c r="G55" s="1740"/>
      <c r="H55" s="1740"/>
      <c r="I55" s="1740"/>
      <c r="J55" s="1740"/>
      <c r="K55" s="1740"/>
      <c r="L55" s="1743"/>
      <c r="M55" s="1745"/>
      <c r="N55" s="1745"/>
      <c r="O55" s="712"/>
      <c r="P55" s="1682"/>
      <c r="Q55" s="1683"/>
      <c r="R55" s="1682"/>
      <c r="S55" s="1688"/>
      <c r="T55" s="1691" t="s">
        <v>251</v>
      </c>
      <c r="U55" s="1690"/>
      <c r="V55" s="1690"/>
      <c r="W55" s="1690"/>
      <c r="X55" s="1690"/>
      <c r="Y55" s="1690"/>
      <c r="Z55" s="1690"/>
      <c r="AA55" s="1690"/>
      <c r="AB55" s="1690"/>
      <c r="AC55" s="1690"/>
      <c r="AD55" s="1690"/>
      <c r="AE55" s="1690"/>
      <c r="AF55" s="1690"/>
      <c r="AG55" s="1690"/>
      <c r="AH55" s="1690"/>
      <c r="AI55" s="1690"/>
      <c r="AJ55" s="1690"/>
      <c r="AK55" s="1690"/>
      <c r="AL55" s="1690"/>
      <c r="AM55" s="1690"/>
      <c r="AO55" s="1616"/>
      <c r="AP55" s="1616" t="str">
        <f>IF(T55="","",T55)</f>
        <v>Добавить централизованную систему для дифференциации</v>
      </c>
      <c r="AQ55" s="1616"/>
      <c r="AR55" s="1616"/>
    </row>
    <row s="19272" customFormat="1" customHeight="1" ht="0.75">
      <c r="A56" s="1741" t="s">
        <v>207</v>
      </c>
      <c r="B56" s="1741"/>
      <c r="C56" s="1741"/>
      <c r="D56" s="1741"/>
      <c r="E56" s="2562"/>
      <c r="F56" s="1741"/>
      <c r="G56" s="1741"/>
      <c r="H56" s="1741"/>
      <c r="I56" s="1741"/>
      <c r="J56" s="1741"/>
      <c r="K56" s="1741"/>
      <c r="L56" s="1747"/>
      <c r="M56" s="1745"/>
      <c r="N56" s="1745"/>
      <c r="O56" s="712"/>
      <c r="P56" s="741"/>
      <c r="Q56" s="1710"/>
      <c r="R56" s="741"/>
      <c r="S56" s="1688"/>
      <c r="T56" s="1691" t="s">
        <v>252</v>
      </c>
      <c r="U56" s="1690"/>
      <c r="V56" s="1690"/>
      <c r="W56" s="1690"/>
      <c r="X56" s="1690"/>
      <c r="Y56" s="1690"/>
      <c r="Z56" s="1690"/>
      <c r="AA56" s="1690"/>
      <c r="AB56" s="1690"/>
      <c r="AC56" s="1690"/>
      <c r="AD56" s="1690"/>
      <c r="AE56" s="1690"/>
      <c r="AF56" s="1690"/>
      <c r="AG56" s="1690"/>
      <c r="AH56" s="1690"/>
      <c r="AI56" s="1690"/>
      <c r="AJ56" s="1690"/>
      <c r="AK56" s="1690"/>
      <c r="AL56" s="1690"/>
      <c r="AM56" s="1690"/>
      <c r="AO56" s="1990"/>
      <c r="AP56" s="1990" t="str">
        <f>IF(T56="","",T56)</f>
        <v>Добавить территорию для дифференциации</v>
      </c>
      <c r="AQ56" s="1990"/>
      <c r="AR56" s="1990"/>
    </row>
    <row s="19252" customFormat="1" customHeight="1" ht="0.75">
      <c r="A57" s="1740"/>
      <c r="B57" s="1740"/>
      <c r="C57" s="1740"/>
      <c r="D57" s="1740"/>
      <c r="E57" s="1741"/>
      <c r="F57" s="1740"/>
      <c r="G57" s="1740"/>
      <c r="H57" s="1740"/>
      <c r="I57" s="1740"/>
      <c r="J57" s="1740"/>
      <c r="K57" s="1740"/>
      <c r="L57" s="1743"/>
      <c r="M57" s="1745"/>
      <c r="N57" s="1745"/>
      <c r="O57" s="712"/>
      <c r="P57" s="1682"/>
      <c r="Q57" s="1683"/>
      <c r="R57" s="1682"/>
      <c r="S57" s="1688"/>
      <c r="T57" s="1691" t="s">
        <v>253</v>
      </c>
      <c r="U57" s="1690"/>
      <c r="V57" s="1690"/>
      <c r="W57" s="1690"/>
      <c r="X57" s="1690"/>
      <c r="Y57" s="1690"/>
      <c r="Z57" s="1690"/>
      <c r="AA57" s="1690"/>
      <c r="AB57" s="1690"/>
      <c r="AC57" s="1690"/>
      <c r="AD57" s="1690"/>
      <c r="AE57" s="1690"/>
      <c r="AF57" s="1690"/>
      <c r="AG57" s="1690"/>
      <c r="AH57" s="1690"/>
      <c r="AI57" s="1690"/>
      <c r="AJ57" s="1690"/>
      <c r="AK57" s="1690"/>
      <c r="AL57" s="1690"/>
      <c r="AM57" s="1690"/>
      <c r="AO57" s="1616"/>
      <c r="AP57" s="1616" t="str">
        <f>IF(T57="","",T57)</f>
        <v>Добавить наименование тарифа</v>
      </c>
      <c r="AQ57" s="1616"/>
      <c r="AR57" s="1616"/>
    </row>
    <row customHeight="1" ht="11.25">
      <c r="M58" s="1997"/>
      <c r="N58" s="1997"/>
      <c r="O58" s="2001"/>
      <c r="P58" s="1997"/>
      <c r="Q58" s="1997"/>
      <c r="R58" s="1997"/>
      <c r="S58" s="1997"/>
      <c r="AN58" s="1997"/>
      <c r="AO58" s="1997"/>
      <c r="AP58" s="1997"/>
      <c r="AQ58" s="1997"/>
      <c r="AR58" s="1997"/>
    </row>
    <row customHeight="1" ht="27">
      <c r="O59" s="2001"/>
      <c r="S59" s="1618"/>
      <c r="T59" s="2526"/>
      <c r="U59" s="2526"/>
      <c r="V59" s="2526"/>
      <c r="W59" s="2526"/>
      <c r="X59" s="2526"/>
      <c r="Y59" s="2526"/>
      <c r="Z59" s="2526"/>
      <c r="AA59" s="2526"/>
      <c r="AB59" s="2526"/>
      <c r="AC59" s="2526"/>
      <c r="AD59" s="2526"/>
      <c r="AE59" s="2526"/>
      <c r="AF59" s="2526"/>
      <c r="AG59" s="2526"/>
      <c r="AH59" s="2526"/>
      <c r="AI59" s="2526"/>
      <c r="AJ59" s="2526"/>
      <c r="AK59" s="2526"/>
      <c r="AL59" s="2526"/>
      <c r="AM59" s="2526"/>
    </row>
    <row customHeight="1" ht="62.25">
      <c r="O60" s="2001"/>
      <c r="T60" s="2526"/>
      <c r="U60" s="2526"/>
      <c r="V60" s="2526"/>
      <c r="W60" s="2526"/>
      <c r="X60" s="2526"/>
      <c r="Y60" s="2526"/>
      <c r="Z60" s="2526"/>
      <c r="AA60" s="2526"/>
      <c r="AB60" s="2526"/>
      <c r="AC60" s="2526"/>
      <c r="AD60" s="2526"/>
      <c r="AE60" s="2526"/>
      <c r="AF60" s="2526"/>
      <c r="AG60" s="2526"/>
      <c r="AH60" s="2526"/>
      <c r="AI60" s="2526"/>
      <c r="AJ60" s="2526"/>
      <c r="AK60" s="2526"/>
      <c r="AL60" s="2526"/>
      <c r="AM60" s="2526"/>
    </row>
    <row customHeight="1" ht="14.25">
      <c r="O61" s="2001"/>
    </row>
    <row customHeight="1" ht="18">
      <c r="O62" s="2001"/>
      <c r="S62" s="1618"/>
      <c r="T62" s="2526"/>
      <c r="U62" s="2526"/>
      <c r="V62" s="2526"/>
      <c r="W62" s="2526"/>
      <c r="X62" s="2526"/>
      <c r="Y62" s="2526"/>
      <c r="Z62" s="2526"/>
      <c r="AA62" s="2526"/>
      <c r="AB62" s="2526"/>
      <c r="AC62" s="2526"/>
      <c r="AD62" s="2526"/>
      <c r="AE62" s="2526"/>
      <c r="AF62" s="2526"/>
      <c r="AG62" s="2526"/>
      <c r="AH62" s="2526"/>
      <c r="AI62" s="2526"/>
      <c r="AJ62" s="2526"/>
      <c r="AK62" s="2526"/>
      <c r="AL62" s="2526"/>
      <c r="AM62" s="2526"/>
    </row>
    <row customHeight="1" ht="18">
      <c r="O63" s="2001"/>
      <c r="T63" s="2526"/>
      <c r="U63" s="2526"/>
      <c r="V63" s="2526"/>
      <c r="W63" s="2526"/>
      <c r="X63" s="2526"/>
      <c r="Y63" s="2526"/>
      <c r="Z63" s="2526"/>
      <c r="AA63" s="2526"/>
      <c r="AB63" s="2526"/>
      <c r="AC63" s="2526"/>
      <c r="AD63" s="2526"/>
      <c r="AE63" s="2526"/>
      <c r="AF63" s="2526"/>
      <c r="AG63" s="2526"/>
      <c r="AH63" s="2526"/>
      <c r="AI63" s="2526"/>
      <c r="AJ63" s="2526"/>
      <c r="AK63" s="2526"/>
      <c r="AL63" s="2526"/>
      <c r="AM63" s="2526"/>
    </row>
    <row customHeight="1" ht="27.75">
      <c r="O64" s="2001"/>
      <c r="S64" s="1618"/>
      <c r="T64" s="2526"/>
      <c r="U64" s="2526"/>
      <c r="V64" s="2526"/>
      <c r="W64" s="2526"/>
      <c r="X64" s="2526"/>
      <c r="Y64" s="2526"/>
      <c r="Z64" s="2526"/>
      <c r="AA64" s="2526"/>
      <c r="AB64" s="2526"/>
      <c r="AC64" s="2526"/>
      <c r="AD64" s="2526"/>
      <c r="AE64" s="2526"/>
      <c r="AF64" s="2526"/>
      <c r="AG64" s="2526"/>
      <c r="AH64" s="2526"/>
      <c r="AI64" s="2526"/>
      <c r="AJ64" s="2526"/>
      <c r="AK64" s="2526"/>
      <c r="AL64" s="2526"/>
      <c r="AM64" s="2526"/>
    </row>
  </sheetData>
  <sheetProtection sort="0" autoFilter="0" insertRows="0" insertColumns="1" deleteRows="0" deleteColumns="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4C66FC-CA9B-2139-41D4-1171DB11D222}" mc:Ignorable="x14ac xr xr2 xr3">
  <sheetPr>
    <tabColor theme="6" tint="0.4"/>
  </sheetPr>
  <dimension ref="A1:AR64"/>
  <sheetViews>
    <sheetView topLeftCell="A1" showGridLines="0" workbookViewId="0">
      <selection activeCell="A1" sqref="A1"/>
    </sheetView>
  </sheetViews>
  <sheetFormatPr defaultColWidth="10.57421875" customHeight="1" defaultRowHeight="14.25"/>
  <cols>
    <col min="1" max="1" style="19274" width="10.57421875" hidden="1"/>
    <col min="2" max="2" style="19274" width="11.00390625" hidden="1" customWidth="1"/>
    <col min="3" max="3" style="19274" width="10.57421875" hidden="1"/>
    <col min="4" max="4" style="19274" width="11.8515625" hidden="1" customWidth="1"/>
    <col min="5" max="5" style="19274" width="10.00390625" hidden="1" customWidth="1"/>
    <col min="6" max="6" style="19274" width="8.7109375" hidden="1" customWidth="1"/>
    <col min="7" max="7" style="19274" width="7.57421875" hidden="1" customWidth="1"/>
    <col min="8" max="8" style="19274" width="11.421875" hidden="1" customWidth="1"/>
    <col min="9" max="9" style="19274" width="12.00390625" hidden="1" customWidth="1"/>
    <col min="10" max="10" style="19274" width="9.8515625" hidden="1" customWidth="1"/>
    <col min="11" max="11" style="19274" width="11.421875" hidden="1" customWidth="1"/>
    <col min="12" max="12" style="19275" width="19.140625" hidden="1" customWidth="1"/>
    <col min="13" max="14" style="19276" width="12.28125" hidden="1" customWidth="1"/>
    <col min="15" max="15" style="19276" width="23.421875" hidden="1" customWidth="1"/>
    <col min="16" max="16" style="19276" width="3.7109375" customWidth="1"/>
    <col min="17" max="18" style="19230" width="3.7109375" customWidth="1"/>
    <col min="19" max="19" style="19231" width="12.7109375" customWidth="1"/>
    <col min="20" max="20" style="19274" width="32.00390625" customWidth="1"/>
    <col min="21" max="21" style="19274" width="0.140625" customWidth="1"/>
    <col min="22" max="22" style="19274" width="24.7109375" hidden="1" customWidth="1"/>
    <col min="23" max="23" style="19274" width="0.140625" hidden="1" customWidth="1"/>
    <col min="24" max="25" style="19274" width="24.7109375" hidden="1" customWidth="1"/>
    <col min="26" max="26" style="19274" width="11.7109375" hidden="1" customWidth="1"/>
    <col min="27" max="27" style="19274" width="3.7109375" hidden="1" customWidth="1"/>
    <col min="28" max="28" style="19274" width="11.7109375" hidden="1" customWidth="1"/>
    <col min="29" max="29" style="19274" width="8.57421875" hidden="1" customWidth="1"/>
    <col min="30" max="30" style="19274" width="24.7109375" customWidth="1"/>
    <col min="31" max="31" style="19274" width="0.140625" customWidth="1"/>
    <col min="32" max="33" style="19274" width="24.7109375" customWidth="1"/>
    <col min="34" max="34" style="19274" width="11.7109375" customWidth="1"/>
    <col min="35" max="35" style="19274" width="3.7109375" customWidth="1"/>
    <col min="36" max="36" style="19274" width="11.7109375" customWidth="1"/>
    <col min="37" max="37" style="19274" width="8.57421875" hidden="1" customWidth="1"/>
    <col min="38" max="38" style="19274" width="4.7109375" customWidth="1"/>
    <col min="39" max="39" style="19274" width="115.7109375" customWidth="1"/>
    <col min="40" max="41" style="19272" width="10.57421875"/>
    <col min="42" max="42" style="19272" width="11.140625" customWidth="1"/>
    <col min="43" max="44" style="19272" width="10.57421875"/>
  </cols>
  <sheetData>
    <row customHeight="1" ht="14.25" hidden="1"/>
    <row customHeight="1" ht="21" hidden="1">
      <c r="A2" s="1633"/>
      <c r="B2" s="1633"/>
      <c r="C2" s="1633"/>
      <c r="D2" s="1633"/>
      <c r="E2" s="2562">
        <v>1</v>
      </c>
      <c r="F2" s="1633"/>
      <c r="G2" s="1633"/>
      <c r="H2" s="1633"/>
      <c r="I2" s="1633"/>
      <c r="J2" s="1633"/>
      <c r="K2" s="1633"/>
      <c r="L2" s="1676"/>
      <c r="M2" s="1976"/>
      <c r="N2" s="1976"/>
      <c r="O2" s="1976"/>
      <c r="P2" s="1956"/>
      <c r="Q2" s="721"/>
      <c r="R2" s="716"/>
      <c r="S2" s="2325">
        <f>INDEX(PT_DIFFERENTIATION_NUM_NTAR,MATCH(A2,PT_DIFFERENTIATION_NTAR_ID,0))</f>
      </c>
      <c r="T2" s="1891" t="s">
        <v>120</v>
      </c>
      <c r="U2" s="661"/>
      <c r="V2" s="2521"/>
      <c r="W2" s="2522"/>
      <c r="X2" s="2522"/>
      <c r="Y2" s="2522"/>
      <c r="Z2" s="2522"/>
      <c r="AA2" s="2522"/>
      <c r="AB2" s="2522"/>
      <c r="AC2" s="2523"/>
      <c r="AD2" s="2521">
        <f>INDEX(PT_DIFFERENTIATION_NTAR,MATCH(A2,PT_DIFFERENTIATION_NTAR_ID,0))</f>
      </c>
      <c r="AE2" s="2522"/>
      <c r="AF2" s="2522"/>
      <c r="AG2" s="2522"/>
      <c r="AH2" s="2522"/>
      <c r="AI2" s="2522"/>
      <c r="AJ2" s="2522"/>
      <c r="AK2" s="2522"/>
      <c r="AL2" s="2523"/>
      <c r="AM2" s="1623" t="s">
        <v>396</v>
      </c>
      <c r="AO2" s="1990"/>
      <c r="AP2" s="1990" t="str">
        <f>IF(T2="","",T2)</f>
        <v>Наименование тарифа</v>
      </c>
      <c r="AQ2" s="1990"/>
      <c r="AR2" s="1990"/>
    </row>
    <row customHeight="1" ht="21" hidden="1">
      <c r="A3" s="1633"/>
      <c r="B3" s="1633"/>
      <c r="C3" s="1633"/>
      <c r="D3" s="1633"/>
      <c r="E3" s="2563"/>
      <c r="F3" s="2562">
        <v>1</v>
      </c>
      <c r="G3" s="1633"/>
      <c r="H3" s="1633"/>
      <c r="I3" s="1633"/>
      <c r="J3" s="1633"/>
      <c r="K3" s="1633"/>
      <c r="L3" s="1676"/>
      <c r="M3" s="1976"/>
      <c r="N3" s="1976"/>
      <c r="O3" s="1976"/>
      <c r="P3" s="2307"/>
      <c r="Q3" s="713"/>
      <c r="R3" s="714"/>
      <c r="S3" s="2325">
        <f>INDEX(PT_DIFFERENTIATION_NUM_TER,MATCH(B3,PT_DIFFERENTIATION_TER_ID,0))</f>
      </c>
      <c r="T3" s="1888" t="s">
        <v>397</v>
      </c>
      <c r="U3" s="661"/>
      <c r="V3" s="2521"/>
      <c r="W3" s="2522"/>
      <c r="X3" s="2522"/>
      <c r="Y3" s="2522"/>
      <c r="Z3" s="2522"/>
      <c r="AA3" s="2522"/>
      <c r="AB3" s="2522"/>
      <c r="AC3" s="2523"/>
      <c r="AD3" s="2521">
        <f>INDEX(PT_DIFFERENTIATION_TER,MATCH(B3,PT_DIFFERENTIATION_TER_ID,0))</f>
      </c>
      <c r="AE3" s="2522"/>
      <c r="AF3" s="2522"/>
      <c r="AG3" s="2522"/>
      <c r="AH3" s="2522"/>
      <c r="AI3" s="2522"/>
      <c r="AJ3" s="2522"/>
      <c r="AK3" s="2522"/>
      <c r="AL3" s="2523"/>
      <c r="AM3" s="1623" t="s">
        <v>398</v>
      </c>
      <c r="AO3" s="1990"/>
      <c r="AP3" s="1990" t="str">
        <f>IF(T3="","",T3)</f>
        <v>Территория действия тарифа</v>
      </c>
      <c r="AQ3" s="1990"/>
      <c r="AR3" s="1990"/>
    </row>
    <row customHeight="1" ht="23.25" hidden="1">
      <c r="A4" s="1633"/>
      <c r="B4" s="1633"/>
      <c r="C4" s="1633"/>
      <c r="D4" s="1633"/>
      <c r="E4" s="2563"/>
      <c r="F4" s="2563"/>
      <c r="G4" s="2562">
        <v>1</v>
      </c>
      <c r="H4" s="1633"/>
      <c r="I4" s="1633"/>
      <c r="J4" s="1633"/>
      <c r="K4" s="1633"/>
      <c r="L4" s="1676"/>
      <c r="M4" s="1976"/>
      <c r="N4" s="1976"/>
      <c r="O4" s="1976"/>
      <c r="P4" s="715"/>
      <c r="Q4" s="713"/>
      <c r="R4" s="714"/>
      <c r="S4" s="2325">
        <f>INDEX(PT_DIFFERENTIATION_NUM_CS,MATCH(C4,PT_DIFFERENTIATION_CS_ID,0))</f>
      </c>
      <c r="T4" s="670" t="s">
        <v>399</v>
      </c>
      <c r="U4" s="661"/>
      <c r="V4" s="2521"/>
      <c r="W4" s="2522"/>
      <c r="X4" s="2522"/>
      <c r="Y4" s="2522"/>
      <c r="Z4" s="2522"/>
      <c r="AA4" s="2522"/>
      <c r="AB4" s="2522"/>
      <c r="AC4" s="2523"/>
      <c r="AD4" s="2521">
        <f>INDEX(PT_DIFFERENTIATION_CS,MATCH(C4,PT_DIFFERENTIATION_CS_ID,0))</f>
      </c>
      <c r="AE4" s="2522"/>
      <c r="AF4" s="2522"/>
      <c r="AG4" s="2522"/>
      <c r="AH4" s="2522"/>
      <c r="AI4" s="2522"/>
      <c r="AJ4" s="2522"/>
      <c r="AK4" s="2522"/>
      <c r="AL4" s="2523"/>
      <c r="AM4" s="1623" t="s">
        <v>400</v>
      </c>
      <c r="AO4" s="1990"/>
      <c r="AP4" s="1990" t="str">
        <f>IF(T4="","",T4)</f>
        <v>Наименование системы теплоснабжения </v>
      </c>
      <c r="AQ4" s="1990"/>
      <c r="AR4" s="1990"/>
    </row>
    <row customHeight="1" ht="21" hidden="1">
      <c r="A5" s="1633"/>
      <c r="B5" s="1633"/>
      <c r="C5" s="1633"/>
      <c r="D5" s="1633"/>
      <c r="E5" s="2563"/>
      <c r="F5" s="2563"/>
      <c r="G5" s="2563"/>
      <c r="H5" s="2562">
        <v>1</v>
      </c>
      <c r="I5" s="1633"/>
      <c r="J5" s="1633"/>
      <c r="K5" s="1633"/>
      <c r="L5" s="1676"/>
      <c r="M5" s="1976"/>
      <c r="N5" s="1976"/>
      <c r="O5" s="1976"/>
      <c r="P5" s="715"/>
      <c r="Q5" s="713"/>
      <c r="R5" s="714"/>
      <c r="S5" s="2325">
        <f>INDEX(PT_DIFFERENTIATION_NUM_IST_TE,MATCH(D5,PT_DIFFERENTIATION_IST_TE_ID,0))</f>
      </c>
      <c r="T5" s="671" t="s">
        <v>401</v>
      </c>
      <c r="U5" s="661"/>
      <c r="V5" s="2521"/>
      <c r="W5" s="2522"/>
      <c r="X5" s="2522"/>
      <c r="Y5" s="2522"/>
      <c r="Z5" s="2522"/>
      <c r="AA5" s="2522"/>
      <c r="AB5" s="2522"/>
      <c r="AC5" s="2523"/>
      <c r="AD5" s="2521">
        <f>INDEX(PT_DIFFERENTIATION_IST_TE,MATCH(D5,PT_DIFFERENTIATION_IST_TE_ID,0))</f>
      </c>
      <c r="AE5" s="2522"/>
      <c r="AF5" s="2522"/>
      <c r="AG5" s="2522"/>
      <c r="AH5" s="2522"/>
      <c r="AI5" s="2522"/>
      <c r="AJ5" s="2522"/>
      <c r="AK5" s="2522"/>
      <c r="AL5" s="2523"/>
      <c r="AM5" s="1623" t="s">
        <v>402</v>
      </c>
      <c r="AO5" s="1990"/>
      <c r="AP5" s="1990" t="str">
        <f>IF(T5="","",T5)</f>
        <v>Источник тепловой энергии  </v>
      </c>
      <c r="AQ5" s="1990"/>
      <c r="AR5" s="1990"/>
    </row>
    <row customHeight="1" ht="47.25" hidden="1">
      <c r="A6" s="1633"/>
      <c r="B6" s="1633"/>
      <c r="C6" s="1633"/>
      <c r="D6" s="1633"/>
      <c r="E6" s="2563"/>
      <c r="F6" s="2563"/>
      <c r="G6" s="2563"/>
      <c r="H6" s="2563"/>
      <c r="I6" s="2392">
        <f>S5&amp;".1"</f>
      </c>
      <c r="J6" s="1633"/>
      <c r="K6" s="1633"/>
      <c r="L6" s="1676" t="s">
        <v>403</v>
      </c>
      <c r="M6" s="2001"/>
      <c r="P6" s="2531">
        <v>1</v>
      </c>
      <c r="Q6" s="2321"/>
      <c r="R6" s="717"/>
      <c r="S6" s="2325">
        <f>$I6</f>
      </c>
      <c r="T6" s="646" t="s">
        <v>404</v>
      </c>
      <c r="U6" s="661"/>
      <c r="V6" s="2515"/>
      <c r="W6" s="2516"/>
      <c r="X6" s="2516"/>
      <c r="Y6" s="2516"/>
      <c r="Z6" s="2516"/>
      <c r="AA6" s="2516"/>
      <c r="AB6" s="2516"/>
      <c r="AC6" s="2517"/>
      <c r="AD6" s="2515"/>
      <c r="AE6" s="2516"/>
      <c r="AF6" s="2516"/>
      <c r="AG6" s="2516"/>
      <c r="AH6" s="2516"/>
      <c r="AI6" s="2516"/>
      <c r="AJ6" s="2516"/>
      <c r="AK6" s="2516"/>
      <c r="AL6" s="2517"/>
      <c r="AM6" s="1623" t="s">
        <v>405</v>
      </c>
      <c r="AO6" s="1990"/>
      <c r="AP6" s="1990" t="str">
        <f>IF(T6="","",T6)</f>
        <v>Схема подключения теплопотребляющей установки к коллектору источника тепловой энергии</v>
      </c>
      <c r="AQ6" s="1990"/>
      <c r="AR6" s="1990"/>
    </row>
    <row customHeight="1" ht="21" hidden="1">
      <c r="A7" s="1633"/>
      <c r="B7" s="1633"/>
      <c r="C7" s="1633"/>
      <c r="D7" s="1633"/>
      <c r="E7" s="2563"/>
      <c r="F7" s="2563"/>
      <c r="G7" s="2563"/>
      <c r="H7" s="2563"/>
      <c r="I7" s="2376"/>
      <c r="J7" s="2392">
        <f>I6&amp;".1"</f>
      </c>
      <c r="K7" s="1633"/>
      <c r="L7" s="1676" t="s">
        <v>406</v>
      </c>
      <c r="M7" s="2001"/>
      <c r="N7" s="1997"/>
      <c r="P7" s="2531"/>
      <c r="Q7" s="2531">
        <v>1</v>
      </c>
      <c r="R7" s="718"/>
      <c r="S7" s="2325">
        <f>$J7</f>
      </c>
      <c r="T7" s="647" t="s">
        <v>407</v>
      </c>
      <c r="U7" s="661"/>
      <c r="V7" s="2515"/>
      <c r="W7" s="2516"/>
      <c r="X7" s="2516"/>
      <c r="Y7" s="2516"/>
      <c r="Z7" s="2516"/>
      <c r="AA7" s="2516"/>
      <c r="AB7" s="2516"/>
      <c r="AC7" s="2517"/>
      <c r="AD7" s="2515"/>
      <c r="AE7" s="2516"/>
      <c r="AF7" s="2516"/>
      <c r="AG7" s="2516"/>
      <c r="AH7" s="2516"/>
      <c r="AI7" s="2516"/>
      <c r="AJ7" s="2516"/>
      <c r="AK7" s="2516"/>
      <c r="AL7" s="2517"/>
      <c r="AM7" s="1623" t="s">
        <v>408</v>
      </c>
      <c r="AO7" s="1990"/>
      <c r="AP7" s="1990" t="str">
        <f>IF(T7="","",T7)</f>
        <v>Группа потребителей</v>
      </c>
      <c r="AQ7" s="1990"/>
      <c r="AR7" s="1990"/>
    </row>
    <row customHeight="1" ht="21" hidden="1">
      <c r="A8" s="1633"/>
      <c r="B8" s="1633"/>
      <c r="C8" s="1633"/>
      <c r="D8" s="1633"/>
      <c r="E8" s="2563"/>
      <c r="F8" s="2563"/>
      <c r="G8" s="2563"/>
      <c r="H8" s="2563"/>
      <c r="I8" s="2376"/>
      <c r="J8" s="2376"/>
      <c r="K8" s="2392">
        <f>J7&amp;".1"</f>
      </c>
      <c r="L8" s="1676" t="s">
        <v>409</v>
      </c>
      <c r="M8" s="2001"/>
      <c r="N8" s="1997"/>
      <c r="O8" s="1997"/>
      <c r="P8" s="2531"/>
      <c r="Q8" s="2531"/>
      <c r="R8" s="718">
        <v>1</v>
      </c>
      <c r="S8" s="2325">
        <f>$K8</f>
      </c>
      <c r="T8" s="1713"/>
      <c r="U8" s="661"/>
      <c r="V8" s="1112"/>
      <c r="W8" s="686"/>
      <c r="X8" s="1112"/>
      <c r="Y8" s="1622"/>
      <c r="Z8" s="2532"/>
      <c r="AA8" s="2402" t="s">
        <v>59</v>
      </c>
      <c r="AB8" s="2532"/>
      <c r="AC8" s="2402" t="s">
        <v>59</v>
      </c>
      <c r="AD8" s="1112"/>
      <c r="AE8" s="686"/>
      <c r="AF8" s="1112"/>
      <c r="AG8" s="1622"/>
      <c r="AH8" s="2532"/>
      <c r="AI8" s="2402" t="s">
        <v>59</v>
      </c>
      <c r="AJ8" s="2532"/>
      <c r="AK8" s="2402" t="s">
        <v>59</v>
      </c>
      <c r="AL8" s="686"/>
      <c r="AM8" s="2557" t="s">
        <v>410</v>
      </c>
      <c r="AN8" s="2002">
        <f>STRCHECKDATE(V9:AL9)</f>
      </c>
      <c r="AO8" s="1990"/>
      <c r="AP8" s="1990" t="str">
        <f>IF(T8="","",T8)</f>
        <v/>
      </c>
      <c r="AQ8" s="1990"/>
      <c r="AR8" s="1990"/>
    </row>
    <row customHeight="1" ht="0.75" hidden="1">
      <c r="A9" s="1633"/>
      <c r="B9" s="1633"/>
      <c r="C9" s="1633"/>
      <c r="D9" s="1633"/>
      <c r="E9" s="2563"/>
      <c r="F9" s="2563"/>
      <c r="G9" s="2563"/>
      <c r="H9" s="2563"/>
      <c r="I9" s="2376"/>
      <c r="J9" s="2376"/>
      <c r="K9" s="2392"/>
      <c r="L9" s="1676"/>
      <c r="M9" s="2001"/>
      <c r="N9" s="1997"/>
      <c r="O9" s="1997"/>
      <c r="P9" s="2531"/>
      <c r="Q9" s="2531"/>
      <c r="R9" s="718"/>
      <c r="S9" s="2334"/>
      <c r="T9" s="661"/>
      <c r="U9" s="661"/>
      <c r="V9" s="686"/>
      <c r="W9" s="686"/>
      <c r="X9" s="686"/>
      <c r="Y9" s="689" t="str">
        <f>Z8&amp;"-"&amp;AB8</f>
        <v>-</v>
      </c>
      <c r="Z9" s="2533"/>
      <c r="AA9" s="2402"/>
      <c r="AB9" s="2533"/>
      <c r="AC9" s="2402"/>
      <c r="AD9" s="686"/>
      <c r="AE9" s="686"/>
      <c r="AF9" s="686"/>
      <c r="AG9" s="689" t="str">
        <f>AH8&amp;"-"&amp;AJ8</f>
        <v>-</v>
      </c>
      <c r="AH9" s="2533"/>
      <c r="AI9" s="2402"/>
      <c r="AJ9" s="2533"/>
      <c r="AK9" s="2402"/>
      <c r="AL9" s="686"/>
      <c r="AM9" s="2558"/>
      <c r="AO9" s="1990"/>
      <c r="AP9" s="1990" t="str">
        <f>IF(T9="","",T9)</f>
        <v/>
      </c>
      <c r="AQ9" s="1990"/>
      <c r="AR9" s="1990"/>
    </row>
    <row customHeight="1" ht="15" hidden="1">
      <c r="A10" s="1633"/>
      <c r="B10" s="1633"/>
      <c r="C10" s="1633"/>
      <c r="D10" s="1633"/>
      <c r="E10" s="2563"/>
      <c r="F10" s="2563"/>
      <c r="G10" s="2563"/>
      <c r="H10" s="2563"/>
      <c r="I10" s="2376"/>
      <c r="J10" s="2392"/>
      <c r="K10" s="1633"/>
      <c r="L10" s="1676"/>
      <c r="M10" s="2001"/>
      <c r="N10" s="1997"/>
      <c r="P10" s="2531"/>
      <c r="Q10" s="2531"/>
      <c r="R10" s="717"/>
      <c r="S10" s="1644"/>
      <c r="T10" s="649" t="s">
        <v>411</v>
      </c>
      <c r="U10" s="961"/>
      <c r="V10" s="961"/>
      <c r="W10" s="961"/>
      <c r="X10" s="961"/>
      <c r="Y10" s="961"/>
      <c r="Z10" s="961"/>
      <c r="AA10" s="961"/>
      <c r="AB10" s="961"/>
      <c r="AC10" s="961"/>
      <c r="AD10" s="961"/>
      <c r="AE10" s="961"/>
      <c r="AF10" s="961"/>
      <c r="AG10" s="961"/>
      <c r="AH10" s="961"/>
      <c r="AI10" s="961"/>
      <c r="AJ10" s="961"/>
      <c r="AK10" s="961"/>
      <c r="AL10" s="685"/>
      <c r="AM10" s="2559"/>
      <c r="AO10" s="1990"/>
      <c r="AP10" s="1990" t="str">
        <f>IF(T10="","",T10)</f>
        <v>Добавить вид теплоносителя (параметры теплоносителя)</v>
      </c>
      <c r="AQ10" s="1990"/>
      <c r="AR10" s="1990"/>
    </row>
    <row customHeight="1" ht="15" hidden="1">
      <c r="A11" s="1633"/>
      <c r="B11" s="1633"/>
      <c r="C11" s="1633"/>
      <c r="D11" s="1633"/>
      <c r="E11" s="2563"/>
      <c r="F11" s="2563"/>
      <c r="G11" s="2563"/>
      <c r="H11" s="2563"/>
      <c r="I11" s="2392"/>
      <c r="J11" s="1633"/>
      <c r="K11" s="1633"/>
      <c r="L11" s="1676"/>
      <c r="M11" s="2001"/>
      <c r="P11" s="2531"/>
      <c r="Q11" s="2321"/>
      <c r="R11" s="717"/>
      <c r="S11" s="1644"/>
      <c r="T11" s="648" t="s">
        <v>412</v>
      </c>
      <c r="U11" s="961"/>
      <c r="V11" s="961"/>
      <c r="W11" s="961"/>
      <c r="X11" s="961"/>
      <c r="Y11" s="961"/>
      <c r="Z11" s="961"/>
      <c r="AA11" s="961"/>
      <c r="AB11" s="961"/>
      <c r="AC11" s="727"/>
      <c r="AD11" s="961"/>
      <c r="AE11" s="961"/>
      <c r="AF11" s="961"/>
      <c r="AG11" s="961"/>
      <c r="AH11" s="961"/>
      <c r="AI11" s="961"/>
      <c r="AJ11" s="961"/>
      <c r="AK11" s="727"/>
      <c r="AL11" s="961"/>
      <c r="AM11" s="664"/>
      <c r="AO11" s="1990"/>
      <c r="AP11" s="1990" t="str">
        <f>IF(T11="","",T11)</f>
        <v>Добавить группу потребителей</v>
      </c>
      <c r="AQ11" s="1990"/>
      <c r="AR11" s="1990"/>
    </row>
    <row customHeight="1" ht="14.25" hidden="1">
      <c r="A12" s="1633"/>
      <c r="B12" s="1633"/>
      <c r="C12" s="1633"/>
      <c r="D12" s="1633"/>
      <c r="E12" s="2563"/>
      <c r="F12" s="2563"/>
      <c r="G12" s="2563"/>
      <c r="H12" s="2562"/>
      <c r="I12" s="1633"/>
      <c r="J12" s="1633"/>
      <c r="K12" s="1633"/>
      <c r="L12" s="1676"/>
      <c r="M12" s="1976"/>
      <c r="N12" s="1976"/>
      <c r="O12" s="2001"/>
      <c r="P12" s="721"/>
      <c r="Q12" s="736"/>
      <c r="R12" s="716"/>
      <c r="S12" s="1644"/>
      <c r="T12" s="726" t="s">
        <v>413</v>
      </c>
      <c r="U12" s="961"/>
      <c r="V12" s="961"/>
      <c r="W12" s="961"/>
      <c r="X12" s="961"/>
      <c r="Y12" s="961"/>
      <c r="Z12" s="961"/>
      <c r="AA12" s="961"/>
      <c r="AB12" s="961"/>
      <c r="AC12" s="727"/>
      <c r="AD12" s="961"/>
      <c r="AE12" s="961"/>
      <c r="AF12" s="961"/>
      <c r="AG12" s="961"/>
      <c r="AH12" s="961"/>
      <c r="AI12" s="961"/>
      <c r="AJ12" s="961"/>
      <c r="AK12" s="727"/>
      <c r="AL12" s="961"/>
      <c r="AM12" s="664"/>
      <c r="AO12" s="1990"/>
      <c r="AP12" s="1990" t="str">
        <f>IF(T12="","",T12)</f>
        <v>Добавить схему подключения</v>
      </c>
      <c r="AQ12" s="1990"/>
      <c r="AR12" s="1990"/>
    </row>
    <row s="19252" customFormat="1" customHeight="1" ht="0.75" hidden="1">
      <c r="A13" s="2342"/>
      <c r="B13" s="2342"/>
      <c r="C13" s="2342"/>
      <c r="D13" s="2342"/>
      <c r="E13" s="2563"/>
      <c r="F13" s="2563"/>
      <c r="G13" s="2562"/>
      <c r="H13" s="2342"/>
      <c r="I13" s="2342"/>
      <c r="J13" s="2342"/>
      <c r="K13" s="2342"/>
      <c r="L13" s="1746"/>
      <c r="M13" s="1976"/>
      <c r="N13" s="1976"/>
      <c r="O13" s="2001"/>
      <c r="P13" s="1682"/>
      <c r="Q13" s="1683"/>
      <c r="R13" s="1682"/>
      <c r="S13" s="1684"/>
      <c r="T13" s="1685" t="s">
        <v>414</v>
      </c>
      <c r="U13" s="1686"/>
      <c r="V13" s="1686"/>
      <c r="W13" s="1686"/>
      <c r="X13" s="1686"/>
      <c r="Y13" s="1686"/>
      <c r="Z13" s="1686"/>
      <c r="AA13" s="1686"/>
      <c r="AB13" s="1686"/>
      <c r="AC13" s="1686"/>
      <c r="AD13" s="1686"/>
      <c r="AE13" s="1686"/>
      <c r="AF13" s="1686"/>
      <c r="AG13" s="1686"/>
      <c r="AH13" s="1686"/>
      <c r="AI13" s="1686"/>
      <c r="AJ13" s="1686"/>
      <c r="AK13" s="1686"/>
      <c r="AL13" s="1686"/>
      <c r="AM13" s="1686"/>
      <c r="AO13" s="1616"/>
      <c r="AP13" s="1616" t="str">
        <f>IF(T13="","",T13)</f>
        <v>Добавить источник для дифференциации</v>
      </c>
      <c r="AQ13" s="1616"/>
      <c r="AR13" s="1616"/>
    </row>
    <row s="19252" customFormat="1" customHeight="1" ht="0.75" hidden="1">
      <c r="A14" s="2342"/>
      <c r="B14" s="2342"/>
      <c r="C14" s="2342"/>
      <c r="D14" s="2342"/>
      <c r="E14" s="2563"/>
      <c r="F14" s="2562"/>
      <c r="G14" s="2342"/>
      <c r="H14" s="2342"/>
      <c r="I14" s="2342"/>
      <c r="J14" s="2342"/>
      <c r="K14" s="2342"/>
      <c r="L14" s="1746"/>
      <c r="M14" s="2343"/>
      <c r="N14" s="2343"/>
      <c r="O14" s="2001"/>
      <c r="P14" s="1682"/>
      <c r="Q14" s="1683"/>
      <c r="R14" s="1682"/>
      <c r="S14" s="1688"/>
      <c r="T14" s="1689" t="s">
        <v>251</v>
      </c>
      <c r="U14" s="1690"/>
      <c r="V14" s="1690"/>
      <c r="W14" s="1690"/>
      <c r="X14" s="1690"/>
      <c r="Y14" s="1690"/>
      <c r="Z14" s="1690"/>
      <c r="AA14" s="1690"/>
      <c r="AB14" s="1690"/>
      <c r="AC14" s="1690"/>
      <c r="AD14" s="1690"/>
      <c r="AE14" s="1690"/>
      <c r="AF14" s="1690"/>
      <c r="AG14" s="1690"/>
      <c r="AH14" s="1690"/>
      <c r="AI14" s="1690"/>
      <c r="AJ14" s="1690"/>
      <c r="AK14" s="1690"/>
      <c r="AL14" s="1690"/>
      <c r="AM14" s="1690"/>
      <c r="AO14" s="1616"/>
      <c r="AP14" s="1616" t="str">
        <f>IF(T14="","",T14)</f>
        <v>Добавить централизованную систему для дифференциации</v>
      </c>
      <c r="AQ14" s="1616"/>
      <c r="AR14" s="1616"/>
    </row>
    <row s="19252" customFormat="1" customHeight="1" ht="0.75" hidden="1">
      <c r="A15" s="2342"/>
      <c r="B15" s="2342"/>
      <c r="C15" s="2342"/>
      <c r="D15" s="2342"/>
      <c r="E15" s="2562"/>
      <c r="F15" s="2342"/>
      <c r="G15" s="2342"/>
      <c r="H15" s="2342"/>
      <c r="I15" s="2342"/>
      <c r="J15" s="2342"/>
      <c r="K15" s="2342"/>
      <c r="L15" s="1746"/>
      <c r="M15" s="2343"/>
      <c r="N15" s="2343"/>
      <c r="O15" s="2001"/>
      <c r="P15" s="1682"/>
      <c r="Q15" s="1683"/>
      <c r="R15" s="1682"/>
      <c r="S15" s="1688"/>
      <c r="T15" s="1691" t="s">
        <v>252</v>
      </c>
      <c r="U15" s="1690"/>
      <c r="V15" s="1690"/>
      <c r="W15" s="1690"/>
      <c r="X15" s="1690"/>
      <c r="Y15" s="1690"/>
      <c r="Z15" s="1690"/>
      <c r="AA15" s="1690"/>
      <c r="AB15" s="1690"/>
      <c r="AC15" s="1690"/>
      <c r="AD15" s="1690"/>
      <c r="AE15" s="1690"/>
      <c r="AF15" s="1690"/>
      <c r="AG15" s="1690"/>
      <c r="AH15" s="1690"/>
      <c r="AI15" s="1690"/>
      <c r="AJ15" s="1690"/>
      <c r="AK15" s="1690"/>
      <c r="AL15" s="1690"/>
      <c r="AM15" s="1690"/>
      <c r="AO15" s="1616"/>
      <c r="AP15" s="1616" t="str">
        <f>IF(T15="","",T15)</f>
        <v>Добавить территорию для дифференциации</v>
      </c>
      <c r="AQ15" s="1616"/>
      <c r="AR15" s="1616"/>
    </row>
    <row customHeight="1" ht="14.25" hidden="1"/>
    <row customHeight="1" ht="14.25" hidden="1">
      <c r="AD17" s="1726"/>
      <c r="AE17" s="1726"/>
      <c r="AF17" s="1726"/>
      <c r="AG17" s="1727"/>
      <c r="AH17" s="2525"/>
      <c r="AI17" s="2524" t="s">
        <v>59</v>
      </c>
      <c r="AJ17" s="2525"/>
      <c r="AK17" s="2524" t="s">
        <v>59</v>
      </c>
    </row>
    <row customHeight="1" ht="14.25" hidden="1">
      <c r="AD18" s="1726"/>
      <c r="AE18" s="1726"/>
      <c r="AF18" s="1726"/>
      <c r="AG18" s="689" t="str">
        <f>AH17&amp;"-"&amp;AJ17</f>
        <v>-</v>
      </c>
      <c r="AH18" s="2524"/>
      <c r="AI18" s="2524"/>
      <c r="AJ18" s="2524"/>
      <c r="AK18" s="2524"/>
    </row>
    <row customHeight="1" ht="14.25" hidden="1"/>
    <row s="19259" customFormat="1" customHeight="1" ht="14.25" hidden="1">
      <c r="A20" s="1997"/>
      <c r="B20" s="1997"/>
      <c r="C20" s="1997"/>
      <c r="D20" s="1997"/>
      <c r="E20" s="1997"/>
      <c r="F20" s="1997"/>
      <c r="G20" s="1997"/>
      <c r="H20" s="1997"/>
      <c r="I20" s="1997"/>
      <c r="J20" s="1997"/>
      <c r="K20" s="1997"/>
      <c r="L20" s="2306"/>
      <c r="M20" s="2332"/>
      <c r="N20" s="2332"/>
      <c r="O20" s="1711" t="s">
        <v>415</v>
      </c>
      <c r="P20" s="1728"/>
      <c r="Q20" s="1737"/>
      <c r="R20" s="1737"/>
      <c r="S20" s="1090"/>
      <c r="Z20" s="1733"/>
      <c r="AB20" s="1733"/>
      <c r="AH20" s="1733"/>
      <c r="AJ20" s="1733"/>
      <c r="AN20" s="2002"/>
      <c r="AO20" s="2002"/>
      <c r="AP20" s="2002"/>
      <c r="AQ20" s="2002"/>
      <c r="AR20" s="2002"/>
    </row>
    <row s="19259" customFormat="1" customHeight="1" ht="14.25" hidden="1">
      <c r="A21" s="1997"/>
      <c r="B21" s="1997"/>
      <c r="C21" s="1997"/>
      <c r="D21" s="1997"/>
      <c r="E21" s="1997"/>
      <c r="F21" s="1997"/>
      <c r="G21" s="1997"/>
      <c r="H21" s="1997"/>
      <c r="I21" s="1997"/>
      <c r="J21" s="1997"/>
      <c r="K21" s="1997"/>
      <c r="L21" s="2306"/>
      <c r="M21" s="2332"/>
      <c r="N21" s="2332"/>
      <c r="O21" s="2332"/>
      <c r="P21" s="1728"/>
      <c r="Q21" s="1737"/>
      <c r="R21" s="1737"/>
      <c r="S21" s="1090"/>
      <c r="AN21" s="2002"/>
      <c r="AO21" s="2002"/>
      <c r="AP21" s="2002"/>
      <c r="AQ21" s="2002"/>
      <c r="AR21" s="2002"/>
    </row>
    <row s="19259" customFormat="1" customHeight="1" ht="14.25" hidden="1">
      <c r="A22" s="1997"/>
      <c r="B22" s="1997"/>
      <c r="C22" s="1997"/>
      <c r="D22" s="1997"/>
      <c r="E22" s="1997"/>
      <c r="F22" s="1997"/>
      <c r="G22" s="1997"/>
      <c r="H22" s="1997"/>
      <c r="I22" s="1997"/>
      <c r="J22" s="1997"/>
      <c r="K22" s="1997"/>
      <c r="L22" s="2306"/>
      <c r="M22" s="2332"/>
      <c r="N22" s="2332"/>
      <c r="O22" s="1676" t="s">
        <v>416</v>
      </c>
      <c r="P22" s="1728"/>
      <c r="Q22" s="1737"/>
      <c r="R22" s="1737"/>
      <c r="S22" s="1090"/>
      <c r="T22" s="1732" t="s">
        <v>417</v>
      </c>
      <c r="AA22" s="956" t="s">
        <v>418</v>
      </c>
      <c r="AC22" s="956" t="s">
        <v>419</v>
      </c>
      <c r="AD22" s="1732" t="s">
        <v>417</v>
      </c>
      <c r="AI22" s="956" t="s">
        <v>420</v>
      </c>
      <c r="AK22" s="956" t="s">
        <v>419</v>
      </c>
      <c r="AN22" s="2002"/>
      <c r="AO22" s="2002"/>
      <c r="AP22" s="2002"/>
      <c r="AQ22" s="2002"/>
      <c r="AR22" s="2002"/>
    </row>
    <row customHeight="1" ht="14.25" hidden="1">
      <c r="O23" s="1676"/>
    </row>
    <row customHeight="1" ht="14.25" hidden="1">
      <c r="O24" s="1676"/>
    </row>
    <row customHeight="1" ht="14.25">
      <c r="Q25" s="737"/>
      <c r="R25" s="737"/>
      <c r="S25" s="1641"/>
      <c r="T25" s="818"/>
      <c r="U25" s="818"/>
      <c r="V25" s="2001"/>
      <c r="W25" s="2001"/>
      <c r="X25" s="2001"/>
      <c r="Y25" s="2001"/>
      <c r="Z25" s="2001"/>
      <c r="AA25" s="2001"/>
      <c r="AB25" s="2001"/>
      <c r="AC25" s="2001"/>
      <c r="AD25" s="2001"/>
      <c r="AE25" s="2001"/>
      <c r="AF25" s="2001"/>
      <c r="AG25" s="2001"/>
      <c r="AH25" s="2001"/>
      <c r="AI25" s="2001"/>
      <c r="AJ25" s="2001"/>
      <c r="AK25" s="2001"/>
    </row>
    <row customHeight="1" ht="14.25">
      <c r="Q26" s="737"/>
      <c r="R26" s="737"/>
      <c r="S26" s="256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60"/>
      <c r="U26" s="2560"/>
      <c r="V26" s="2560"/>
      <c r="W26" s="2560"/>
      <c r="X26" s="2560"/>
      <c r="Y26" s="2560"/>
      <c r="Z26" s="2560"/>
      <c r="AA26" s="2560"/>
      <c r="AB26" s="2560"/>
      <c r="AC26" s="2560"/>
      <c r="AD26" s="2560"/>
      <c r="AE26" s="2560"/>
      <c r="AF26" s="2560"/>
      <c r="AG26" s="2560"/>
      <c r="AH26" s="2560"/>
      <c r="AI26" s="2560"/>
      <c r="AJ26" s="2560"/>
      <c r="AK26" s="1608"/>
    </row>
    <row customHeight="1" ht="14.25">
      <c r="Q27" s="737"/>
      <c r="R27" s="737"/>
      <c r="S27" s="2561" t="str">
        <f>IF(org=0,"Не определено",org)</f>
        <v>Филиал "Шатурская ГРЭС" ПАО "Юнипро"</v>
      </c>
      <c r="T27" s="2561"/>
      <c r="U27" s="2561"/>
      <c r="V27" s="2561"/>
      <c r="W27" s="2561"/>
      <c r="X27" s="2561"/>
      <c r="Y27" s="2561"/>
      <c r="Z27" s="2561"/>
      <c r="AA27" s="2561"/>
      <c r="AB27" s="2561"/>
      <c r="AC27" s="2561"/>
      <c r="AD27" s="2561"/>
      <c r="AE27" s="2561"/>
      <c r="AF27" s="2561"/>
      <c r="AG27" s="2561"/>
      <c r="AH27" s="2561"/>
      <c r="AI27" s="2561"/>
      <c r="AJ27" s="2561"/>
      <c r="AK27" s="1608"/>
    </row>
    <row customHeight="1" ht="14.25" hidden="1">
      <c r="Q28" s="737"/>
      <c r="R28" s="737"/>
      <c r="S28" s="1641"/>
      <c r="T28" s="818"/>
      <c r="U28" s="818"/>
      <c r="V28" s="683"/>
      <c r="W28" s="683"/>
      <c r="X28" s="683"/>
      <c r="Y28" s="683"/>
      <c r="Z28" s="683"/>
      <c r="AA28" s="683"/>
      <c r="AB28" s="683"/>
      <c r="AC28" s="683"/>
      <c r="AD28" s="683"/>
      <c r="AE28" s="683"/>
      <c r="AF28" s="683"/>
      <c r="AG28" s="683"/>
      <c r="AH28" s="683"/>
      <c r="AI28" s="683"/>
      <c r="AJ28" s="683"/>
      <c r="AK28" s="683"/>
      <c r="AL28" s="2001"/>
    </row>
    <row s="19160" customFormat="1" customHeight="1" ht="25.5" hidden="1">
      <c r="A29" s="1613"/>
      <c r="B29" s="1613"/>
      <c r="C29" s="1613"/>
      <c r="D29" s="1613"/>
      <c r="E29" s="1613"/>
      <c r="F29" s="1613"/>
      <c r="G29" s="1613"/>
      <c r="H29" s="1613"/>
      <c r="I29" s="1613"/>
      <c r="J29" s="1613"/>
      <c r="K29" s="1613"/>
      <c r="L29" s="1746"/>
      <c r="M29" s="1613"/>
      <c r="N29" s="1613"/>
      <c r="O29" s="1613"/>
      <c r="S29" s="2518" t="s">
        <v>38</v>
      </c>
      <c r="T29" s="2518"/>
      <c r="U29" s="1738"/>
      <c r="V29" s="2520" t="str">
        <f>IF(TITLE_NAME_OR_PR_CHANGE="",IF(TITLE_NAME_OR_PR="","",TITLE_NAME_OR_PR),TITLE_NAME_OR_PR_CHANGE)</f>
        <v>Комитет по ценам и тарифам по Московской области</v>
      </c>
      <c r="W29" s="2520"/>
      <c r="X29" s="2520"/>
      <c r="Y29" s="2520"/>
      <c r="Z29" s="2520"/>
      <c r="AA29" s="2520"/>
      <c r="AB29" s="2520"/>
      <c r="AC29" s="2001"/>
      <c r="AD29" s="2520" t="str">
        <f>IF(TITLE_NAME_OR_PR_CHANGE="",IF(TITLE_NAME_OR_PR="","",TITLE_NAME_OR_PR),TITLE_NAME_OR_PR_CHANGE)</f>
        <v>Комитет по ценам и тарифам по Московской области</v>
      </c>
      <c r="AE29" s="2520"/>
      <c r="AF29" s="2520"/>
      <c r="AG29" s="2520"/>
      <c r="AH29" s="2520"/>
      <c r="AI29" s="2520"/>
      <c r="AJ29" s="2520"/>
      <c r="AK29" s="2001"/>
      <c r="AL29" s="2001"/>
      <c r="AM29" s="641"/>
      <c r="AN29" s="729"/>
      <c r="AO29" s="729"/>
      <c r="AP29" s="729"/>
      <c r="AQ29" s="729"/>
      <c r="AR29" s="729"/>
    </row>
    <row s="19160" customFormat="1" customHeight="1" ht="18.75" hidden="1">
      <c r="A30" s="1613"/>
      <c r="B30" s="1613"/>
      <c r="C30" s="1613"/>
      <c r="D30" s="1613"/>
      <c r="E30" s="1613"/>
      <c r="F30" s="1613"/>
      <c r="G30" s="1613"/>
      <c r="H30" s="1613"/>
      <c r="I30" s="1613"/>
      <c r="J30" s="1613"/>
      <c r="K30" s="1613"/>
      <c r="L30" s="1746"/>
      <c r="M30" s="1613"/>
      <c r="N30" s="1613"/>
      <c r="O30" s="1613"/>
      <c r="S30" s="2518" t="s">
        <v>421</v>
      </c>
      <c r="T30" s="2518"/>
      <c r="U30" s="1738"/>
      <c r="V30" s="2519" t="str">
        <f>IF(TITLE_DATE_PR_CHANGE="",IF(TITLE_DATE_PR="","",TITLE_DATE_PR),TITLE_DATE_PR_CHANGE)</f>
        <v>45280.70914351852</v>
      </c>
      <c r="W30" s="2519"/>
      <c r="X30" s="2519"/>
      <c r="Y30" s="2519"/>
      <c r="Z30" s="2519"/>
      <c r="AA30" s="2519"/>
      <c r="AB30" s="2519"/>
      <c r="AC30" s="2001"/>
      <c r="AD30" s="2519" t="str">
        <f>IF(TITLE_DATE_PR_CHANGE="",IF(TITLE_DATE_PR="","",TITLE_DATE_PR),TITLE_DATE_PR_CHANGE)</f>
        <v>45280.70914351852</v>
      </c>
      <c r="AE30" s="2519"/>
      <c r="AF30" s="2519"/>
      <c r="AG30" s="2519"/>
      <c r="AH30" s="2519"/>
      <c r="AI30" s="2519"/>
      <c r="AJ30" s="2519"/>
      <c r="AK30" s="2001"/>
      <c r="AL30" s="2001"/>
      <c r="AM30" s="641"/>
      <c r="AN30" s="729"/>
      <c r="AO30" s="729"/>
      <c r="AP30" s="729"/>
      <c r="AQ30" s="729"/>
      <c r="AR30" s="729"/>
    </row>
    <row s="19160" customFormat="1" customHeight="1" ht="18.75" hidden="1">
      <c r="A31" s="1613"/>
      <c r="B31" s="1613"/>
      <c r="C31" s="1613"/>
      <c r="D31" s="1613"/>
      <c r="E31" s="1613"/>
      <c r="F31" s="1613"/>
      <c r="G31" s="1613"/>
      <c r="H31" s="1613"/>
      <c r="I31" s="1613"/>
      <c r="J31" s="1613"/>
      <c r="K31" s="1613"/>
      <c r="L31" s="1746"/>
      <c r="M31" s="1613"/>
      <c r="N31" s="1613"/>
      <c r="O31" s="1613"/>
      <c r="S31" s="2518" t="s">
        <v>422</v>
      </c>
      <c r="T31" s="2518"/>
      <c r="U31" s="1738"/>
      <c r="V31" s="2520" t="str">
        <f>IF(TITLE_NUMBER_PR_CHANGE="",IF(TITLE_NUMBER_PR="","",TITLE_NUMBER_PR),TITLE_NUMBER_PR_CHANGE)</f>
        <v>317-Р</v>
      </c>
      <c r="W31" s="2520"/>
      <c r="X31" s="2520"/>
      <c r="Y31" s="2520"/>
      <c r="Z31" s="2520"/>
      <c r="AA31" s="2520"/>
      <c r="AB31" s="2520"/>
      <c r="AC31" s="2001"/>
      <c r="AD31" s="2520" t="str">
        <f>IF(TITLE_NUMBER_PR_CHANGE="",IF(TITLE_NUMBER_PR="","",TITLE_NUMBER_PR),TITLE_NUMBER_PR_CHANGE)</f>
        <v>317-Р</v>
      </c>
      <c r="AE31" s="2520"/>
      <c r="AF31" s="2520"/>
      <c r="AG31" s="2520"/>
      <c r="AH31" s="2520"/>
      <c r="AI31" s="2520"/>
      <c r="AJ31" s="2520"/>
      <c r="AK31" s="2001"/>
      <c r="AL31" s="2001"/>
      <c r="AM31" s="641"/>
      <c r="AN31" s="729"/>
      <c r="AO31" s="729"/>
      <c r="AP31" s="729"/>
      <c r="AQ31" s="729"/>
      <c r="AR31" s="729"/>
    </row>
    <row s="19160" customFormat="1" customHeight="1" ht="18.75" hidden="1">
      <c r="A32" s="1613"/>
      <c r="B32" s="1613"/>
      <c r="C32" s="1613"/>
      <c r="D32" s="1613"/>
      <c r="E32" s="1613"/>
      <c r="F32" s="1613"/>
      <c r="G32" s="1613"/>
      <c r="H32" s="1613"/>
      <c r="I32" s="1613"/>
      <c r="J32" s="1613"/>
      <c r="K32" s="1613"/>
      <c r="L32" s="1746"/>
      <c r="M32" s="1613"/>
      <c r="N32" s="1613"/>
      <c r="O32" s="1613"/>
      <c r="S32" s="2518" t="s">
        <v>40</v>
      </c>
      <c r="T32" s="2518"/>
      <c r="U32" s="1738"/>
      <c r="V32"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520"/>
      <c r="X32" s="2520"/>
      <c r="Y32" s="2520"/>
      <c r="Z32" s="2520"/>
      <c r="AA32" s="2520"/>
      <c r="AB32" s="2520"/>
      <c r="AC32" s="2001"/>
      <c r="AD32"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520"/>
      <c r="AF32" s="2520"/>
      <c r="AG32" s="2520"/>
      <c r="AH32" s="2520"/>
      <c r="AI32" s="2520"/>
      <c r="AJ32" s="2520"/>
      <c r="AK32" s="2001"/>
      <c r="AL32" s="2001"/>
      <c r="AM32" s="641"/>
      <c r="AN32" s="729"/>
      <c r="AO32" s="729"/>
      <c r="AP32" s="729"/>
      <c r="AQ32" s="729"/>
      <c r="AR32" s="729"/>
    </row>
    <row customHeight="1" ht="14.25" hidden="1">
      <c r="Q33" s="737"/>
      <c r="R33" s="737"/>
      <c r="S33" s="1641"/>
      <c r="T33" s="818"/>
      <c r="U33" s="818"/>
      <c r="V33" s="683"/>
      <c r="W33" s="683"/>
      <c r="X33" s="683"/>
      <c r="Y33" s="683"/>
      <c r="Z33" s="683"/>
      <c r="AA33" s="683"/>
      <c r="AB33" s="683"/>
      <c r="AC33" s="683"/>
      <c r="AD33" s="683"/>
      <c r="AE33" s="683"/>
      <c r="AF33" s="683"/>
      <c r="AG33" s="683"/>
      <c r="AH33" s="683"/>
      <c r="AI33" s="683"/>
      <c r="AJ33" s="683"/>
      <c r="AK33" s="683"/>
      <c r="AL33" s="2001"/>
    </row>
    <row s="19160" customFormat="1" customHeight="1" ht="18.75" hidden="1">
      <c r="A34" s="1613"/>
      <c r="B34" s="1613"/>
      <c r="C34" s="1613"/>
      <c r="D34" s="1613"/>
      <c r="E34" s="1613"/>
      <c r="F34" s="1613"/>
      <c r="G34" s="1613"/>
      <c r="H34" s="1613"/>
      <c r="I34" s="1613"/>
      <c r="J34" s="1613"/>
      <c r="K34" s="1613"/>
      <c r="L34" s="1746"/>
      <c r="M34" s="1613"/>
      <c r="N34" s="1613"/>
      <c r="O34" s="1613"/>
      <c r="S34" s="2518" t="s">
        <v>423</v>
      </c>
      <c r="T34" s="2518"/>
      <c r="U34" s="1738"/>
      <c r="V34" s="2519" t="str">
        <f>IF(TITLE_DATE_PR_CHANGE="",IF(TITLE_DATE_PR="","",TITLE_DATE_PR),TITLE_DATE_PR_CHANGE)</f>
        <v>45280.70914351852</v>
      </c>
      <c r="W34" s="2519"/>
      <c r="X34" s="2519"/>
      <c r="Y34" s="2519"/>
      <c r="Z34" s="2519"/>
      <c r="AA34" s="2519"/>
      <c r="AB34" s="2519"/>
      <c r="AC34" s="2001"/>
      <c r="AD34" s="2519" t="str">
        <f>IF(TITLE_DATE_PR_CHANGE="",IF(TITLE_DATE_PR="","",TITLE_DATE_PR),TITLE_DATE_PR_CHANGE)</f>
        <v>45280.70914351852</v>
      </c>
      <c r="AE34" s="2519"/>
      <c r="AF34" s="2519"/>
      <c r="AG34" s="2519"/>
      <c r="AH34" s="2519"/>
      <c r="AI34" s="2519"/>
      <c r="AJ34" s="2519"/>
      <c r="AK34" s="2001"/>
      <c r="AL34" s="2001"/>
      <c r="AM34" s="641"/>
      <c r="AN34" s="729"/>
      <c r="AO34" s="729"/>
      <c r="AP34" s="729"/>
      <c r="AQ34" s="729"/>
      <c r="AR34" s="729"/>
    </row>
    <row s="19160" customFormat="1" customHeight="1" ht="18.75" hidden="1">
      <c r="A35" s="1613"/>
      <c r="B35" s="1613"/>
      <c r="C35" s="1613"/>
      <c r="D35" s="1613"/>
      <c r="E35" s="1613"/>
      <c r="F35" s="1613"/>
      <c r="G35" s="1613"/>
      <c r="H35" s="1613"/>
      <c r="I35" s="1613"/>
      <c r="J35" s="1613"/>
      <c r="K35" s="1613"/>
      <c r="L35" s="1746"/>
      <c r="M35" s="1613"/>
      <c r="N35" s="1613"/>
      <c r="O35" s="1613"/>
      <c r="S35" s="2518" t="s">
        <v>424</v>
      </c>
      <c r="T35" s="2518"/>
      <c r="U35" s="1738"/>
      <c r="V35" s="2520" t="str">
        <f>IF(TITLE_NUMBER_PR_CHANGE="",IF(TITLE_NUMBER_PR="","",TITLE_NUMBER_PR),TITLE_NUMBER_PR_CHANGE)</f>
        <v>317-Р</v>
      </c>
      <c r="W35" s="2520"/>
      <c r="X35" s="2520"/>
      <c r="Y35" s="2520"/>
      <c r="Z35" s="2520"/>
      <c r="AA35" s="2520"/>
      <c r="AB35" s="2520"/>
      <c r="AC35" s="2001"/>
      <c r="AD35" s="2520" t="str">
        <f>IF(TITLE_NUMBER_PR_CHANGE="",IF(TITLE_NUMBER_PR="","",TITLE_NUMBER_PR),TITLE_NUMBER_PR_CHANGE)</f>
        <v>317-Р</v>
      </c>
      <c r="AE35" s="2520"/>
      <c r="AF35" s="2520"/>
      <c r="AG35" s="2520"/>
      <c r="AH35" s="2520"/>
      <c r="AI35" s="2520"/>
      <c r="AJ35" s="2520"/>
      <c r="AK35" s="2001"/>
      <c r="AL35" s="2001"/>
      <c r="AM35" s="641"/>
      <c r="AN35" s="729"/>
      <c r="AO35" s="729"/>
      <c r="AP35" s="729"/>
      <c r="AQ35" s="729"/>
      <c r="AR35" s="729"/>
    </row>
    <row s="19160" customFormat="1" customHeight="1" ht="0">
      <c r="A36" s="1613"/>
      <c r="B36" s="1613"/>
      <c r="C36" s="1613"/>
      <c r="D36" s="1613"/>
      <c r="E36" s="1613"/>
      <c r="F36" s="1613"/>
      <c r="G36" s="1613"/>
      <c r="H36" s="1613"/>
      <c r="I36" s="1613"/>
      <c r="J36" s="1613"/>
      <c r="K36" s="1613"/>
      <c r="L36" s="1746"/>
      <c r="M36" s="1613"/>
      <c r="N36" s="1613"/>
      <c r="O36" s="1613"/>
      <c r="S36" s="2001"/>
      <c r="T36" s="2001"/>
      <c r="U36" s="2337"/>
      <c r="V36" s="2001"/>
      <c r="W36" s="2001"/>
      <c r="X36" s="2001"/>
      <c r="Y36" s="2001"/>
      <c r="Z36" s="2001"/>
      <c r="AA36" s="2001"/>
      <c r="AB36" s="2001"/>
      <c r="AC36" s="2008" t="s">
        <v>425</v>
      </c>
      <c r="AD36" s="2001"/>
      <c r="AE36" s="2001"/>
      <c r="AF36" s="2001"/>
      <c r="AG36" s="2001"/>
      <c r="AH36" s="2001"/>
      <c r="AI36" s="2001"/>
      <c r="AJ36" s="2001"/>
      <c r="AK36" s="2008" t="s">
        <v>425</v>
      </c>
      <c r="AN36" s="729"/>
      <c r="AO36" s="729"/>
      <c r="AP36" s="729"/>
      <c r="AQ36" s="729"/>
      <c r="AR36" s="729"/>
    </row>
    <row customHeight="1" ht="14.25">
      <c r="Q37" s="737"/>
      <c r="R37" s="737"/>
      <c r="S37" s="1641"/>
      <c r="T37" s="818"/>
      <c r="U37" s="1609"/>
      <c r="V37" s="2544"/>
      <c r="W37" s="2544"/>
      <c r="X37" s="2544"/>
      <c r="Y37" s="2544"/>
      <c r="Z37" s="2544"/>
      <c r="AA37" s="2544"/>
      <c r="AB37" s="2544"/>
      <c r="AC37" s="2544"/>
      <c r="AD37" s="2544"/>
      <c r="AE37" s="2544"/>
      <c r="AF37" s="2544"/>
      <c r="AG37" s="2544"/>
      <c r="AH37" s="2544"/>
      <c r="AI37" s="2544"/>
      <c r="AJ37" s="2544"/>
      <c r="AK37" s="2544"/>
    </row>
    <row customHeight="1" ht="14.25">
      <c r="Q38" s="737"/>
      <c r="R38" s="737"/>
      <c r="S38" s="2392" t="s">
        <v>300</v>
      </c>
      <c r="T38" s="2392"/>
      <c r="U38" s="2392"/>
      <c r="V38" s="2392"/>
      <c r="W38" s="2392"/>
      <c r="X38" s="2392"/>
      <c r="Y38" s="2392"/>
      <c r="Z38" s="2392"/>
      <c r="AA38" s="2392"/>
      <c r="AB38" s="2392"/>
      <c r="AC38" s="2392"/>
      <c r="AD38" s="2392"/>
      <c r="AE38" s="2392"/>
      <c r="AF38" s="2392"/>
      <c r="AG38" s="2392"/>
      <c r="AH38" s="2392"/>
      <c r="AI38" s="2392"/>
      <c r="AJ38" s="2392"/>
      <c r="AK38" s="2392"/>
      <c r="AL38" s="2392"/>
      <c r="AM38" s="2392" t="s">
        <v>301</v>
      </c>
    </row>
    <row customHeight="1" ht="14.25">
      <c r="Q39" s="737"/>
      <c r="R39" s="737"/>
      <c r="S39" s="2545" t="s">
        <v>85</v>
      </c>
      <c r="T39" s="2482" t="s">
        <v>426</v>
      </c>
      <c r="U39" s="698"/>
      <c r="V39" s="2546" t="s">
        <v>427</v>
      </c>
      <c r="W39" s="2547"/>
      <c r="X39" s="2547"/>
      <c r="Y39" s="2547"/>
      <c r="Z39" s="2547"/>
      <c r="AA39" s="2547"/>
      <c r="AB39" s="2548"/>
      <c r="AC39" s="2549" t="s">
        <v>428</v>
      </c>
      <c r="AD39" s="2546" t="s">
        <v>427</v>
      </c>
      <c r="AE39" s="2547"/>
      <c r="AF39" s="2547"/>
      <c r="AG39" s="2547"/>
      <c r="AH39" s="2547"/>
      <c r="AI39" s="2547"/>
      <c r="AJ39" s="2548"/>
      <c r="AK39" s="2549" t="s">
        <v>429</v>
      </c>
      <c r="AL39" s="2552" t="s">
        <v>430</v>
      </c>
      <c r="AM39" s="2392"/>
    </row>
    <row customHeight="1" ht="33.75">
      <c r="Q40" s="737"/>
      <c r="R40" s="737"/>
      <c r="S40" s="2545"/>
      <c r="T40" s="2482"/>
      <c r="U40" s="1393"/>
      <c r="V40" s="2555" t="s">
        <v>431</v>
      </c>
      <c r="W40" s="2536" t="s">
        <v>432</v>
      </c>
      <c r="X40" s="2538" t="s">
        <v>433</v>
      </c>
      <c r="Y40" s="2540"/>
      <c r="Z40" s="2538" t="s">
        <v>446</v>
      </c>
      <c r="AA40" s="2539"/>
      <c r="AB40" s="2540"/>
      <c r="AC40" s="2550"/>
      <c r="AD40" s="2555" t="s">
        <v>431</v>
      </c>
      <c r="AE40" s="2536" t="s">
        <v>432</v>
      </c>
      <c r="AF40" s="2538" t="s">
        <v>433</v>
      </c>
      <c r="AG40" s="2540"/>
      <c r="AH40" s="2538" t="s">
        <v>434</v>
      </c>
      <c r="AI40" s="2539"/>
      <c r="AJ40" s="2540"/>
      <c r="AK40" s="2550"/>
      <c r="AL40" s="2553"/>
      <c r="AM40" s="2392"/>
    </row>
    <row customHeight="1" ht="33.75">
      <c r="A41" s="1632"/>
      <c r="B41" s="1632" t="s">
        <v>132</v>
      </c>
      <c r="C41" s="1632" t="s">
        <v>133</v>
      </c>
      <c r="D41" s="1632" t="s">
        <v>134</v>
      </c>
      <c r="E41" s="1676" t="s">
        <v>435</v>
      </c>
      <c r="F41" s="1676" t="s">
        <v>436</v>
      </c>
      <c r="G41" s="1676" t="s">
        <v>437</v>
      </c>
      <c r="H41" s="1676" t="s">
        <v>438</v>
      </c>
      <c r="I41" s="1676" t="s">
        <v>439</v>
      </c>
      <c r="J41" s="1676" t="s">
        <v>440</v>
      </c>
      <c r="K41" s="1676" t="s">
        <v>441</v>
      </c>
      <c r="L41" s="1676" t="s">
        <v>416</v>
      </c>
      <c r="Q41" s="737"/>
      <c r="R41" s="737"/>
      <c r="S41" s="2545"/>
      <c r="T41" s="2482"/>
      <c r="U41" s="663"/>
      <c r="V41" s="2556"/>
      <c r="W41" s="2537"/>
      <c r="X41" s="2305" t="s">
        <v>442</v>
      </c>
      <c r="Y41" s="2305" t="s">
        <v>443</v>
      </c>
      <c r="Z41" s="2305" t="s">
        <v>444</v>
      </c>
      <c r="AA41" s="2541" t="s">
        <v>445</v>
      </c>
      <c r="AB41" s="2542"/>
      <c r="AC41" s="2551"/>
      <c r="AD41" s="2556"/>
      <c r="AE41" s="2537"/>
      <c r="AF41" s="2305" t="s">
        <v>442</v>
      </c>
      <c r="AG41" s="2305" t="s">
        <v>443</v>
      </c>
      <c r="AH41" s="2305" t="s">
        <v>444</v>
      </c>
      <c r="AI41" s="2541" t="s">
        <v>445</v>
      </c>
      <c r="AJ41" s="2542"/>
      <c r="AK41" s="2551"/>
      <c r="AL41" s="2554"/>
      <c r="AM41" s="2392"/>
    </row>
    <row s="19269" customFormat="1" customHeight="1" ht="11.25" hidden="1">
      <c r="A42" s="1632"/>
      <c r="B42" s="1632"/>
      <c r="C42" s="1632"/>
      <c r="D42" s="1632"/>
      <c r="E42" s="1632"/>
      <c r="F42" s="1632"/>
      <c r="G42" s="1632"/>
      <c r="H42" s="1632"/>
      <c r="I42" s="1632"/>
      <c r="J42" s="1632"/>
      <c r="K42" s="1632"/>
      <c r="L42" s="1676"/>
      <c r="M42" s="2332"/>
      <c r="N42" s="2332"/>
      <c r="O42" s="2332"/>
      <c r="P42" s="1611"/>
      <c r="Q42" s="1612"/>
      <c r="R42" s="1619">
        <v>1</v>
      </c>
      <c r="S42" s="1643" t="s">
        <v>106</v>
      </c>
      <c r="T42" s="1620" t="s">
        <v>107</v>
      </c>
      <c r="U42" s="1610" t="str">
        <f>OFFSET(U42,0,-1)</f>
        <v>2</v>
      </c>
      <c r="V42" s="2323">
        <f>OFFSET(V42,0,-1)+1</f>
        <v>3</v>
      </c>
      <c r="W42" s="2323"/>
      <c r="X42" s="2323">
        <f>OFFSET(X42,0,-1)+1</f>
        <v>1</v>
      </c>
      <c r="Y42" s="2323">
        <f>OFFSET(Y42,0,-1)+1</f>
        <v>2</v>
      </c>
      <c r="Z42" s="2323">
        <f>OFFSET(Z42,0,-1)+1</f>
        <v>3</v>
      </c>
      <c r="AA42" s="2543">
        <f>OFFSET(AA42,0,-1)+1</f>
        <v>4</v>
      </c>
      <c r="AB42" s="2543"/>
      <c r="AC42" s="2323">
        <f>OFFSET(AC42,0,-2)+1</f>
        <v>5</v>
      </c>
      <c r="AD42" s="2323">
        <f>OFFSET(AD42,0,-1)+1</f>
        <v>6</v>
      </c>
      <c r="AE42" s="2323"/>
      <c r="AF42" s="2323">
        <f>OFFSET(AF42,0,-1)+1</f>
        <v>1</v>
      </c>
      <c r="AG42" s="2323">
        <f>OFFSET(AG42,0,-1)+1</f>
        <v>2</v>
      </c>
      <c r="AH42" s="2323">
        <f>OFFSET(AH42,0,-1)+1</f>
        <v>3</v>
      </c>
      <c r="AI42" s="2543">
        <f>OFFSET(AI42,0,-1)+1</f>
        <v>4</v>
      </c>
      <c r="AJ42" s="2543"/>
      <c r="AK42" s="2323">
        <f>OFFSET(AK42,0,-2)+1</f>
        <v>5</v>
      </c>
      <c r="AL42" s="1610">
        <f>OFFSET(AL42,0,-1)</f>
        <v>5</v>
      </c>
      <c r="AM42" s="2323">
        <f>OFFSET(AM42,0,-1)+1</f>
        <v>6</v>
      </c>
      <c r="AN42" s="2002"/>
      <c r="AO42" s="2002"/>
      <c r="AP42" s="2002"/>
      <c r="AQ42" s="2002"/>
      <c r="AR42" s="2002"/>
    </row>
    <row customHeight="1" ht="21">
      <c r="A43" s="1633" t="s">
        <v>207</v>
      </c>
      <c r="B43" s="1633"/>
      <c r="C43" s="1633"/>
      <c r="D43" s="1633"/>
      <c r="E43" s="2562">
        <v>1</v>
      </c>
      <c r="F43" s="1633"/>
      <c r="G43" s="1633"/>
      <c r="H43" s="1633"/>
      <c r="I43" s="1633"/>
      <c r="J43" s="1633"/>
      <c r="K43" s="1633"/>
      <c r="L43" s="1676"/>
      <c r="M43" s="1976"/>
      <c r="N43" s="1976"/>
      <c r="O43" s="1976"/>
      <c r="P43" s="1956"/>
      <c r="Q43" s="721"/>
      <c r="R43" s="716"/>
      <c r="S43" s="2325">
        <f>INDEX(PT_DIFFERENTIATION_NUM_NTAR,MATCH(A43,PT_DIFFERENTIATION_NTAR_ID,0))</f>
        <v>0</v>
      </c>
      <c r="T43" s="1891" t="s">
        <v>120</v>
      </c>
      <c r="U43" s="661"/>
      <c r="V43" s="2521"/>
      <c r="W43" s="2522"/>
      <c r="X43" s="2522"/>
      <c r="Y43" s="2522"/>
      <c r="Z43" s="2522"/>
      <c r="AA43" s="2522"/>
      <c r="AB43" s="2522"/>
      <c r="AC43" s="2523"/>
      <c r="AD43" s="2521" t="str">
        <f>INDEX(PT_DIFFERENTIATION_NTAR,MATCH(A43,PT_DIFFERENTIATION_NTAR_ID,0))</f>
        <v/>
      </c>
      <c r="AE43" s="2522"/>
      <c r="AF43" s="2522"/>
      <c r="AG43" s="2522"/>
      <c r="AH43" s="2522"/>
      <c r="AI43" s="2522"/>
      <c r="AJ43" s="2522"/>
      <c r="AK43" s="2522"/>
      <c r="AL43" s="2523"/>
      <c r="AM43" s="162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990"/>
      <c r="AP43" s="1990" t="str">
        <f>IF(T43="","",T43)</f>
        <v>Наименование тарифа</v>
      </c>
      <c r="AQ43" s="1990"/>
      <c r="AR43" s="1990"/>
    </row>
    <row customHeight="1" ht="21">
      <c r="A44" s="1633" t="s">
        <v>207</v>
      </c>
      <c r="B44" s="1633" t="s">
        <v>208</v>
      </c>
      <c r="C44" s="1633"/>
      <c r="D44" s="1633"/>
      <c r="E44" s="2563"/>
      <c r="F44" s="2562">
        <v>1</v>
      </c>
      <c r="G44" s="1633"/>
      <c r="H44" s="1633"/>
      <c r="I44" s="1633"/>
      <c r="J44" s="1633"/>
      <c r="K44" s="1633"/>
      <c r="L44" s="1676"/>
      <c r="M44" s="1976"/>
      <c r="N44" s="1976"/>
      <c r="O44" s="1976"/>
      <c r="P44" s="2307"/>
      <c r="Q44" s="713"/>
      <c r="R44" s="714"/>
      <c r="S44" s="2325" t="str">
        <f>INDEX(PT_DIFFERENTIATION_NUM_TER,MATCH(B44,PT_DIFFERENTIATION_TER_ID,0))</f>
        <v>.</v>
      </c>
      <c r="T44" s="1888" t="s">
        <v>397</v>
      </c>
      <c r="U44" s="661"/>
      <c r="V44" s="2521"/>
      <c r="W44" s="2522"/>
      <c r="X44" s="2522"/>
      <c r="Y44" s="2522"/>
      <c r="Z44" s="2522"/>
      <c r="AA44" s="2522"/>
      <c r="AB44" s="2522"/>
      <c r="AC44" s="2523"/>
      <c r="AD44" s="2521" t="str">
        <f>INDEX(PT_DIFFERENTIATION_TER,MATCH(B44,PT_DIFFERENTIATION_TER_ID,0))</f>
        <v/>
      </c>
      <c r="AE44" s="2522"/>
      <c r="AF44" s="2522"/>
      <c r="AG44" s="2522"/>
      <c r="AH44" s="2522"/>
      <c r="AI44" s="2522"/>
      <c r="AJ44" s="2522"/>
      <c r="AK44" s="2522"/>
      <c r="AL44" s="2523"/>
      <c r="AM44" s="1623" t="s">
        <v>398</v>
      </c>
      <c r="AO44" s="1990"/>
      <c r="AP44" s="1990" t="str">
        <f>IF(T44="","",T44)</f>
        <v>Территория действия тарифа</v>
      </c>
      <c r="AQ44" s="1990"/>
      <c r="AR44" s="1990"/>
    </row>
    <row customHeight="1" ht="23.25">
      <c r="A45" s="1633" t="s">
        <v>207</v>
      </c>
      <c r="B45" s="1633" t="s">
        <v>208</v>
      </c>
      <c r="C45" s="1633" t="s">
        <v>209</v>
      </c>
      <c r="D45" s="1633"/>
      <c r="E45" s="2563"/>
      <c r="F45" s="2563"/>
      <c r="G45" s="2562">
        <v>1</v>
      </c>
      <c r="H45" s="1633"/>
      <c r="I45" s="1633"/>
      <c r="J45" s="1633"/>
      <c r="K45" s="1633"/>
      <c r="L45" s="1676"/>
      <c r="M45" s="1976"/>
      <c r="N45" s="1976"/>
      <c r="O45" s="1976"/>
      <c r="P45" s="715"/>
      <c r="Q45" s="713"/>
      <c r="R45" s="714"/>
      <c r="S45" s="2325" t="str">
        <f>INDEX(PT_DIFFERENTIATION_NUM_CS,MATCH(C45,PT_DIFFERENTIATION_CS_ID,0))</f>
        <v>..</v>
      </c>
      <c r="T45" s="670" t="s">
        <v>399</v>
      </c>
      <c r="U45" s="661"/>
      <c r="V45" s="2521"/>
      <c r="W45" s="2522"/>
      <c r="X45" s="2522"/>
      <c r="Y45" s="2522"/>
      <c r="Z45" s="2522"/>
      <c r="AA45" s="2522"/>
      <c r="AB45" s="2522"/>
      <c r="AC45" s="2523"/>
      <c r="AD45" s="2521" t="str">
        <f>INDEX(PT_DIFFERENTIATION_CS,MATCH(C45,PT_DIFFERENTIATION_CS_ID,0))</f>
        <v/>
      </c>
      <c r="AE45" s="2522"/>
      <c r="AF45" s="2522"/>
      <c r="AG45" s="2522"/>
      <c r="AH45" s="2522"/>
      <c r="AI45" s="2522"/>
      <c r="AJ45" s="2522"/>
      <c r="AK45" s="2522"/>
      <c r="AL45" s="2523"/>
      <c r="AM45" s="1623" t="s">
        <v>400</v>
      </c>
      <c r="AO45" s="1990"/>
      <c r="AP45" s="1990" t="str">
        <f>IF(T45="","",T45)</f>
        <v>Наименование системы теплоснабжения </v>
      </c>
      <c r="AQ45" s="1990"/>
      <c r="AR45" s="1990"/>
    </row>
    <row customHeight="1" ht="21">
      <c r="A46" s="1633" t="s">
        <v>207</v>
      </c>
      <c r="B46" s="1633" t="s">
        <v>208</v>
      </c>
      <c r="C46" s="1633" t="s">
        <v>209</v>
      </c>
      <c r="D46" s="1633" t="s">
        <v>210</v>
      </c>
      <c r="E46" s="2563"/>
      <c r="F46" s="2563"/>
      <c r="G46" s="2563"/>
      <c r="H46" s="2562">
        <v>1</v>
      </c>
      <c r="I46" s="1633"/>
      <c r="J46" s="1633"/>
      <c r="K46" s="1633"/>
      <c r="L46" s="1676"/>
      <c r="M46" s="1976"/>
      <c r="N46" s="1976"/>
      <c r="O46" s="1976"/>
      <c r="P46" s="715"/>
      <c r="Q46" s="713"/>
      <c r="R46" s="714"/>
      <c r="S46" s="2325" t="str">
        <f>INDEX(PT_DIFFERENTIATION_NUM_IST_TE,MATCH(D46,PT_DIFFERENTIATION_IST_TE_ID,0))</f>
        <v>...</v>
      </c>
      <c r="T46" s="671" t="s">
        <v>401</v>
      </c>
      <c r="U46" s="661"/>
      <c r="V46" s="2521"/>
      <c r="W46" s="2522"/>
      <c r="X46" s="2522"/>
      <c r="Y46" s="2522"/>
      <c r="Z46" s="2522"/>
      <c r="AA46" s="2522"/>
      <c r="AB46" s="2522"/>
      <c r="AC46" s="2523"/>
      <c r="AD46" s="2521" t="str">
        <f>INDEX(PT_DIFFERENTIATION_IST_TE,MATCH(D46,PT_DIFFERENTIATION_IST_TE_ID,0))</f>
        <v/>
      </c>
      <c r="AE46" s="2522"/>
      <c r="AF46" s="2522"/>
      <c r="AG46" s="2522"/>
      <c r="AH46" s="2522"/>
      <c r="AI46" s="2522"/>
      <c r="AJ46" s="2522"/>
      <c r="AK46" s="2522"/>
      <c r="AL46" s="2523"/>
      <c r="AM46" s="1623" t="s">
        <v>402</v>
      </c>
      <c r="AO46" s="1990"/>
      <c r="AP46" s="1990" t="str">
        <f>IF(T46="","",T46)</f>
        <v>Источник тепловой энергии  </v>
      </c>
      <c r="AQ46" s="1990"/>
      <c r="AR46" s="1990"/>
    </row>
    <row customHeight="1" ht="47.25">
      <c r="A47" s="1633" t="s">
        <v>207</v>
      </c>
      <c r="B47" s="1633" t="s">
        <v>208</v>
      </c>
      <c r="C47" s="1633" t="s">
        <v>209</v>
      </c>
      <c r="D47" s="1633" t="s">
        <v>210</v>
      </c>
      <c r="E47" s="2563"/>
      <c r="F47" s="2563"/>
      <c r="G47" s="2563"/>
      <c r="H47" s="2563"/>
      <c r="I47" s="2392" t="str">
        <f>S46&amp;".1"</f>
        <v>....1</v>
      </c>
      <c r="J47" s="1633"/>
      <c r="K47" s="1633"/>
      <c r="L47" s="1676" t="s">
        <v>403</v>
      </c>
      <c r="P47" s="2531">
        <v>1</v>
      </c>
      <c r="Q47" s="2321"/>
      <c r="R47" s="717"/>
      <c r="S47" s="2325" t="str">
        <f>$I47</f>
        <v>....1</v>
      </c>
      <c r="T47" s="646" t="s">
        <v>404</v>
      </c>
      <c r="U47" s="661"/>
      <c r="V47" s="2515"/>
      <c r="W47" s="2516"/>
      <c r="X47" s="2516"/>
      <c r="Y47" s="2516"/>
      <c r="Z47" s="2516"/>
      <c r="AA47" s="2516"/>
      <c r="AB47" s="2516"/>
      <c r="AC47" s="2517"/>
      <c r="AD47" s="2515"/>
      <c r="AE47" s="2516"/>
      <c r="AF47" s="2516"/>
      <c r="AG47" s="2516"/>
      <c r="AH47" s="2516"/>
      <c r="AI47" s="2516"/>
      <c r="AJ47" s="2516"/>
      <c r="AK47" s="2516"/>
      <c r="AL47" s="2517"/>
      <c r="AM47" s="1623" t="s">
        <v>405</v>
      </c>
      <c r="AO47" s="1990"/>
      <c r="AP47" s="1990" t="str">
        <f>IF(T47="","",T47)</f>
        <v>Схема подключения теплопотребляющей установки к коллектору источника тепловой энергии</v>
      </c>
      <c r="AQ47" s="1990"/>
      <c r="AR47" s="1990"/>
    </row>
    <row customHeight="1" ht="21">
      <c r="A48" s="1633" t="s">
        <v>207</v>
      </c>
      <c r="B48" s="1633" t="s">
        <v>208</v>
      </c>
      <c r="C48" s="1633" t="s">
        <v>209</v>
      </c>
      <c r="D48" s="1633" t="s">
        <v>210</v>
      </c>
      <c r="E48" s="2563"/>
      <c r="F48" s="2563"/>
      <c r="G48" s="2563"/>
      <c r="H48" s="2563"/>
      <c r="I48" s="2376"/>
      <c r="J48" s="2392" t="str">
        <f>I47&amp;".1"</f>
        <v>....1.1</v>
      </c>
      <c r="K48" s="1633"/>
      <c r="L48" s="1676" t="s">
        <v>406</v>
      </c>
      <c r="P48" s="2531"/>
      <c r="Q48" s="2531">
        <v>1</v>
      </c>
      <c r="R48" s="718"/>
      <c r="S48" s="2325" t="str">
        <f>$J48</f>
        <v>....1.1</v>
      </c>
      <c r="T48" s="647" t="s">
        <v>407</v>
      </c>
      <c r="U48" s="661"/>
      <c r="V48" s="2515"/>
      <c r="W48" s="2516"/>
      <c r="X48" s="2516"/>
      <c r="Y48" s="2516"/>
      <c r="Z48" s="2516"/>
      <c r="AA48" s="2516"/>
      <c r="AB48" s="2516"/>
      <c r="AC48" s="2517"/>
      <c r="AD48" s="2515"/>
      <c r="AE48" s="2516"/>
      <c r="AF48" s="2516"/>
      <c r="AG48" s="2516"/>
      <c r="AH48" s="2516"/>
      <c r="AI48" s="2516"/>
      <c r="AJ48" s="2516"/>
      <c r="AK48" s="2516"/>
      <c r="AL48" s="2517"/>
      <c r="AM48" s="1623" t="s">
        <v>408</v>
      </c>
      <c r="AO48" s="1990"/>
      <c r="AP48" s="1990" t="str">
        <f>IF(T48="","",T48)</f>
        <v>Группа потребителей</v>
      </c>
      <c r="AQ48" s="1990"/>
      <c r="AR48" s="1990"/>
    </row>
    <row customHeight="1" ht="21">
      <c r="A49" s="1633" t="s">
        <v>207</v>
      </c>
      <c r="B49" s="1633" t="s">
        <v>208</v>
      </c>
      <c r="C49" s="1633" t="s">
        <v>209</v>
      </c>
      <c r="D49" s="1633" t="s">
        <v>210</v>
      </c>
      <c r="E49" s="2563"/>
      <c r="F49" s="2563"/>
      <c r="G49" s="2563"/>
      <c r="H49" s="2563"/>
      <c r="I49" s="2376"/>
      <c r="J49" s="2376"/>
      <c r="K49" s="2392" t="str">
        <f>J48&amp;".1"</f>
        <v>....1.1.1</v>
      </c>
      <c r="L49" s="1676" t="s">
        <v>409</v>
      </c>
      <c r="P49" s="2531"/>
      <c r="Q49" s="2531"/>
      <c r="R49" s="718">
        <v>1</v>
      </c>
      <c r="S49" s="2325" t="str">
        <f>$K49</f>
        <v>....1.1.1</v>
      </c>
      <c r="T49" s="1713"/>
      <c r="U49" s="661"/>
      <c r="V49" s="1112"/>
      <c r="W49" s="686"/>
      <c r="X49" s="1112"/>
      <c r="Y49" s="1622"/>
      <c r="Z49" s="2532"/>
      <c r="AA49" s="2402" t="s">
        <v>59</v>
      </c>
      <c r="AB49" s="2532"/>
      <c r="AC49" s="2402" t="s">
        <v>59</v>
      </c>
      <c r="AD49" s="1112"/>
      <c r="AE49" s="686"/>
      <c r="AF49" s="1112"/>
      <c r="AG49" s="1622"/>
      <c r="AH49" s="2532"/>
      <c r="AI49" s="2402" t="s">
        <v>59</v>
      </c>
      <c r="AJ49" s="2534"/>
      <c r="AK49" s="2402" t="s">
        <v>59</v>
      </c>
      <c r="AL49" s="1714"/>
      <c r="AM49" s="2557" t="s">
        <v>410</v>
      </c>
      <c r="AN49" s="2002">
        <f>STRCHECKDATE(V50:AL50)</f>
      </c>
      <c r="AO49" s="1990"/>
      <c r="AP49" s="1990" t="str">
        <f>IF(T49="","",T49)</f>
        <v/>
      </c>
      <c r="AQ49" s="1990"/>
      <c r="AR49" s="1990"/>
    </row>
    <row customHeight="1" ht="0.75">
      <c r="A50" s="1633" t="s">
        <v>207</v>
      </c>
      <c r="B50" s="1633" t="s">
        <v>208</v>
      </c>
      <c r="C50" s="1633" t="s">
        <v>209</v>
      </c>
      <c r="D50" s="1633" t="s">
        <v>210</v>
      </c>
      <c r="E50" s="2563"/>
      <c r="F50" s="2563"/>
      <c r="G50" s="2563"/>
      <c r="H50" s="2563"/>
      <c r="I50" s="2376"/>
      <c r="J50" s="2376"/>
      <c r="K50" s="2392"/>
      <c r="L50" s="1676"/>
      <c r="P50" s="2531"/>
      <c r="Q50" s="2531"/>
      <c r="R50" s="718"/>
      <c r="S50" s="2334"/>
      <c r="T50" s="661"/>
      <c r="U50" s="661"/>
      <c r="V50" s="686"/>
      <c r="W50" s="686"/>
      <c r="X50" s="686"/>
      <c r="Y50" s="689" t="str">
        <f>Z49&amp;"-"&amp;AB49</f>
        <v>-</v>
      </c>
      <c r="Z50" s="2533"/>
      <c r="AA50" s="2402"/>
      <c r="AB50" s="2533"/>
      <c r="AC50" s="2402"/>
      <c r="AD50" s="686"/>
      <c r="AE50" s="686"/>
      <c r="AF50" s="686"/>
      <c r="AG50" s="689" t="str">
        <f>AH49&amp;"-"&amp;AJ49</f>
        <v>-</v>
      </c>
      <c r="AH50" s="2533"/>
      <c r="AI50" s="2402"/>
      <c r="AJ50" s="2535"/>
      <c r="AK50" s="2402"/>
      <c r="AL50" s="1715"/>
      <c r="AM50" s="2558"/>
      <c r="AO50" s="1990"/>
      <c r="AP50" s="1990" t="str">
        <f>IF(T50="","",T50)</f>
        <v/>
      </c>
      <c r="AQ50" s="1990"/>
      <c r="AR50" s="1990"/>
    </row>
    <row customHeight="1" ht="11.25">
      <c r="A51" s="1633" t="s">
        <v>207</v>
      </c>
      <c r="B51" s="1633" t="s">
        <v>208</v>
      </c>
      <c r="C51" s="1633" t="s">
        <v>209</v>
      </c>
      <c r="D51" s="1633" t="s">
        <v>210</v>
      </c>
      <c r="E51" s="2563"/>
      <c r="F51" s="2563"/>
      <c r="G51" s="2563"/>
      <c r="H51" s="2563"/>
      <c r="I51" s="2376"/>
      <c r="J51" s="2392"/>
      <c r="K51" s="1633"/>
      <c r="L51" s="1676"/>
      <c r="P51" s="2531"/>
      <c r="Q51" s="2531"/>
      <c r="R51" s="717"/>
      <c r="S51" s="1644"/>
      <c r="T51" s="649" t="s">
        <v>411</v>
      </c>
      <c r="U51" s="961"/>
      <c r="V51" s="961"/>
      <c r="W51" s="961"/>
      <c r="X51" s="961"/>
      <c r="Y51" s="961"/>
      <c r="Z51" s="961"/>
      <c r="AA51" s="961"/>
      <c r="AB51" s="961"/>
      <c r="AC51" s="961"/>
      <c r="AD51" s="961"/>
      <c r="AE51" s="961"/>
      <c r="AF51" s="961"/>
      <c r="AG51" s="961"/>
      <c r="AH51" s="961"/>
      <c r="AI51" s="961"/>
      <c r="AJ51" s="961"/>
      <c r="AK51" s="961"/>
      <c r="AL51" s="685"/>
      <c r="AM51" s="2559"/>
      <c r="AO51" s="1990"/>
      <c r="AP51" s="1990" t="str">
        <f>IF(T51="","",T51)</f>
        <v>Добавить вид теплоносителя (параметры теплоносителя)</v>
      </c>
      <c r="AQ51" s="1990"/>
      <c r="AR51" s="1990"/>
    </row>
    <row customHeight="1" ht="11.25">
      <c r="A52" s="1633" t="s">
        <v>207</v>
      </c>
      <c r="B52" s="1633" t="s">
        <v>208</v>
      </c>
      <c r="C52" s="1633" t="s">
        <v>209</v>
      </c>
      <c r="D52" s="1633" t="s">
        <v>210</v>
      </c>
      <c r="E52" s="2563"/>
      <c r="F52" s="2563"/>
      <c r="G52" s="2563"/>
      <c r="H52" s="2563"/>
      <c r="I52" s="2392"/>
      <c r="J52" s="1633"/>
      <c r="K52" s="1633"/>
      <c r="L52" s="1676"/>
      <c r="P52" s="2531"/>
      <c r="Q52" s="2321"/>
      <c r="R52" s="717"/>
      <c r="S52" s="1644"/>
      <c r="T52" s="648" t="s">
        <v>412</v>
      </c>
      <c r="U52" s="961"/>
      <c r="V52" s="961"/>
      <c r="W52" s="961"/>
      <c r="X52" s="961"/>
      <c r="Y52" s="961"/>
      <c r="Z52" s="961"/>
      <c r="AA52" s="961"/>
      <c r="AB52" s="961"/>
      <c r="AC52" s="727"/>
      <c r="AD52" s="961"/>
      <c r="AE52" s="961"/>
      <c r="AF52" s="961"/>
      <c r="AG52" s="961"/>
      <c r="AH52" s="961"/>
      <c r="AI52" s="961"/>
      <c r="AJ52" s="961"/>
      <c r="AK52" s="727"/>
      <c r="AL52" s="961"/>
      <c r="AM52" s="664"/>
      <c r="AO52" s="1990"/>
      <c r="AP52" s="1990" t="str">
        <f>IF(T52="","",T52)</f>
        <v>Добавить группу потребителей</v>
      </c>
      <c r="AQ52" s="1990"/>
      <c r="AR52" s="1990"/>
    </row>
    <row customHeight="1" ht="14.25">
      <c r="A53" s="1633" t="s">
        <v>207</v>
      </c>
      <c r="B53" s="1633" t="s">
        <v>208</v>
      </c>
      <c r="C53" s="1633" t="s">
        <v>209</v>
      </c>
      <c r="D53" s="1633" t="s">
        <v>210</v>
      </c>
      <c r="E53" s="2563"/>
      <c r="F53" s="2563"/>
      <c r="G53" s="2563"/>
      <c r="H53" s="2562"/>
      <c r="I53" s="1633"/>
      <c r="J53" s="1633"/>
      <c r="K53" s="1633"/>
      <c r="L53" s="1676"/>
      <c r="M53" s="1976"/>
      <c r="N53" s="1976"/>
      <c r="O53" s="2001"/>
      <c r="P53" s="721"/>
      <c r="Q53" s="736"/>
      <c r="R53" s="716"/>
      <c r="S53" s="1644"/>
      <c r="T53" s="726" t="s">
        <v>413</v>
      </c>
      <c r="U53" s="961"/>
      <c r="V53" s="961"/>
      <c r="W53" s="961"/>
      <c r="X53" s="961"/>
      <c r="Y53" s="961"/>
      <c r="Z53" s="961"/>
      <c r="AA53" s="961"/>
      <c r="AB53" s="961"/>
      <c r="AC53" s="727"/>
      <c r="AD53" s="961"/>
      <c r="AE53" s="961"/>
      <c r="AF53" s="961"/>
      <c r="AG53" s="961"/>
      <c r="AH53" s="961"/>
      <c r="AI53" s="961"/>
      <c r="AJ53" s="961"/>
      <c r="AK53" s="727"/>
      <c r="AL53" s="961"/>
      <c r="AM53" s="664"/>
      <c r="AO53" s="1990"/>
      <c r="AP53" s="1990" t="str">
        <f>IF(T53="","",T53)</f>
        <v>Добавить схему подключения</v>
      </c>
      <c r="AQ53" s="1990"/>
      <c r="AR53" s="1990"/>
    </row>
    <row s="19252" customFormat="1" customHeight="1" ht="0.75">
      <c r="A54" s="1633" t="s">
        <v>207</v>
      </c>
      <c r="B54" s="1633" t="s">
        <v>208</v>
      </c>
      <c r="C54" s="1633" t="s">
        <v>209</v>
      </c>
      <c r="D54" s="2342"/>
      <c r="E54" s="2563"/>
      <c r="F54" s="2563"/>
      <c r="G54" s="2562"/>
      <c r="H54" s="2342"/>
      <c r="I54" s="2342"/>
      <c r="J54" s="2342"/>
      <c r="K54" s="2342"/>
      <c r="L54" s="1746"/>
      <c r="M54" s="1976"/>
      <c r="N54" s="1976"/>
      <c r="O54" s="2001"/>
      <c r="P54" s="1682"/>
      <c r="Q54" s="1683"/>
      <c r="R54" s="1682"/>
      <c r="S54" s="1688"/>
      <c r="T54" s="1691" t="s">
        <v>414</v>
      </c>
      <c r="U54" s="1690"/>
      <c r="V54" s="1690"/>
      <c r="W54" s="1690"/>
      <c r="X54" s="1690"/>
      <c r="Y54" s="1690"/>
      <c r="Z54" s="1690"/>
      <c r="AA54" s="1690"/>
      <c r="AB54" s="1690"/>
      <c r="AC54" s="1690"/>
      <c r="AD54" s="1690"/>
      <c r="AE54" s="1690"/>
      <c r="AF54" s="1690"/>
      <c r="AG54" s="1690"/>
      <c r="AH54" s="1690"/>
      <c r="AI54" s="1690"/>
      <c r="AJ54" s="1690"/>
      <c r="AK54" s="1690"/>
      <c r="AL54" s="1690"/>
      <c r="AM54" s="1690"/>
      <c r="AO54" s="1616"/>
      <c r="AP54" s="1616" t="str">
        <f>IF(T54="","",T54)</f>
        <v>Добавить источник для дифференциации</v>
      </c>
      <c r="AQ54" s="1616"/>
      <c r="AR54" s="1616"/>
    </row>
    <row s="19252" customFormat="1" customHeight="1" ht="0.75">
      <c r="A55" s="1633" t="s">
        <v>207</v>
      </c>
      <c r="B55" s="1633" t="s">
        <v>208</v>
      </c>
      <c r="C55" s="2342"/>
      <c r="D55" s="2342"/>
      <c r="E55" s="2563"/>
      <c r="F55" s="2562"/>
      <c r="G55" s="2342"/>
      <c r="H55" s="2342"/>
      <c r="I55" s="2342"/>
      <c r="J55" s="2342"/>
      <c r="K55" s="2342"/>
      <c r="L55" s="1746"/>
      <c r="M55" s="2343"/>
      <c r="N55" s="2343"/>
      <c r="O55" s="2001"/>
      <c r="P55" s="1682"/>
      <c r="Q55" s="1683"/>
      <c r="R55" s="1682"/>
      <c r="S55" s="1688"/>
      <c r="T55" s="1691" t="s">
        <v>251</v>
      </c>
      <c r="U55" s="1690"/>
      <c r="V55" s="1690"/>
      <c r="W55" s="1690"/>
      <c r="X55" s="1690"/>
      <c r="Y55" s="1690"/>
      <c r="Z55" s="1690"/>
      <c r="AA55" s="1690"/>
      <c r="AB55" s="1690"/>
      <c r="AC55" s="1690"/>
      <c r="AD55" s="1690"/>
      <c r="AE55" s="1690"/>
      <c r="AF55" s="1690"/>
      <c r="AG55" s="1690"/>
      <c r="AH55" s="1690"/>
      <c r="AI55" s="1690"/>
      <c r="AJ55" s="1690"/>
      <c r="AK55" s="1690"/>
      <c r="AL55" s="1690"/>
      <c r="AM55" s="1690"/>
      <c r="AO55" s="1616"/>
      <c r="AP55" s="1616" t="str">
        <f>IF(T55="","",T55)</f>
        <v>Добавить централизованную систему для дифференциации</v>
      </c>
      <c r="AQ55" s="1616"/>
      <c r="AR55" s="1616"/>
    </row>
    <row s="19272" customFormat="1" customHeight="1" ht="0.75">
      <c r="A56" s="1633" t="s">
        <v>207</v>
      </c>
      <c r="B56" s="1633"/>
      <c r="C56" s="1633"/>
      <c r="D56" s="1633"/>
      <c r="E56" s="2562"/>
      <c r="F56" s="1633"/>
      <c r="G56" s="1633"/>
      <c r="H56" s="1633"/>
      <c r="I56" s="1633"/>
      <c r="J56" s="1633"/>
      <c r="K56" s="1633"/>
      <c r="L56" s="1676"/>
      <c r="M56" s="2343"/>
      <c r="N56" s="2343"/>
      <c r="O56" s="2001"/>
      <c r="P56" s="741"/>
      <c r="Q56" s="1710"/>
      <c r="R56" s="741"/>
      <c r="S56" s="1688"/>
      <c r="T56" s="1691" t="s">
        <v>252</v>
      </c>
      <c r="U56" s="1690"/>
      <c r="V56" s="1690"/>
      <c r="W56" s="1690"/>
      <c r="X56" s="1690"/>
      <c r="Y56" s="1690"/>
      <c r="Z56" s="1690"/>
      <c r="AA56" s="1690"/>
      <c r="AB56" s="1690"/>
      <c r="AC56" s="1690"/>
      <c r="AD56" s="1690"/>
      <c r="AE56" s="1690"/>
      <c r="AF56" s="1690"/>
      <c r="AG56" s="1690"/>
      <c r="AH56" s="1690"/>
      <c r="AI56" s="1690"/>
      <c r="AJ56" s="1690"/>
      <c r="AK56" s="1690"/>
      <c r="AL56" s="1690"/>
      <c r="AM56" s="1690"/>
      <c r="AO56" s="1990"/>
      <c r="AP56" s="1990" t="str">
        <f>IF(T56="","",T56)</f>
        <v>Добавить территорию для дифференциации</v>
      </c>
      <c r="AQ56" s="1990"/>
      <c r="AR56" s="1990"/>
    </row>
    <row s="19252" customFormat="1" customHeight="1" ht="0.75">
      <c r="A57" s="2342"/>
      <c r="B57" s="2342"/>
      <c r="C57" s="2342"/>
      <c r="D57" s="2342"/>
      <c r="E57" s="1633"/>
      <c r="F57" s="2342"/>
      <c r="G57" s="2342"/>
      <c r="H57" s="2342"/>
      <c r="I57" s="2342"/>
      <c r="J57" s="2342"/>
      <c r="K57" s="2342"/>
      <c r="L57" s="1746"/>
      <c r="M57" s="2343"/>
      <c r="N57" s="2343"/>
      <c r="O57" s="2001"/>
      <c r="P57" s="1682"/>
      <c r="Q57" s="1683"/>
      <c r="R57" s="1682"/>
      <c r="S57" s="1688"/>
      <c r="T57" s="1691" t="s">
        <v>253</v>
      </c>
      <c r="U57" s="1690"/>
      <c r="V57" s="1690"/>
      <c r="W57" s="1690"/>
      <c r="X57" s="1690"/>
      <c r="Y57" s="1690"/>
      <c r="Z57" s="1690"/>
      <c r="AA57" s="1690"/>
      <c r="AB57" s="1690"/>
      <c r="AC57" s="1690"/>
      <c r="AD57" s="1690"/>
      <c r="AE57" s="1690"/>
      <c r="AF57" s="1690"/>
      <c r="AG57" s="1690"/>
      <c r="AH57" s="1690"/>
      <c r="AI57" s="1690"/>
      <c r="AJ57" s="1690"/>
      <c r="AK57" s="1690"/>
      <c r="AL57" s="1690"/>
      <c r="AM57" s="1690"/>
      <c r="AO57" s="1616"/>
      <c r="AP57" s="1616" t="str">
        <f>IF(T57="","",T57)</f>
        <v>Добавить наименование тарифа</v>
      </c>
      <c r="AQ57" s="1616"/>
      <c r="AR57" s="1616"/>
    </row>
    <row customHeight="1" ht="11.25">
      <c r="M58" s="1997"/>
      <c r="N58" s="1997"/>
      <c r="O58" s="2001"/>
      <c r="P58" s="1997"/>
      <c r="Q58" s="1997"/>
      <c r="R58" s="1997"/>
      <c r="S58" s="1997"/>
      <c r="AN58" s="1997"/>
      <c r="AO58" s="1997"/>
      <c r="AP58" s="1997"/>
      <c r="AQ58" s="1997"/>
      <c r="AR58" s="1997"/>
    </row>
    <row customHeight="1" ht="27">
      <c r="O59" s="2001"/>
      <c r="S59" s="1618"/>
      <c r="T59" s="2526"/>
      <c r="U59" s="2526"/>
      <c r="V59" s="2526"/>
      <c r="W59" s="2526"/>
      <c r="X59" s="2526"/>
      <c r="Y59" s="2526"/>
      <c r="Z59" s="2526"/>
      <c r="AA59" s="2526"/>
      <c r="AB59" s="2526"/>
      <c r="AC59" s="2526"/>
      <c r="AD59" s="2526"/>
      <c r="AE59" s="2526"/>
      <c r="AF59" s="2526"/>
      <c r="AG59" s="2526"/>
      <c r="AH59" s="2526"/>
      <c r="AI59" s="2526"/>
      <c r="AJ59" s="2526"/>
      <c r="AK59" s="2526"/>
      <c r="AL59" s="2526"/>
      <c r="AM59" s="2526"/>
    </row>
    <row customHeight="1" ht="62.25">
      <c r="O60" s="2001"/>
      <c r="T60" s="2526"/>
      <c r="U60" s="2526"/>
      <c r="V60" s="2526"/>
      <c r="W60" s="2526"/>
      <c r="X60" s="2526"/>
      <c r="Y60" s="2526"/>
      <c r="Z60" s="2526"/>
      <c r="AA60" s="2526"/>
      <c r="AB60" s="2526"/>
      <c r="AC60" s="2526"/>
      <c r="AD60" s="2526"/>
      <c r="AE60" s="2526"/>
      <c r="AF60" s="2526"/>
      <c r="AG60" s="2526"/>
      <c r="AH60" s="2526"/>
      <c r="AI60" s="2526"/>
      <c r="AJ60" s="2526"/>
      <c r="AK60" s="2526"/>
      <c r="AL60" s="2526"/>
      <c r="AM60" s="2526"/>
    </row>
    <row customHeight="1" ht="14.25">
      <c r="O61" s="2001"/>
    </row>
    <row customHeight="1" ht="18">
      <c r="O62" s="2001"/>
      <c r="S62" s="1618"/>
      <c r="T62" s="2526"/>
      <c r="U62" s="2526"/>
      <c r="V62" s="2526"/>
      <c r="W62" s="2526"/>
      <c r="X62" s="2526"/>
      <c r="Y62" s="2526"/>
      <c r="Z62" s="2526"/>
      <c r="AA62" s="2526"/>
      <c r="AB62" s="2526"/>
      <c r="AC62" s="2526"/>
      <c r="AD62" s="2526"/>
      <c r="AE62" s="2526"/>
      <c r="AF62" s="2526"/>
      <c r="AG62" s="2526"/>
      <c r="AH62" s="2526"/>
      <c r="AI62" s="2526"/>
      <c r="AJ62" s="2526"/>
      <c r="AK62" s="2526"/>
      <c r="AL62" s="2526"/>
      <c r="AM62" s="2526"/>
    </row>
    <row customHeight="1" ht="18">
      <c r="O63" s="2001"/>
      <c r="T63" s="2526"/>
      <c r="U63" s="2526"/>
      <c r="V63" s="2526"/>
      <c r="W63" s="2526"/>
      <c r="X63" s="2526"/>
      <c r="Y63" s="2526"/>
      <c r="Z63" s="2526"/>
      <c r="AA63" s="2526"/>
      <c r="AB63" s="2526"/>
      <c r="AC63" s="2526"/>
      <c r="AD63" s="2526"/>
      <c r="AE63" s="2526"/>
      <c r="AF63" s="2526"/>
      <c r="AG63" s="2526"/>
      <c r="AH63" s="2526"/>
      <c r="AI63" s="2526"/>
      <c r="AJ63" s="2526"/>
      <c r="AK63" s="2526"/>
      <c r="AL63" s="2526"/>
      <c r="AM63" s="2526"/>
    </row>
    <row customHeight="1" ht="27.75">
      <c r="O64" s="2001"/>
      <c r="S64" s="1618"/>
      <c r="T64" s="2526"/>
      <c r="U64" s="2526"/>
      <c r="V64" s="2526"/>
      <c r="W64" s="2526"/>
      <c r="X64" s="2526"/>
      <c r="Y64" s="2526"/>
      <c r="Z64" s="2526"/>
      <c r="AA64" s="2526"/>
      <c r="AB64" s="2526"/>
      <c r="AC64" s="2526"/>
      <c r="AD64" s="2526"/>
      <c r="AE64" s="2526"/>
      <c r="AF64" s="2526"/>
      <c r="AG64" s="2526"/>
      <c r="AH64" s="2526"/>
      <c r="AI64" s="2526"/>
      <c r="AJ64" s="2526"/>
      <c r="AK64" s="2526"/>
      <c r="AL64" s="2526"/>
      <c r="AM64" s="2526"/>
    </row>
  </sheetData>
  <sheetProtection sort="0" autoFilter="0" insertRows="0" insertColumns="1" deleteRows="0" deleteColumns="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92B9AF-D55C-77E5-1438-E7851AF9846C}"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19146" width="10.57421875" hidden="1"/>
    <col min="2" max="2" style="19146" width="11.00390625" hidden="1" customWidth="1"/>
    <col min="3" max="3" style="19146" width="10.57421875" hidden="1"/>
    <col min="4" max="4" style="19146" width="11.8515625" hidden="1" customWidth="1"/>
    <col min="5" max="5" style="19146" width="10.00390625" hidden="1" customWidth="1"/>
    <col min="6" max="6" style="19146" width="8.7109375" hidden="1" customWidth="1"/>
    <col min="7" max="7" style="19146" width="7.57421875" hidden="1" customWidth="1"/>
    <col min="8" max="8" style="19146" width="11.421875" hidden="1" customWidth="1"/>
    <col min="9" max="9" style="19146" width="12.00390625" hidden="1" customWidth="1"/>
    <col min="10" max="10" style="19146" width="9.8515625" hidden="1" customWidth="1"/>
    <col min="11" max="11" style="19146" width="11.421875" hidden="1" customWidth="1"/>
    <col min="12" max="12" style="19227" width="19.140625" hidden="1" customWidth="1"/>
    <col min="13" max="14" style="19228" width="12.28125" hidden="1" customWidth="1"/>
    <col min="15" max="15" style="19228" width="23.421875" hidden="1" customWidth="1"/>
    <col min="16" max="16" style="19240" width="3.7109375" customWidth="1"/>
    <col min="17" max="18" style="19230" width="3.7109375" customWidth="1"/>
    <col min="19" max="19" style="19231" width="12.7109375" customWidth="1"/>
    <col min="20" max="20" style="19232" width="32.00390625" customWidth="1"/>
    <col min="21" max="21" style="19232" width="0.7109375" hidden="1" customWidth="1"/>
    <col min="22" max="22" style="19232" width="1.7109375" hidden="1" customWidth="1"/>
    <col min="23" max="23" style="19232" width="24.7109375" hidden="1" customWidth="1"/>
    <col min="24" max="25" style="19232" width="0.140625" hidden="1" customWidth="1"/>
    <col min="26" max="26" style="19232" width="11.7109375" hidden="1" customWidth="1"/>
    <col min="27" max="27" style="19232" width="3.7109375" hidden="1" customWidth="1"/>
    <col min="28" max="28" style="19232" width="11.7109375" hidden="1" customWidth="1"/>
    <col min="29" max="29" style="19232" width="8.57421875" hidden="1" customWidth="1"/>
    <col min="30" max="30" style="19232" width="0.140625" customWidth="1"/>
    <col min="31" max="31" style="19232" width="24.7109375" customWidth="1"/>
    <col min="32" max="33" style="19232" width="0.140625" customWidth="1"/>
    <col min="34" max="34" style="19232" width="11.7109375" customWidth="1"/>
    <col min="35" max="35" style="19232" width="3.7109375" customWidth="1"/>
    <col min="36" max="36" style="19232" width="11.7109375" customWidth="1"/>
    <col min="37" max="37" style="19232" width="8.57421875" hidden="1" customWidth="1"/>
    <col min="38" max="38" style="19232" width="4.7109375" customWidth="1"/>
    <col min="39" max="39" style="19232" width="115.7109375" customWidth="1"/>
    <col min="40" max="41" style="19219" width="10.57421875"/>
    <col min="42" max="42" style="19219" width="11.140625" customWidth="1"/>
    <col min="43" max="44" style="19219" width="10.57421875"/>
  </cols>
  <sheetData>
    <row customHeight="1" ht="14.25" hidden="1">
      <c r="Y1" s="688"/>
      <c r="Z1" s="688"/>
      <c r="AG1" s="688"/>
      <c r="AH1" s="688"/>
    </row>
    <row customHeight="1" ht="21" hidden="1">
      <c r="A2" s="1729"/>
      <c r="B2" s="1729"/>
      <c r="C2" s="1729"/>
      <c r="D2" s="1729"/>
      <c r="E2" s="2527">
        <v>1</v>
      </c>
      <c r="F2" s="1729"/>
      <c r="G2" s="1729"/>
      <c r="H2" s="1729"/>
      <c r="I2" s="1729"/>
      <c r="J2" s="1729"/>
      <c r="K2" s="1729"/>
      <c r="L2" s="1730"/>
      <c r="M2" s="1731"/>
      <c r="N2" s="1731"/>
      <c r="O2" s="1731"/>
      <c r="P2" s="722"/>
      <c r="Q2" s="721"/>
      <c r="R2" s="716"/>
      <c r="S2" s="1702">
        <f>INDEX(PT_DIFFERENTIATION_NUM_NTAR,MATCH(A2,PT_DIFFERENTIATION_NTAR_ID,0))</f>
      </c>
      <c r="T2" s="659" t="s">
        <v>120</v>
      </c>
      <c r="U2" s="661"/>
      <c r="V2" s="2521"/>
      <c r="W2" s="2522"/>
      <c r="X2" s="2522"/>
      <c r="Y2" s="2522"/>
      <c r="Z2" s="2522"/>
      <c r="AA2" s="2522"/>
      <c r="AB2" s="2522"/>
      <c r="AC2" s="2523"/>
      <c r="AD2" s="2521">
        <f>INDEX(PT_DIFFERENTIATION_NTAR,MATCH(A2,PT_DIFFERENTIATION_NTAR_ID,0))</f>
      </c>
      <c r="AE2" s="2522"/>
      <c r="AF2" s="2522"/>
      <c r="AG2" s="2522"/>
      <c r="AH2" s="2522"/>
      <c r="AI2" s="2522"/>
      <c r="AJ2" s="2522"/>
      <c r="AK2" s="2522"/>
      <c r="AL2" s="2523"/>
      <c r="AM2" s="1623" t="s">
        <v>396</v>
      </c>
      <c r="AO2" s="861"/>
      <c r="AP2" s="861" t="str">
        <f>IF(T2="","",T2)</f>
        <v>Наименование тарифа</v>
      </c>
      <c r="AQ2" s="861"/>
      <c r="AR2" s="861"/>
    </row>
    <row customHeight="1" ht="21" hidden="1">
      <c r="A3" s="1729"/>
      <c r="B3" s="1729"/>
      <c r="C3" s="1729"/>
      <c r="D3" s="1729"/>
      <c r="E3" s="2528"/>
      <c r="F3" s="2527">
        <v>1</v>
      </c>
      <c r="G3" s="1729"/>
      <c r="H3" s="1729"/>
      <c r="I3" s="1729"/>
      <c r="J3" s="1729"/>
      <c r="K3" s="1729"/>
      <c r="L3" s="1730"/>
      <c r="M3" s="1731"/>
      <c r="N3" s="1731"/>
      <c r="O3" s="1731"/>
      <c r="P3" s="1698"/>
      <c r="Q3" s="713"/>
      <c r="R3" s="714"/>
      <c r="S3" s="1702">
        <f>INDEX(PT_DIFFERENTIATION_NUM_TER,MATCH(B3,PT_DIFFERENTIATION_TER_ID,0))</f>
      </c>
      <c r="T3" s="669" t="s">
        <v>397</v>
      </c>
      <c r="U3" s="661"/>
      <c r="V3" s="2521"/>
      <c r="W3" s="2522"/>
      <c r="X3" s="2522"/>
      <c r="Y3" s="2522"/>
      <c r="Z3" s="2522"/>
      <c r="AA3" s="2522"/>
      <c r="AB3" s="2522"/>
      <c r="AC3" s="2523"/>
      <c r="AD3" s="2521">
        <f>INDEX(PT_DIFFERENTIATION_TER,MATCH(B3,PT_DIFFERENTIATION_TER_ID,0))</f>
      </c>
      <c r="AE3" s="2522"/>
      <c r="AF3" s="2522"/>
      <c r="AG3" s="2522"/>
      <c r="AH3" s="2522"/>
      <c r="AI3" s="2522"/>
      <c r="AJ3" s="2522"/>
      <c r="AK3" s="2522"/>
      <c r="AL3" s="2523"/>
      <c r="AM3" s="1623" t="s">
        <v>398</v>
      </c>
      <c r="AO3" s="861"/>
      <c r="AP3" s="861" t="str">
        <f>IF(T3="","",T3)</f>
        <v>Территория действия тарифа</v>
      </c>
      <c r="AQ3" s="861"/>
      <c r="AR3" s="861"/>
    </row>
    <row customHeight="1" ht="23.25" hidden="1">
      <c r="A4" s="1729"/>
      <c r="B4" s="1729"/>
      <c r="C4" s="1729"/>
      <c r="D4" s="1729"/>
      <c r="E4" s="2528"/>
      <c r="F4" s="2528"/>
      <c r="G4" s="2527">
        <v>1</v>
      </c>
      <c r="H4" s="1729"/>
      <c r="I4" s="1729"/>
      <c r="J4" s="1729"/>
      <c r="K4" s="1729"/>
      <c r="L4" s="1730"/>
      <c r="M4" s="1731"/>
      <c r="N4" s="1731"/>
      <c r="O4" s="1731"/>
      <c r="P4" s="715"/>
      <c r="Q4" s="713"/>
      <c r="R4" s="714"/>
      <c r="S4" s="1702">
        <f>INDEX(PT_DIFFERENTIATION_NUM_CS,MATCH(C4,PT_DIFFERENTIATION_CS_ID,0))</f>
      </c>
      <c r="T4" s="670" t="s">
        <v>399</v>
      </c>
      <c r="U4" s="661"/>
      <c r="V4" s="2521"/>
      <c r="W4" s="2522"/>
      <c r="X4" s="2522"/>
      <c r="Y4" s="2522"/>
      <c r="Z4" s="2522"/>
      <c r="AA4" s="2522"/>
      <c r="AB4" s="2522"/>
      <c r="AC4" s="2523"/>
      <c r="AD4" s="2521">
        <f>INDEX(PT_DIFFERENTIATION_CS,MATCH(C4,PT_DIFFERENTIATION_CS_ID,0))</f>
      </c>
      <c r="AE4" s="2522"/>
      <c r="AF4" s="2522"/>
      <c r="AG4" s="2522"/>
      <c r="AH4" s="2522"/>
      <c r="AI4" s="2522"/>
      <c r="AJ4" s="2522"/>
      <c r="AK4" s="2522"/>
      <c r="AL4" s="2523"/>
      <c r="AM4" s="1623" t="s">
        <v>400</v>
      </c>
      <c r="AO4" s="861"/>
      <c r="AP4" s="861" t="str">
        <f>IF(T4="","",T4)</f>
        <v>Наименование системы теплоснабжения </v>
      </c>
      <c r="AQ4" s="861"/>
      <c r="AR4" s="861"/>
    </row>
    <row customHeight="1" ht="21" hidden="1">
      <c r="A5" s="1729"/>
      <c r="B5" s="1729"/>
      <c r="C5" s="1729"/>
      <c r="D5" s="1729"/>
      <c r="E5" s="2528"/>
      <c r="F5" s="2528"/>
      <c r="G5" s="2528"/>
      <c r="H5" s="2527">
        <v>1</v>
      </c>
      <c r="I5" s="1729"/>
      <c r="J5" s="1729"/>
      <c r="K5" s="1729"/>
      <c r="L5" s="1730"/>
      <c r="M5" s="1731"/>
      <c r="N5" s="1731"/>
      <c r="O5" s="1731"/>
      <c r="P5" s="715"/>
      <c r="Q5" s="713"/>
      <c r="R5" s="714"/>
      <c r="S5" s="1702">
        <f>INDEX(PT_DIFFERENTIATION_NUM_IST_TE,MATCH(D5,PT_DIFFERENTIATION_IST_TE_ID,0))</f>
      </c>
      <c r="T5" s="671" t="s">
        <v>401</v>
      </c>
      <c r="U5" s="661"/>
      <c r="V5" s="2521"/>
      <c r="W5" s="2522"/>
      <c r="X5" s="2522"/>
      <c r="Y5" s="2522"/>
      <c r="Z5" s="2522"/>
      <c r="AA5" s="2522"/>
      <c r="AB5" s="2522"/>
      <c r="AC5" s="2523"/>
      <c r="AD5" s="2521">
        <f>INDEX(PT_DIFFERENTIATION_IST_TE,MATCH(D5,PT_DIFFERENTIATION_IST_TE_ID,0))</f>
      </c>
      <c r="AE5" s="2522"/>
      <c r="AF5" s="2522"/>
      <c r="AG5" s="2522"/>
      <c r="AH5" s="2522"/>
      <c r="AI5" s="2522"/>
      <c r="AJ5" s="2522"/>
      <c r="AK5" s="2522"/>
      <c r="AL5" s="2523"/>
      <c r="AM5" s="1623" t="s">
        <v>402</v>
      </c>
      <c r="AO5" s="861"/>
      <c r="AP5" s="861" t="str">
        <f>IF(T5="","",T5)</f>
        <v>Источник тепловой энергии  </v>
      </c>
      <c r="AQ5" s="861"/>
      <c r="AR5" s="861"/>
    </row>
    <row customHeight="1" ht="47.25" hidden="1">
      <c r="A6" s="1729"/>
      <c r="B6" s="1729"/>
      <c r="C6" s="1729"/>
      <c r="D6" s="1729"/>
      <c r="E6" s="2528"/>
      <c r="F6" s="2528"/>
      <c r="G6" s="2528"/>
      <c r="H6" s="2528"/>
      <c r="I6" s="2529">
        <f>S5&amp;".1"</f>
      </c>
      <c r="J6" s="1729"/>
      <c r="K6" s="1729"/>
      <c r="L6" s="1730" t="s">
        <v>403</v>
      </c>
      <c r="M6" s="898"/>
      <c r="P6" s="2531">
        <v>1</v>
      </c>
      <c r="Q6" s="1697"/>
      <c r="R6" s="717"/>
      <c r="S6" s="1702">
        <f>$I6</f>
      </c>
      <c r="T6" s="646" t="s">
        <v>404</v>
      </c>
      <c r="U6" s="661"/>
      <c r="V6" s="2515"/>
      <c r="W6" s="2516"/>
      <c r="X6" s="2516"/>
      <c r="Y6" s="2516"/>
      <c r="Z6" s="2516"/>
      <c r="AA6" s="2516"/>
      <c r="AB6" s="2516"/>
      <c r="AC6" s="2517"/>
      <c r="AD6" s="2515"/>
      <c r="AE6" s="2516"/>
      <c r="AF6" s="2516"/>
      <c r="AG6" s="2516"/>
      <c r="AH6" s="2516"/>
      <c r="AI6" s="2516"/>
      <c r="AJ6" s="2516"/>
      <c r="AK6" s="2516"/>
      <c r="AL6" s="2517"/>
      <c r="AM6" s="1623" t="s">
        <v>405</v>
      </c>
      <c r="AO6" s="861"/>
      <c r="AP6" s="861" t="str">
        <f>IF(T6="","",T6)</f>
        <v>Схема подключения теплопотребляющей установки к коллектору источника тепловой энергии</v>
      </c>
      <c r="AQ6" s="861"/>
      <c r="AR6" s="861"/>
    </row>
    <row customHeight="1" ht="21" hidden="1">
      <c r="A7" s="1729"/>
      <c r="B7" s="1729"/>
      <c r="C7" s="1729"/>
      <c r="D7" s="1729"/>
      <c r="E7" s="2528"/>
      <c r="F7" s="2528"/>
      <c r="G7" s="2528"/>
      <c r="H7" s="2528"/>
      <c r="I7" s="2530"/>
      <c r="J7" s="2529">
        <f>I6&amp;".1"</f>
      </c>
      <c r="K7" s="1729"/>
      <c r="L7" s="1730" t="s">
        <v>406</v>
      </c>
      <c r="M7" s="898"/>
      <c r="N7" s="1732"/>
      <c r="P7" s="2531"/>
      <c r="Q7" s="2531">
        <v>1</v>
      </c>
      <c r="R7" s="718"/>
      <c r="S7" s="1702">
        <f>$J7</f>
      </c>
      <c r="T7" s="647" t="s">
        <v>407</v>
      </c>
      <c r="U7" s="661"/>
      <c r="V7" s="2515"/>
      <c r="W7" s="2516"/>
      <c r="X7" s="2516"/>
      <c r="Y7" s="2516"/>
      <c r="Z7" s="2516"/>
      <c r="AA7" s="2516"/>
      <c r="AB7" s="2516"/>
      <c r="AC7" s="2517"/>
      <c r="AD7" s="2515"/>
      <c r="AE7" s="2516"/>
      <c r="AF7" s="2516"/>
      <c r="AG7" s="2516"/>
      <c r="AH7" s="2516"/>
      <c r="AI7" s="2516"/>
      <c r="AJ7" s="2516"/>
      <c r="AK7" s="2516"/>
      <c r="AL7" s="2517"/>
      <c r="AM7" s="1623" t="s">
        <v>408</v>
      </c>
      <c r="AO7" s="861"/>
      <c r="AP7" s="861" t="str">
        <f>IF(T7="","",T7)</f>
        <v>Группа потребителей</v>
      </c>
      <c r="AQ7" s="861"/>
      <c r="AR7" s="861"/>
    </row>
    <row customHeight="1" ht="21" hidden="1">
      <c r="A8" s="1729"/>
      <c r="B8" s="1729"/>
      <c r="C8" s="1729"/>
      <c r="D8" s="1729"/>
      <c r="E8" s="2528"/>
      <c r="F8" s="2528"/>
      <c r="G8" s="2528"/>
      <c r="H8" s="2528"/>
      <c r="I8" s="2530"/>
      <c r="J8" s="2530"/>
      <c r="K8" s="2529">
        <f>J7&amp;".1"</f>
      </c>
      <c r="L8" s="1730" t="s">
        <v>409</v>
      </c>
      <c r="M8" s="898"/>
      <c r="N8" s="1732"/>
      <c r="O8" s="1732"/>
      <c r="P8" s="2531"/>
      <c r="Q8" s="2531"/>
      <c r="R8" s="718">
        <v>1</v>
      </c>
      <c r="S8" s="1702">
        <f>$K8</f>
      </c>
      <c r="T8" s="1713"/>
      <c r="U8" s="661"/>
      <c r="V8" s="686"/>
      <c r="W8" s="1112"/>
      <c r="X8" s="686"/>
      <c r="Y8" s="745"/>
      <c r="Z8" s="2532"/>
      <c r="AA8" s="2402" t="s">
        <v>59</v>
      </c>
      <c r="AB8" s="2532"/>
      <c r="AC8" s="2402" t="s">
        <v>59</v>
      </c>
      <c r="AD8" s="686"/>
      <c r="AE8" s="1112"/>
      <c r="AF8" s="686"/>
      <c r="AG8" s="745"/>
      <c r="AH8" s="2532"/>
      <c r="AI8" s="2402" t="s">
        <v>59</v>
      </c>
      <c r="AJ8" s="2532"/>
      <c r="AK8" s="2402" t="s">
        <v>59</v>
      </c>
      <c r="AL8" s="686"/>
      <c r="AM8" s="2557" t="s">
        <v>410</v>
      </c>
      <c r="AN8" s="872">
        <f>STRCHECKDATE(V9:AL9)</f>
      </c>
      <c r="AO8" s="861"/>
      <c r="AP8" s="861" t="str">
        <f>IF(T8="","",T8)</f>
        <v/>
      </c>
      <c r="AQ8" s="861"/>
      <c r="AR8" s="861"/>
    </row>
    <row customHeight="1" ht="0.75" hidden="1">
      <c r="A9" s="1729"/>
      <c r="B9" s="1729"/>
      <c r="C9" s="1729"/>
      <c r="D9" s="1729"/>
      <c r="E9" s="2528"/>
      <c r="F9" s="2528"/>
      <c r="G9" s="2528"/>
      <c r="H9" s="2528"/>
      <c r="I9" s="2530"/>
      <c r="J9" s="2530"/>
      <c r="K9" s="2529"/>
      <c r="L9" s="1730"/>
      <c r="M9" s="898"/>
      <c r="N9" s="1732"/>
      <c r="O9" s="1732"/>
      <c r="P9" s="2531"/>
      <c r="Q9" s="2531"/>
      <c r="R9" s="718"/>
      <c r="S9" s="1708"/>
      <c r="T9" s="661"/>
      <c r="U9" s="661"/>
      <c r="V9" s="686"/>
      <c r="W9" s="686"/>
      <c r="X9" s="686"/>
      <c r="Y9" s="689" t="str">
        <f>Z8&amp;"-"&amp;AB8</f>
        <v>-</v>
      </c>
      <c r="Z9" s="2533"/>
      <c r="AA9" s="2402"/>
      <c r="AB9" s="2533"/>
      <c r="AC9" s="2402"/>
      <c r="AD9" s="686"/>
      <c r="AE9" s="686"/>
      <c r="AF9" s="686"/>
      <c r="AG9" s="689" t="str">
        <f>AH8&amp;"-"&amp;AJ8</f>
        <v>-</v>
      </c>
      <c r="AH9" s="2533"/>
      <c r="AI9" s="2402"/>
      <c r="AJ9" s="2533"/>
      <c r="AK9" s="2402"/>
      <c r="AL9" s="686"/>
      <c r="AM9" s="2558"/>
      <c r="AO9" s="861"/>
      <c r="AP9" s="861" t="str">
        <f>IF(T9="","",T9)</f>
        <v/>
      </c>
      <c r="AQ9" s="861"/>
      <c r="AR9" s="861"/>
    </row>
    <row customHeight="1" ht="15" hidden="1">
      <c r="A10" s="1729"/>
      <c r="B10" s="1729"/>
      <c r="C10" s="1729"/>
      <c r="D10" s="1729"/>
      <c r="E10" s="2528"/>
      <c r="F10" s="2528"/>
      <c r="G10" s="2528"/>
      <c r="H10" s="2528"/>
      <c r="I10" s="2530"/>
      <c r="J10" s="2529"/>
      <c r="K10" s="1729"/>
      <c r="L10" s="1730"/>
      <c r="M10" s="898"/>
      <c r="N10" s="1732"/>
      <c r="P10" s="2531"/>
      <c r="Q10" s="2531"/>
      <c r="R10" s="717"/>
      <c r="S10" s="1644"/>
      <c r="T10" s="649" t="s">
        <v>411</v>
      </c>
      <c r="U10" s="728"/>
      <c r="V10" s="728"/>
      <c r="W10" s="728"/>
      <c r="X10" s="728"/>
      <c r="Y10" s="728"/>
      <c r="Z10" s="728"/>
      <c r="AA10" s="728"/>
      <c r="AB10" s="728"/>
      <c r="AC10" s="728"/>
      <c r="AD10" s="728"/>
      <c r="AE10" s="728"/>
      <c r="AF10" s="728"/>
      <c r="AG10" s="728"/>
      <c r="AH10" s="728"/>
      <c r="AI10" s="728"/>
      <c r="AJ10" s="728"/>
      <c r="AK10" s="728"/>
      <c r="AL10" s="685"/>
      <c r="AM10" s="2559"/>
      <c r="AO10" s="861"/>
      <c r="AP10" s="861" t="str">
        <f>IF(T10="","",T10)</f>
        <v>Добавить вид теплоносителя (параметры теплоносителя)</v>
      </c>
      <c r="AQ10" s="861"/>
      <c r="AR10" s="861"/>
    </row>
    <row customHeight="1" ht="15" hidden="1">
      <c r="A11" s="1729"/>
      <c r="B11" s="1729"/>
      <c r="C11" s="1729"/>
      <c r="D11" s="1729"/>
      <c r="E11" s="2528"/>
      <c r="F11" s="2528"/>
      <c r="G11" s="2528"/>
      <c r="H11" s="2528"/>
      <c r="I11" s="2529"/>
      <c r="J11" s="1729"/>
      <c r="K11" s="1729"/>
      <c r="L11" s="1730"/>
      <c r="M11" s="898"/>
      <c r="P11" s="2531"/>
      <c r="Q11" s="1697"/>
      <c r="R11" s="717"/>
      <c r="S11" s="1644"/>
      <c r="T11" s="648" t="s">
        <v>412</v>
      </c>
      <c r="U11" s="728"/>
      <c r="V11" s="728"/>
      <c r="W11" s="728"/>
      <c r="X11" s="728"/>
      <c r="Y11" s="728"/>
      <c r="Z11" s="728"/>
      <c r="AA11" s="728"/>
      <c r="AB11" s="728"/>
      <c r="AC11" s="727"/>
      <c r="AD11" s="728"/>
      <c r="AE11" s="728"/>
      <c r="AF11" s="728"/>
      <c r="AG11" s="728"/>
      <c r="AH11" s="728"/>
      <c r="AI11" s="728"/>
      <c r="AJ11" s="728"/>
      <c r="AK11" s="727"/>
      <c r="AL11" s="728"/>
      <c r="AM11" s="664"/>
      <c r="AO11" s="861"/>
      <c r="AP11" s="861" t="str">
        <f>IF(T11="","",T11)</f>
        <v>Добавить группу потребителей</v>
      </c>
      <c r="AQ11" s="861"/>
      <c r="AR11" s="861"/>
    </row>
    <row customHeight="1" ht="14.25" hidden="1">
      <c r="A12" s="1729"/>
      <c r="B12" s="1729"/>
      <c r="C12" s="1729"/>
      <c r="D12" s="1729"/>
      <c r="E12" s="2528"/>
      <c r="F12" s="2528"/>
      <c r="G12" s="2528"/>
      <c r="H12" s="2527"/>
      <c r="I12" s="1729"/>
      <c r="J12" s="1729"/>
      <c r="K12" s="1729"/>
      <c r="L12" s="1730"/>
      <c r="M12" s="1731"/>
      <c r="N12" s="1731"/>
      <c r="O12" s="898"/>
      <c r="P12" s="721"/>
      <c r="Q12" s="736"/>
      <c r="R12" s="716"/>
      <c r="S12" s="1644"/>
      <c r="T12" s="726" t="s">
        <v>413</v>
      </c>
      <c r="U12" s="728"/>
      <c r="V12" s="728"/>
      <c r="W12" s="728"/>
      <c r="X12" s="728"/>
      <c r="Y12" s="728"/>
      <c r="Z12" s="728"/>
      <c r="AA12" s="728"/>
      <c r="AB12" s="728"/>
      <c r="AC12" s="727"/>
      <c r="AD12" s="728"/>
      <c r="AE12" s="728"/>
      <c r="AF12" s="728"/>
      <c r="AG12" s="728"/>
      <c r="AH12" s="728"/>
      <c r="AI12" s="728"/>
      <c r="AJ12" s="728"/>
      <c r="AK12" s="727"/>
      <c r="AL12" s="728"/>
      <c r="AM12" s="664"/>
      <c r="AO12" s="861"/>
      <c r="AP12" s="861" t="str">
        <f>IF(T12="","",T12)</f>
        <v>Добавить схему подключения</v>
      </c>
      <c r="AQ12" s="861"/>
      <c r="AR12" s="861"/>
    </row>
    <row s="19127" customFormat="1" customHeight="1" ht="0.75" hidden="1">
      <c r="A13" s="1680"/>
      <c r="B13" s="1680"/>
      <c r="C13" s="1680"/>
      <c r="D13" s="1680"/>
      <c r="E13" s="2528"/>
      <c r="F13" s="2528"/>
      <c r="G13" s="2527"/>
      <c r="H13" s="1680"/>
      <c r="I13" s="1680"/>
      <c r="J13" s="1680"/>
      <c r="K13" s="1680"/>
      <c r="L13" s="1705"/>
      <c r="M13" s="1681"/>
      <c r="N13" s="1681"/>
      <c r="P13" s="1682"/>
      <c r="Q13" s="1683"/>
      <c r="R13" s="1682"/>
      <c r="S13" s="1684"/>
      <c r="T13" s="1685" t="s">
        <v>414</v>
      </c>
      <c r="U13" s="1686"/>
      <c r="V13" s="1686"/>
      <c r="W13" s="1686"/>
      <c r="X13" s="1686"/>
      <c r="Y13" s="1686"/>
      <c r="Z13" s="1686"/>
      <c r="AA13" s="1686"/>
      <c r="AB13" s="1686"/>
      <c r="AC13" s="1686"/>
      <c r="AD13" s="1686"/>
      <c r="AE13" s="1686"/>
      <c r="AF13" s="1686"/>
      <c r="AG13" s="1686"/>
      <c r="AH13" s="1686"/>
      <c r="AI13" s="1686"/>
      <c r="AJ13" s="1686"/>
      <c r="AK13" s="1686"/>
      <c r="AL13" s="1686"/>
      <c r="AM13" s="1686"/>
      <c r="AO13" s="1150"/>
      <c r="AP13" s="1150" t="str">
        <f>IF(T13="","",T13)</f>
        <v>Добавить источник для дифференциации</v>
      </c>
      <c r="AQ13" s="1150"/>
      <c r="AR13" s="1150"/>
    </row>
    <row s="19127" customFormat="1" customHeight="1" ht="0.75" hidden="1">
      <c r="A14" s="1680"/>
      <c r="B14" s="1680"/>
      <c r="C14" s="1680"/>
      <c r="D14" s="1680"/>
      <c r="E14" s="2528"/>
      <c r="F14" s="2527"/>
      <c r="G14" s="1680"/>
      <c r="H14" s="1680"/>
      <c r="I14" s="1680"/>
      <c r="J14" s="1680"/>
      <c r="K14" s="1680"/>
      <c r="L14" s="1705"/>
      <c r="M14" s="1687"/>
      <c r="N14" s="1687"/>
      <c r="P14" s="1682"/>
      <c r="Q14" s="1683"/>
      <c r="R14" s="1682"/>
      <c r="S14" s="1688"/>
      <c r="T14" s="1689" t="s">
        <v>251</v>
      </c>
      <c r="U14" s="1690"/>
      <c r="V14" s="1690"/>
      <c r="W14" s="1690"/>
      <c r="X14" s="1690"/>
      <c r="Y14" s="1690"/>
      <c r="Z14" s="1690"/>
      <c r="AA14" s="1690"/>
      <c r="AB14" s="1690"/>
      <c r="AC14" s="1690"/>
      <c r="AD14" s="1690"/>
      <c r="AE14" s="1690"/>
      <c r="AF14" s="1690"/>
      <c r="AG14" s="1690"/>
      <c r="AH14" s="1690"/>
      <c r="AI14" s="1690"/>
      <c r="AJ14" s="1690"/>
      <c r="AK14" s="1690"/>
      <c r="AL14" s="1690"/>
      <c r="AM14" s="1690"/>
      <c r="AO14" s="1150"/>
      <c r="AP14" s="1150" t="str">
        <f>IF(T14="","",T14)</f>
        <v>Добавить централизованную систему для дифференциации</v>
      </c>
      <c r="AQ14" s="1150"/>
      <c r="AR14" s="1150"/>
    </row>
    <row s="19127" customFormat="1" customHeight="1" ht="0.75" hidden="1">
      <c r="A15" s="1680"/>
      <c r="B15" s="1680"/>
      <c r="C15" s="1680"/>
      <c r="D15" s="1680"/>
      <c r="E15" s="2527"/>
      <c r="F15" s="1680"/>
      <c r="G15" s="1680"/>
      <c r="H15" s="1680"/>
      <c r="I15" s="1680"/>
      <c r="J15" s="1680"/>
      <c r="K15" s="1680"/>
      <c r="L15" s="1705"/>
      <c r="M15" s="1687"/>
      <c r="N15" s="1687"/>
      <c r="P15" s="1682"/>
      <c r="Q15" s="1683"/>
      <c r="R15" s="1682"/>
      <c r="S15" s="1688"/>
      <c r="T15" s="1691" t="s">
        <v>252</v>
      </c>
      <c r="U15" s="1690"/>
      <c r="V15" s="1690"/>
      <c r="W15" s="1690"/>
      <c r="X15" s="1690"/>
      <c r="Y15" s="1690"/>
      <c r="Z15" s="1690"/>
      <c r="AA15" s="1690"/>
      <c r="AB15" s="1690"/>
      <c r="AC15" s="1690"/>
      <c r="AD15" s="1690"/>
      <c r="AE15" s="1690"/>
      <c r="AF15" s="1690"/>
      <c r="AG15" s="1690"/>
      <c r="AH15" s="1690"/>
      <c r="AI15" s="1690"/>
      <c r="AJ15" s="1690"/>
      <c r="AK15" s="1690"/>
      <c r="AL15" s="1690"/>
      <c r="AM15" s="1690"/>
      <c r="AO15" s="1150"/>
      <c r="AP15" s="1150" t="str">
        <f>IF(T15="","",T15)</f>
        <v>Добавить территорию для дифференциации</v>
      </c>
      <c r="AQ15" s="1150"/>
      <c r="AR15" s="1150"/>
    </row>
    <row customHeight="1" ht="14.25" hidden="1">
      <c r="AC16" s="688"/>
      <c r="AK16" s="688"/>
    </row>
    <row customHeight="1" ht="14.25" hidden="1">
      <c r="AD17" s="1726"/>
      <c r="AE17" s="1726"/>
      <c r="AF17" s="1726"/>
      <c r="AG17" s="1727"/>
      <c r="AH17" s="2525"/>
      <c r="AI17" s="2524" t="s">
        <v>59</v>
      </c>
      <c r="AJ17" s="2525"/>
      <c r="AK17" s="2524" t="s">
        <v>59</v>
      </c>
    </row>
    <row customHeight="1" ht="14.25" hidden="1">
      <c r="AD18" s="1726"/>
      <c r="AE18" s="1726"/>
      <c r="AF18" s="1726"/>
      <c r="AG18" s="689" t="str">
        <f>AH17&amp;"-"&amp;AJ17</f>
        <v>-</v>
      </c>
      <c r="AH18" s="2524"/>
      <c r="AI18" s="2524"/>
      <c r="AJ18" s="2524"/>
      <c r="AK18" s="2524"/>
    </row>
    <row customHeight="1" ht="14.25" hidden="1">
      <c r="AK19" s="688"/>
    </row>
    <row s="19146" customFormat="1" customHeight="1" ht="22.5" hidden="1">
      <c r="L20" s="1695"/>
      <c r="M20" s="1728"/>
      <c r="N20" s="1728"/>
      <c r="O20" s="1733" t="s">
        <v>415</v>
      </c>
      <c r="P20" s="1728"/>
      <c r="Q20" s="1737"/>
      <c r="R20" s="1737"/>
      <c r="S20" s="1090"/>
      <c r="Z20" s="1733"/>
      <c r="AB20" s="1733"/>
      <c r="AC20" s="1732"/>
      <c r="AH20" s="1733"/>
      <c r="AJ20" s="1733"/>
      <c r="AK20" s="1732"/>
      <c r="AN20" s="872"/>
      <c r="AO20" s="872"/>
      <c r="AP20" s="872"/>
      <c r="AQ20" s="872"/>
      <c r="AR20" s="872"/>
    </row>
    <row s="19146" customFormat="1" customHeight="1" ht="14.25" hidden="1">
      <c r="L21" s="1695"/>
      <c r="M21" s="1728"/>
      <c r="N21" s="1728"/>
      <c r="O21" s="1728"/>
      <c r="P21" s="1728"/>
      <c r="Q21" s="1737"/>
      <c r="R21" s="1737"/>
      <c r="S21" s="1090"/>
      <c r="AC21" s="1732"/>
      <c r="AK21" s="1732"/>
      <c r="AN21" s="872"/>
      <c r="AO21" s="872"/>
      <c r="AP21" s="872"/>
      <c r="AQ21" s="872"/>
      <c r="AR21" s="872"/>
    </row>
    <row s="19146" customFormat="1" customHeight="1" ht="33.75" hidden="1">
      <c r="L22" s="1695"/>
      <c r="M22" s="1728"/>
      <c r="N22" s="1728"/>
      <c r="O22" s="1730" t="s">
        <v>416</v>
      </c>
      <c r="P22" s="1728"/>
      <c r="Q22" s="1737"/>
      <c r="R22" s="1737"/>
      <c r="S22" s="1090"/>
      <c r="T22" s="1523" t="s">
        <v>417</v>
      </c>
      <c r="AA22" s="547" t="s">
        <v>418</v>
      </c>
      <c r="AC22" s="547" t="s">
        <v>419</v>
      </c>
      <c r="AD22" s="1523" t="s">
        <v>417</v>
      </c>
      <c r="AI22" s="547" t="s">
        <v>420</v>
      </c>
      <c r="AK22" s="547" t="s">
        <v>419</v>
      </c>
      <c r="AN22" s="872"/>
      <c r="AO22" s="872"/>
      <c r="AP22" s="872"/>
      <c r="AQ22" s="872"/>
      <c r="AR22" s="872"/>
    </row>
    <row customHeight="1" ht="14.25" hidden="1">
      <c r="O23" s="1730"/>
    </row>
    <row customHeight="1" ht="14.25" hidden="1">
      <c r="O24" s="1730"/>
    </row>
    <row customHeight="1" ht="14.25">
      <c r="Q25" s="737"/>
      <c r="R25" s="737"/>
      <c r="S25" s="1641"/>
      <c r="T25" s="724"/>
      <c r="U25" s="724"/>
      <c r="V25" s="870"/>
      <c r="W25" s="870"/>
      <c r="X25" s="870"/>
      <c r="Y25" s="870"/>
      <c r="Z25" s="870"/>
      <c r="AA25" s="870"/>
      <c r="AB25" s="870"/>
      <c r="AC25" s="870"/>
      <c r="AD25" s="870"/>
      <c r="AE25" s="870"/>
      <c r="AF25" s="870"/>
      <c r="AG25" s="870"/>
      <c r="AH25" s="870"/>
      <c r="AI25" s="870"/>
      <c r="AJ25" s="870"/>
      <c r="AK25" s="870"/>
    </row>
    <row customHeight="1" ht="27.75">
      <c r="Q26" s="737"/>
      <c r="R26" s="737"/>
      <c r="S26" s="256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60"/>
      <c r="U26" s="2560"/>
      <c r="V26" s="2560"/>
      <c r="W26" s="2560"/>
      <c r="X26" s="2560"/>
      <c r="Y26" s="2560"/>
      <c r="Z26" s="2560"/>
      <c r="AA26" s="2560"/>
      <c r="AB26" s="2560"/>
      <c r="AC26" s="2560"/>
      <c r="AD26" s="2560"/>
      <c r="AE26" s="2560"/>
      <c r="AF26" s="2560"/>
      <c r="AG26" s="2560"/>
      <c r="AH26" s="2560"/>
      <c r="AI26" s="2560"/>
      <c r="AJ26" s="2560"/>
      <c r="AK26" s="1608"/>
    </row>
    <row customHeight="1" ht="14.25">
      <c r="Q27" s="737"/>
      <c r="R27" s="737"/>
      <c r="S27" s="2561" t="str">
        <f>IF(org=0,"Не определено",org)</f>
        <v>Филиал "Шатурская ГРЭС" ПАО "Юнипро"</v>
      </c>
      <c r="T27" s="2561"/>
      <c r="U27" s="2561"/>
      <c r="V27" s="2561"/>
      <c r="W27" s="2561"/>
      <c r="X27" s="2561"/>
      <c r="Y27" s="2561"/>
      <c r="Z27" s="2561"/>
      <c r="AA27" s="2561"/>
      <c r="AB27" s="2561"/>
      <c r="AC27" s="2561"/>
      <c r="AD27" s="2561"/>
      <c r="AE27" s="2561"/>
      <c r="AF27" s="2561"/>
      <c r="AG27" s="2561"/>
      <c r="AH27" s="2561"/>
      <c r="AI27" s="2561"/>
      <c r="AJ27" s="2561"/>
      <c r="AK27" s="1608"/>
    </row>
    <row customHeight="1" ht="14.25">
      <c r="Q28" s="737"/>
      <c r="R28" s="737"/>
      <c r="S28" s="1641"/>
      <c r="T28" s="724"/>
      <c r="U28" s="724"/>
      <c r="V28" s="683"/>
      <c r="W28" s="683"/>
      <c r="X28" s="683"/>
      <c r="Y28" s="683"/>
      <c r="Z28" s="683"/>
      <c r="AA28" s="683"/>
      <c r="AB28" s="683"/>
      <c r="AC28" s="683"/>
      <c r="AD28" s="683"/>
      <c r="AE28" s="683"/>
      <c r="AF28" s="683"/>
      <c r="AG28" s="683"/>
      <c r="AH28" s="683"/>
      <c r="AI28" s="683"/>
      <c r="AJ28" s="683"/>
      <c r="AK28" s="683"/>
      <c r="AL28" s="870"/>
    </row>
    <row s="19160" customFormat="1" customHeight="1" ht="25.5">
      <c r="A29" s="1734"/>
      <c r="B29" s="1734"/>
      <c r="C29" s="1734"/>
      <c r="D29" s="1734"/>
      <c r="E29" s="1734"/>
      <c r="F29" s="1734"/>
      <c r="G29" s="1734"/>
      <c r="H29" s="1734"/>
      <c r="I29" s="1734"/>
      <c r="J29" s="1734"/>
      <c r="K29" s="1734"/>
      <c r="L29" s="1735"/>
      <c r="M29" s="1734"/>
      <c r="N29" s="1734"/>
      <c r="O29" s="1734"/>
      <c r="S29" s="2518" t="s">
        <v>38</v>
      </c>
      <c r="T29" s="2518"/>
      <c r="U29" s="1738"/>
      <c r="V29" s="2520" t="str">
        <f>IF(TITLE_NAME_OR_PR_CHANGE="",IF(TITLE_NAME_OR_PR="","",TITLE_NAME_OR_PR),TITLE_NAME_OR_PR_CHANGE)</f>
        <v>Комитет по ценам и тарифам по Московской области</v>
      </c>
      <c r="W29" s="2520"/>
      <c r="X29" s="2520"/>
      <c r="Y29" s="2520"/>
      <c r="Z29" s="2520"/>
      <c r="AA29" s="2520"/>
      <c r="AB29" s="2520"/>
      <c r="AC29" s="687"/>
      <c r="AD29" s="2520" t="str">
        <f>IF(TITLE_NAME_OR_PR_CHANGE="",IF(TITLE_NAME_OR_PR="","",TITLE_NAME_OR_PR),TITLE_NAME_OR_PR_CHANGE)</f>
        <v>Комитет по ценам и тарифам по Московской области</v>
      </c>
      <c r="AE29" s="2520"/>
      <c r="AF29" s="2520"/>
      <c r="AG29" s="2520"/>
      <c r="AH29" s="2520"/>
      <c r="AI29" s="2520"/>
      <c r="AJ29" s="2520"/>
      <c r="AK29" s="687"/>
      <c r="AL29" s="687"/>
      <c r="AM29" s="641"/>
      <c r="AN29" s="729"/>
      <c r="AO29" s="729"/>
      <c r="AP29" s="729"/>
      <c r="AQ29" s="729"/>
      <c r="AR29" s="729"/>
    </row>
    <row s="19160" customFormat="1" customHeight="1" ht="18.75">
      <c r="A30" s="1734"/>
      <c r="B30" s="1734"/>
      <c r="C30" s="1734"/>
      <c r="D30" s="1734"/>
      <c r="E30" s="1734"/>
      <c r="F30" s="1734"/>
      <c r="G30" s="1734"/>
      <c r="H30" s="1734"/>
      <c r="I30" s="1734"/>
      <c r="J30" s="1734"/>
      <c r="K30" s="1734"/>
      <c r="L30" s="1735"/>
      <c r="M30" s="1734"/>
      <c r="N30" s="1734"/>
      <c r="O30" s="1734"/>
      <c r="S30" s="2518" t="s">
        <v>421</v>
      </c>
      <c r="T30" s="2518"/>
      <c r="U30" s="1738"/>
      <c r="V30" s="2519" t="str">
        <f>IF(TITLE_DATE_PR_CHANGE="",IF(TITLE_DATE_PR="","",TITLE_DATE_PR),TITLE_DATE_PR_CHANGE)</f>
        <v>45280.70914351852</v>
      </c>
      <c r="W30" s="2519"/>
      <c r="X30" s="2519"/>
      <c r="Y30" s="2519"/>
      <c r="Z30" s="2519"/>
      <c r="AA30" s="2519"/>
      <c r="AB30" s="2519"/>
      <c r="AC30" s="687"/>
      <c r="AD30" s="2519" t="str">
        <f>IF(TITLE_DATE_PR_CHANGE="",IF(TITLE_DATE_PR="","",TITLE_DATE_PR),TITLE_DATE_PR_CHANGE)</f>
        <v>45280.70914351852</v>
      </c>
      <c r="AE30" s="2519"/>
      <c r="AF30" s="2519"/>
      <c r="AG30" s="2519"/>
      <c r="AH30" s="2519"/>
      <c r="AI30" s="2519"/>
      <c r="AJ30" s="2519"/>
      <c r="AK30" s="687"/>
      <c r="AL30" s="687"/>
      <c r="AM30" s="641"/>
      <c r="AN30" s="729"/>
      <c r="AO30" s="729"/>
      <c r="AP30" s="729"/>
      <c r="AQ30" s="729"/>
      <c r="AR30" s="729"/>
    </row>
    <row s="19160" customFormat="1" customHeight="1" ht="18.75">
      <c r="A31" s="1734"/>
      <c r="B31" s="1734"/>
      <c r="C31" s="1734"/>
      <c r="D31" s="1734"/>
      <c r="E31" s="1734"/>
      <c r="F31" s="1734"/>
      <c r="G31" s="1734"/>
      <c r="H31" s="1734"/>
      <c r="I31" s="1734"/>
      <c r="J31" s="1734"/>
      <c r="K31" s="1734"/>
      <c r="L31" s="1735"/>
      <c r="M31" s="1734"/>
      <c r="N31" s="1734"/>
      <c r="O31" s="1734"/>
      <c r="S31" s="2518" t="s">
        <v>422</v>
      </c>
      <c r="T31" s="2518"/>
      <c r="U31" s="1738"/>
      <c r="V31" s="2520" t="str">
        <f>IF(TITLE_NUMBER_PR_CHANGE="",IF(TITLE_NUMBER_PR="","",TITLE_NUMBER_PR),TITLE_NUMBER_PR_CHANGE)</f>
        <v>317-Р</v>
      </c>
      <c r="W31" s="2520"/>
      <c r="X31" s="2520"/>
      <c r="Y31" s="2520"/>
      <c r="Z31" s="2520"/>
      <c r="AA31" s="2520"/>
      <c r="AB31" s="2520"/>
      <c r="AC31" s="687"/>
      <c r="AD31" s="2520" t="str">
        <f>IF(TITLE_NUMBER_PR_CHANGE="",IF(TITLE_NUMBER_PR="","",TITLE_NUMBER_PR),TITLE_NUMBER_PR_CHANGE)</f>
        <v>317-Р</v>
      </c>
      <c r="AE31" s="2520"/>
      <c r="AF31" s="2520"/>
      <c r="AG31" s="2520"/>
      <c r="AH31" s="2520"/>
      <c r="AI31" s="2520"/>
      <c r="AJ31" s="2520"/>
      <c r="AK31" s="687"/>
      <c r="AL31" s="687"/>
      <c r="AM31" s="641"/>
      <c r="AN31" s="729"/>
      <c r="AO31" s="729"/>
      <c r="AP31" s="729"/>
      <c r="AQ31" s="729"/>
      <c r="AR31" s="729"/>
    </row>
    <row s="19160" customFormat="1" customHeight="1" ht="18.75">
      <c r="A32" s="1734"/>
      <c r="B32" s="1734"/>
      <c r="C32" s="1734"/>
      <c r="D32" s="1734"/>
      <c r="E32" s="1734"/>
      <c r="F32" s="1734"/>
      <c r="G32" s="1734"/>
      <c r="H32" s="1734"/>
      <c r="I32" s="1734"/>
      <c r="J32" s="1734"/>
      <c r="K32" s="1734"/>
      <c r="L32" s="1735"/>
      <c r="M32" s="1734"/>
      <c r="N32" s="1734"/>
      <c r="O32" s="1734"/>
      <c r="S32" s="2518" t="s">
        <v>40</v>
      </c>
      <c r="T32" s="2518"/>
      <c r="U32" s="1738"/>
      <c r="V32"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520"/>
      <c r="X32" s="2520"/>
      <c r="Y32" s="2520"/>
      <c r="Z32" s="2520"/>
      <c r="AA32" s="2520"/>
      <c r="AB32" s="2520"/>
      <c r="AC32" s="687"/>
      <c r="AD32"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520"/>
      <c r="AF32" s="2520"/>
      <c r="AG32" s="2520"/>
      <c r="AH32" s="2520"/>
      <c r="AI32" s="2520"/>
      <c r="AJ32" s="2520"/>
      <c r="AK32" s="687"/>
      <c r="AL32" s="687"/>
      <c r="AM32" s="641"/>
      <c r="AN32" s="729"/>
      <c r="AO32" s="729"/>
      <c r="AP32" s="729"/>
      <c r="AQ32" s="729"/>
      <c r="AR32" s="729"/>
    </row>
    <row customHeight="1" ht="14.25" hidden="1">
      <c r="Q33" s="737"/>
      <c r="R33" s="737"/>
      <c r="S33" s="1641"/>
      <c r="T33" s="724"/>
      <c r="U33" s="724"/>
      <c r="V33" s="683"/>
      <c r="W33" s="683"/>
      <c r="X33" s="683"/>
      <c r="Y33" s="683"/>
      <c r="Z33" s="683"/>
      <c r="AA33" s="683"/>
      <c r="AB33" s="683"/>
      <c r="AC33" s="683"/>
      <c r="AD33" s="683"/>
      <c r="AE33" s="683"/>
      <c r="AF33" s="683"/>
      <c r="AG33" s="683"/>
      <c r="AH33" s="683"/>
      <c r="AI33" s="683"/>
      <c r="AJ33" s="683"/>
      <c r="AK33" s="683"/>
      <c r="AL33" s="870"/>
    </row>
    <row s="19160" customFormat="1" customHeight="1" ht="18.75" hidden="1">
      <c r="A34" s="1734"/>
      <c r="B34" s="1734"/>
      <c r="C34" s="1734"/>
      <c r="D34" s="1734"/>
      <c r="E34" s="1734"/>
      <c r="F34" s="1734"/>
      <c r="G34" s="1734"/>
      <c r="H34" s="1734"/>
      <c r="I34" s="1734"/>
      <c r="J34" s="1734"/>
      <c r="K34" s="1734"/>
      <c r="L34" s="1735"/>
      <c r="M34" s="1734"/>
      <c r="N34" s="1734"/>
      <c r="O34" s="1734"/>
      <c r="S34" s="2518" t="s">
        <v>423</v>
      </c>
      <c r="T34" s="2518"/>
      <c r="U34" s="1738"/>
      <c r="V34" s="2519" t="str">
        <f>IF(TITLE_DATE_PR_CHANGE="",IF(TITLE_DATE_PR="","",TITLE_DATE_PR),TITLE_DATE_PR_CHANGE)</f>
        <v>45280.70914351852</v>
      </c>
      <c r="W34" s="2519"/>
      <c r="X34" s="2519"/>
      <c r="Y34" s="2519"/>
      <c r="Z34" s="2519"/>
      <c r="AA34" s="2519"/>
      <c r="AB34" s="2519"/>
      <c r="AC34" s="687"/>
      <c r="AD34" s="2519" t="str">
        <f>IF(TITLE_DATE_PR_CHANGE="",IF(TITLE_DATE_PR="","",TITLE_DATE_PR),TITLE_DATE_PR_CHANGE)</f>
        <v>45280.70914351852</v>
      </c>
      <c r="AE34" s="2519"/>
      <c r="AF34" s="2519"/>
      <c r="AG34" s="2519"/>
      <c r="AH34" s="2519"/>
      <c r="AI34" s="2519"/>
      <c r="AJ34" s="2519"/>
      <c r="AK34" s="687"/>
      <c r="AL34" s="687"/>
      <c r="AM34" s="641"/>
      <c r="AN34" s="729"/>
      <c r="AO34" s="729"/>
      <c r="AP34" s="729"/>
      <c r="AQ34" s="729"/>
      <c r="AR34" s="729"/>
    </row>
    <row s="19160" customFormat="1" customHeight="1" ht="18.75" hidden="1">
      <c r="A35" s="1734"/>
      <c r="B35" s="1734"/>
      <c r="C35" s="1734"/>
      <c r="D35" s="1734"/>
      <c r="E35" s="1734"/>
      <c r="F35" s="1734"/>
      <c r="G35" s="1734"/>
      <c r="H35" s="1734"/>
      <c r="I35" s="1734"/>
      <c r="J35" s="1734"/>
      <c r="K35" s="1734"/>
      <c r="L35" s="1735"/>
      <c r="M35" s="1734"/>
      <c r="N35" s="1734"/>
      <c r="O35" s="1734"/>
      <c r="S35" s="2518" t="s">
        <v>424</v>
      </c>
      <c r="T35" s="2518"/>
      <c r="U35" s="1738"/>
      <c r="V35" s="2520" t="str">
        <f>IF(TITLE_NUMBER_PR_CHANGE="",IF(TITLE_NUMBER_PR="","",TITLE_NUMBER_PR),TITLE_NUMBER_PR_CHANGE)</f>
        <v>317-Р</v>
      </c>
      <c r="W35" s="2520"/>
      <c r="X35" s="2520"/>
      <c r="Y35" s="2520"/>
      <c r="Z35" s="2520"/>
      <c r="AA35" s="2520"/>
      <c r="AB35" s="2520"/>
      <c r="AC35" s="687"/>
      <c r="AD35" s="2520" t="str">
        <f>IF(TITLE_NUMBER_PR_CHANGE="",IF(TITLE_NUMBER_PR="","",TITLE_NUMBER_PR),TITLE_NUMBER_PR_CHANGE)</f>
        <v>317-Р</v>
      </c>
      <c r="AE35" s="2520"/>
      <c r="AF35" s="2520"/>
      <c r="AG35" s="2520"/>
      <c r="AH35" s="2520"/>
      <c r="AI35" s="2520"/>
      <c r="AJ35" s="2520"/>
      <c r="AK35" s="687"/>
      <c r="AL35" s="687"/>
      <c r="AM35" s="641"/>
      <c r="AN35" s="729"/>
      <c r="AO35" s="729"/>
      <c r="AP35" s="729"/>
      <c r="AQ35" s="729"/>
      <c r="AR35" s="729"/>
    </row>
    <row s="19160" customFormat="1" customHeight="1" ht="0">
      <c r="A36" s="1734"/>
      <c r="B36" s="1734"/>
      <c r="C36" s="1734"/>
      <c r="D36" s="1734"/>
      <c r="E36" s="1734"/>
      <c r="F36" s="1734"/>
      <c r="G36" s="1734"/>
      <c r="H36" s="1734"/>
      <c r="I36" s="1734"/>
      <c r="J36" s="1734"/>
      <c r="K36" s="1734"/>
      <c r="L36" s="1735"/>
      <c r="M36" s="1734"/>
      <c r="N36" s="1734"/>
      <c r="O36" s="1734"/>
      <c r="S36" s="684"/>
      <c r="T36" s="684"/>
      <c r="U36" s="1706"/>
      <c r="V36" s="687"/>
      <c r="W36" s="687"/>
      <c r="X36" s="687"/>
      <c r="Y36" s="687"/>
      <c r="Z36" s="687"/>
      <c r="AA36" s="687"/>
      <c r="AB36" s="687"/>
      <c r="AC36" s="639" t="s">
        <v>425</v>
      </c>
      <c r="AD36" s="687"/>
      <c r="AE36" s="687"/>
      <c r="AF36" s="687"/>
      <c r="AG36" s="687"/>
      <c r="AH36" s="687"/>
      <c r="AI36" s="687"/>
      <c r="AJ36" s="687"/>
      <c r="AK36" s="639" t="s">
        <v>425</v>
      </c>
      <c r="AN36" s="729"/>
      <c r="AO36" s="729"/>
      <c r="AP36" s="729"/>
      <c r="AQ36" s="729"/>
      <c r="AR36" s="729"/>
    </row>
    <row customHeight="1" ht="14.25">
      <c r="Q37" s="737"/>
      <c r="R37" s="737"/>
      <c r="S37" s="1641"/>
      <c r="T37" s="724"/>
      <c r="U37" s="1609"/>
      <c r="V37" s="2544"/>
      <c r="W37" s="2544"/>
      <c r="X37" s="2544"/>
      <c r="Y37" s="2544"/>
      <c r="Z37" s="2544"/>
      <c r="AA37" s="2544"/>
      <c r="AB37" s="2544"/>
      <c r="AC37" s="2544"/>
      <c r="AD37" s="2544"/>
      <c r="AE37" s="2544"/>
      <c r="AF37" s="2544"/>
      <c r="AG37" s="2544"/>
      <c r="AH37" s="2544"/>
      <c r="AI37" s="2544"/>
      <c r="AJ37" s="2544"/>
      <c r="AK37" s="2544"/>
    </row>
    <row customHeight="1" ht="14.25">
      <c r="Q38" s="737"/>
      <c r="R38" s="737"/>
      <c r="S38" s="2392" t="s">
        <v>300</v>
      </c>
      <c r="T38" s="2392"/>
      <c r="U38" s="2392"/>
      <c r="V38" s="2392"/>
      <c r="W38" s="2392"/>
      <c r="X38" s="2392"/>
      <c r="Y38" s="2392"/>
      <c r="Z38" s="2392"/>
      <c r="AA38" s="2392"/>
      <c r="AB38" s="2392"/>
      <c r="AC38" s="2392"/>
      <c r="AD38" s="2392"/>
      <c r="AE38" s="2392"/>
      <c r="AF38" s="2392"/>
      <c r="AG38" s="2392"/>
      <c r="AH38" s="2392"/>
      <c r="AI38" s="2392"/>
      <c r="AJ38" s="2392"/>
      <c r="AK38" s="2392"/>
      <c r="AL38" s="2392"/>
      <c r="AM38" s="2392" t="s">
        <v>301</v>
      </c>
    </row>
    <row customHeight="1" ht="14.25">
      <c r="Q39" s="737"/>
      <c r="R39" s="737"/>
      <c r="S39" s="2545" t="s">
        <v>85</v>
      </c>
      <c r="T39" s="2482" t="s">
        <v>426</v>
      </c>
      <c r="U39" s="662"/>
      <c r="V39" s="2546" t="s">
        <v>427</v>
      </c>
      <c r="W39" s="2547"/>
      <c r="X39" s="2568"/>
      <c r="Y39" s="2568"/>
      <c r="Z39" s="2547"/>
      <c r="AA39" s="2547"/>
      <c r="AB39" s="2548"/>
      <c r="AC39" s="2549" t="s">
        <v>428</v>
      </c>
      <c r="AD39" s="2546" t="s">
        <v>427</v>
      </c>
      <c r="AE39" s="2547"/>
      <c r="AF39" s="2568"/>
      <c r="AG39" s="2568"/>
      <c r="AH39" s="2547"/>
      <c r="AI39" s="2547"/>
      <c r="AJ39" s="2548"/>
      <c r="AK39" s="2549" t="s">
        <v>429</v>
      </c>
      <c r="AL39" s="2552" t="s">
        <v>430</v>
      </c>
      <c r="AM39" s="2392"/>
    </row>
    <row customHeight="1" ht="23.25">
      <c r="Q40" s="737"/>
      <c r="R40" s="737"/>
      <c r="S40" s="2545"/>
      <c r="T40" s="2482"/>
      <c r="U40" s="1393"/>
      <c r="V40" s="2564" t="s">
        <v>431</v>
      </c>
      <c r="W40" s="2566" t="s">
        <v>432</v>
      </c>
      <c r="X40" s="1742" t="s">
        <v>433</v>
      </c>
      <c r="Y40" s="1742"/>
      <c r="Z40" s="2539" t="s">
        <v>434</v>
      </c>
      <c r="AA40" s="2539"/>
      <c r="AB40" s="2540"/>
      <c r="AC40" s="2550"/>
      <c r="AD40" s="2564" t="s">
        <v>431</v>
      </c>
      <c r="AE40" s="2566" t="s">
        <v>432</v>
      </c>
      <c r="AF40" s="1742" t="s">
        <v>433</v>
      </c>
      <c r="AG40" s="1742"/>
      <c r="AH40" s="2539" t="s">
        <v>434</v>
      </c>
      <c r="AI40" s="2539"/>
      <c r="AJ40" s="2540"/>
      <c r="AK40" s="2550"/>
      <c r="AL40" s="2553"/>
      <c r="AM40" s="2392"/>
    </row>
    <row s="19284" customFormat="1" customHeight="1" ht="23.25">
      <c r="A41" s="1736"/>
      <c r="B41" s="1736" t="s">
        <v>132</v>
      </c>
      <c r="C41" s="1736" t="s">
        <v>133</v>
      </c>
      <c r="D41" s="1736" t="s">
        <v>134</v>
      </c>
      <c r="E41" s="1730" t="s">
        <v>435</v>
      </c>
      <c r="F41" s="1730" t="s">
        <v>436</v>
      </c>
      <c r="G41" s="1730" t="s">
        <v>437</v>
      </c>
      <c r="H41" s="1730" t="s">
        <v>438</v>
      </c>
      <c r="I41" s="1730" t="s">
        <v>439</v>
      </c>
      <c r="J41" s="1730" t="s">
        <v>440</v>
      </c>
      <c r="K41" s="1730" t="s">
        <v>441</v>
      </c>
      <c r="L41" s="1730" t="s">
        <v>416</v>
      </c>
      <c r="M41" s="1728"/>
      <c r="N41" s="1728"/>
      <c r="O41" s="1728"/>
      <c r="P41" s="1694"/>
      <c r="Q41" s="737"/>
      <c r="R41" s="737"/>
      <c r="S41" s="2545"/>
      <c r="T41" s="2482"/>
      <c r="U41" s="663"/>
      <c r="V41" s="2565"/>
      <c r="W41" s="2567"/>
      <c r="X41" s="1739" t="s">
        <v>442</v>
      </c>
      <c r="Y41" s="1739" t="s">
        <v>443</v>
      </c>
      <c r="Z41" s="1700" t="s">
        <v>444</v>
      </c>
      <c r="AA41" s="2541" t="s">
        <v>445</v>
      </c>
      <c r="AB41" s="2542"/>
      <c r="AC41" s="2551"/>
      <c r="AD41" s="2565"/>
      <c r="AE41" s="2567"/>
      <c r="AF41" s="1739" t="s">
        <v>442</v>
      </c>
      <c r="AG41" s="1739" t="s">
        <v>443</v>
      </c>
      <c r="AH41" s="1700" t="s">
        <v>444</v>
      </c>
      <c r="AI41" s="2541" t="s">
        <v>445</v>
      </c>
      <c r="AJ41" s="2542"/>
      <c r="AK41" s="2551"/>
      <c r="AL41" s="2554"/>
      <c r="AM41" s="2392"/>
      <c r="AN41" s="872"/>
      <c r="AO41" s="861"/>
      <c r="AP41" s="861"/>
      <c r="AQ41" s="861"/>
      <c r="AR41" s="861"/>
    </row>
    <row s="18977" customFormat="1" customHeight="1" ht="11.25" hidden="1">
      <c r="A42" s="1736"/>
      <c r="B42" s="1736"/>
      <c r="C42" s="1736"/>
      <c r="D42" s="1736"/>
      <c r="E42" s="1736"/>
      <c r="F42" s="1736"/>
      <c r="G42" s="1736"/>
      <c r="H42" s="1736"/>
      <c r="I42" s="1736"/>
      <c r="J42" s="1736"/>
      <c r="K42" s="1736"/>
      <c r="L42" s="1730"/>
      <c r="M42" s="1728"/>
      <c r="N42" s="1728"/>
      <c r="O42" s="1728"/>
      <c r="P42" s="1611"/>
      <c r="Q42" s="1612"/>
      <c r="R42" s="1619">
        <v>1</v>
      </c>
      <c r="S42" s="1643" t="s">
        <v>106</v>
      </c>
      <c r="T42" s="1620" t="s">
        <v>107</v>
      </c>
      <c r="U42" s="1610" t="str">
        <f>OFFSET(U42,0,-1)</f>
        <v>2</v>
      </c>
      <c r="V42" s="1701">
        <f>OFFSET(V42,0,-1)+1</f>
        <v>3</v>
      </c>
      <c r="W42" s="1701"/>
      <c r="X42" s="1707">
        <f>OFFSET(X42,0,-1)+1</f>
        <v>1</v>
      </c>
      <c r="Y42" s="1707">
        <f>OFFSET(Y42,0,-1)+1</f>
        <v>2</v>
      </c>
      <c r="Z42" s="1701">
        <f>OFFSET(Z42,0,-1)+1</f>
        <v>3</v>
      </c>
      <c r="AA42" s="2543">
        <f>OFFSET(AA42,0,-1)+1</f>
        <v>4</v>
      </c>
      <c r="AB42" s="2543"/>
      <c r="AC42" s="1701">
        <f>OFFSET(AC42,0,-2)+1</f>
        <v>5</v>
      </c>
      <c r="AD42" s="1701">
        <f>OFFSET(AD42,0,-1)+1</f>
        <v>6</v>
      </c>
      <c r="AE42" s="1701"/>
      <c r="AF42" s="1707">
        <f>OFFSET(AF42,0,-1)+1</f>
        <v>1</v>
      </c>
      <c r="AG42" s="1707">
        <f>OFFSET(AG42,0,-1)+1</f>
        <v>2</v>
      </c>
      <c r="AH42" s="1701">
        <f>OFFSET(AH42,0,-1)+1</f>
        <v>3</v>
      </c>
      <c r="AI42" s="2543">
        <f>OFFSET(AI42,0,-1)+1</f>
        <v>4</v>
      </c>
      <c r="AJ42" s="2543"/>
      <c r="AK42" s="1701">
        <f>OFFSET(AK42,0,-2)+1</f>
        <v>5</v>
      </c>
      <c r="AL42" s="1610">
        <f>OFFSET(AL42,0,-1)</f>
        <v>5</v>
      </c>
      <c r="AM42" s="1701">
        <f>OFFSET(AM42,0,-1)+1</f>
        <v>6</v>
      </c>
      <c r="AN42" s="872"/>
      <c r="AO42" s="872"/>
      <c r="AP42" s="872"/>
      <c r="AQ42" s="872"/>
      <c r="AR42" s="872"/>
    </row>
    <row customHeight="1" ht="21">
      <c r="A43" s="1729" t="s">
        <v>189</v>
      </c>
      <c r="B43" s="1729"/>
      <c r="C43" s="1729"/>
      <c r="D43" s="1729"/>
      <c r="E43" s="2527">
        <v>1</v>
      </c>
      <c r="F43" s="1729"/>
      <c r="G43" s="1729"/>
      <c r="H43" s="1729"/>
      <c r="I43" s="1729"/>
      <c r="J43" s="1729"/>
      <c r="K43" s="1729"/>
      <c r="L43" s="1730"/>
      <c r="M43" s="1731"/>
      <c r="N43" s="1731"/>
      <c r="O43" s="1731"/>
      <c r="P43" s="722"/>
      <c r="Q43" s="721"/>
      <c r="R43" s="716"/>
      <c r="S43" s="1702">
        <f>INDEX(PT_DIFFERENTIATION_NUM_NTAR,MATCH(A43,PT_DIFFERENTIATION_NTAR_ID,0))</f>
        <v>0</v>
      </c>
      <c r="T43" s="659" t="s">
        <v>120</v>
      </c>
      <c r="U43" s="661"/>
      <c r="V43" s="2521"/>
      <c r="W43" s="2522"/>
      <c r="X43" s="2522"/>
      <c r="Y43" s="2522"/>
      <c r="Z43" s="2522"/>
      <c r="AA43" s="2522"/>
      <c r="AB43" s="2522"/>
      <c r="AC43" s="2523"/>
      <c r="AD43" s="2521" t="str">
        <f>INDEX(PT_DIFFERENTIATION_NTAR,MATCH(A43,PT_DIFFERENTIATION_NTAR_ID,0))</f>
        <v/>
      </c>
      <c r="AE43" s="2522"/>
      <c r="AF43" s="2522"/>
      <c r="AG43" s="2522"/>
      <c r="AH43" s="2522"/>
      <c r="AI43" s="2522"/>
      <c r="AJ43" s="2522"/>
      <c r="AK43" s="2522"/>
      <c r="AL43" s="2523"/>
      <c r="AM43" s="162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861"/>
      <c r="AP43" s="861" t="str">
        <f>IF(T43="","",T43)</f>
        <v>Наименование тарифа</v>
      </c>
      <c r="AQ43" s="861"/>
      <c r="AR43" s="861"/>
    </row>
    <row customHeight="1" ht="21">
      <c r="A44" s="1729" t="s">
        <v>189</v>
      </c>
      <c r="B44" s="1729" t="s">
        <v>190</v>
      </c>
      <c r="C44" s="1729"/>
      <c r="D44" s="1729"/>
      <c r="E44" s="2528"/>
      <c r="F44" s="2527">
        <v>1</v>
      </c>
      <c r="G44" s="1729"/>
      <c r="H44" s="1729"/>
      <c r="I44" s="1729"/>
      <c r="J44" s="1729"/>
      <c r="K44" s="1729"/>
      <c r="L44" s="1730"/>
      <c r="M44" s="1731"/>
      <c r="N44" s="1731"/>
      <c r="O44" s="1731"/>
      <c r="P44" s="1698"/>
      <c r="Q44" s="713"/>
      <c r="R44" s="714"/>
      <c r="S44" s="1702" t="str">
        <f>INDEX(PT_DIFFERENTIATION_NUM_TER,MATCH(B44,PT_DIFFERENTIATION_TER_ID,0))</f>
        <v>.</v>
      </c>
      <c r="T44" s="669" t="s">
        <v>397</v>
      </c>
      <c r="U44" s="661"/>
      <c r="V44" s="2521"/>
      <c r="W44" s="2522"/>
      <c r="X44" s="2522"/>
      <c r="Y44" s="2522"/>
      <c r="Z44" s="2522"/>
      <c r="AA44" s="2522"/>
      <c r="AB44" s="2522"/>
      <c r="AC44" s="2523"/>
      <c r="AD44" s="2521" t="str">
        <f>INDEX(PT_DIFFERENTIATION_TER,MATCH(B44,PT_DIFFERENTIATION_TER_ID,0))</f>
        <v/>
      </c>
      <c r="AE44" s="2522"/>
      <c r="AF44" s="2522"/>
      <c r="AG44" s="2522"/>
      <c r="AH44" s="2522"/>
      <c r="AI44" s="2522"/>
      <c r="AJ44" s="2522"/>
      <c r="AK44" s="2522"/>
      <c r="AL44" s="2523"/>
      <c r="AM44" s="1623" t="s">
        <v>398</v>
      </c>
      <c r="AO44" s="861"/>
      <c r="AP44" s="861" t="str">
        <f>IF(T44="","",T44)</f>
        <v>Территория действия тарифа</v>
      </c>
      <c r="AQ44" s="861"/>
      <c r="AR44" s="861"/>
    </row>
    <row customHeight="1" ht="23.25">
      <c r="A45" s="1729" t="s">
        <v>189</v>
      </c>
      <c r="B45" s="1729" t="s">
        <v>190</v>
      </c>
      <c r="C45" s="1729" t="s">
        <v>191</v>
      </c>
      <c r="D45" s="1729"/>
      <c r="E45" s="2528"/>
      <c r="F45" s="2528"/>
      <c r="G45" s="2527">
        <v>1</v>
      </c>
      <c r="H45" s="1729"/>
      <c r="I45" s="1729"/>
      <c r="J45" s="1729"/>
      <c r="K45" s="1729"/>
      <c r="L45" s="1730"/>
      <c r="M45" s="1731"/>
      <c r="N45" s="1731"/>
      <c r="O45" s="1731"/>
      <c r="P45" s="715"/>
      <c r="Q45" s="713"/>
      <c r="R45" s="714"/>
      <c r="S45" s="1702" t="str">
        <f>INDEX(PT_DIFFERENTIATION_NUM_CS,MATCH(C45,PT_DIFFERENTIATION_CS_ID,0))</f>
        <v>..</v>
      </c>
      <c r="T45" s="670" t="s">
        <v>399</v>
      </c>
      <c r="U45" s="661"/>
      <c r="V45" s="2521"/>
      <c r="W45" s="2522"/>
      <c r="X45" s="2522"/>
      <c r="Y45" s="2522"/>
      <c r="Z45" s="2522"/>
      <c r="AA45" s="2522"/>
      <c r="AB45" s="2522"/>
      <c r="AC45" s="2523"/>
      <c r="AD45" s="2521" t="str">
        <f>INDEX(PT_DIFFERENTIATION_CS,MATCH(C45,PT_DIFFERENTIATION_CS_ID,0))</f>
        <v/>
      </c>
      <c r="AE45" s="2522"/>
      <c r="AF45" s="2522"/>
      <c r="AG45" s="2522"/>
      <c r="AH45" s="2522"/>
      <c r="AI45" s="2522"/>
      <c r="AJ45" s="2522"/>
      <c r="AK45" s="2522"/>
      <c r="AL45" s="2523"/>
      <c r="AM45" s="1623" t="s">
        <v>400</v>
      </c>
      <c r="AO45" s="861"/>
      <c r="AP45" s="861" t="str">
        <f>IF(T45="","",T45)</f>
        <v>Наименование системы теплоснабжения </v>
      </c>
      <c r="AQ45" s="861"/>
      <c r="AR45" s="861"/>
    </row>
    <row customHeight="1" ht="21">
      <c r="A46" s="1729" t="s">
        <v>189</v>
      </c>
      <c r="B46" s="1729" t="s">
        <v>190</v>
      </c>
      <c r="C46" s="1729" t="s">
        <v>191</v>
      </c>
      <c r="D46" s="1729" t="s">
        <v>192</v>
      </c>
      <c r="E46" s="2528"/>
      <c r="F46" s="2528"/>
      <c r="G46" s="2528"/>
      <c r="H46" s="2527">
        <v>1</v>
      </c>
      <c r="I46" s="1729"/>
      <c r="J46" s="1729"/>
      <c r="K46" s="1729"/>
      <c r="L46" s="1730"/>
      <c r="M46" s="1731"/>
      <c r="N46" s="1731"/>
      <c r="O46" s="1731"/>
      <c r="P46" s="715"/>
      <c r="Q46" s="713"/>
      <c r="R46" s="714"/>
      <c r="S46" s="1702" t="str">
        <f>INDEX(PT_DIFFERENTIATION_NUM_IST_TE,MATCH(D46,PT_DIFFERENTIATION_IST_TE_ID,0))</f>
        <v>...</v>
      </c>
      <c r="T46" s="671" t="s">
        <v>401</v>
      </c>
      <c r="U46" s="661"/>
      <c r="V46" s="2521"/>
      <c r="W46" s="2522"/>
      <c r="X46" s="2522"/>
      <c r="Y46" s="2522"/>
      <c r="Z46" s="2522"/>
      <c r="AA46" s="2522"/>
      <c r="AB46" s="2522"/>
      <c r="AC46" s="2523"/>
      <c r="AD46" s="2521" t="str">
        <f>INDEX(PT_DIFFERENTIATION_IST_TE,MATCH(D46,PT_DIFFERENTIATION_IST_TE_ID,0))</f>
        <v/>
      </c>
      <c r="AE46" s="2522"/>
      <c r="AF46" s="2522"/>
      <c r="AG46" s="2522"/>
      <c r="AH46" s="2522"/>
      <c r="AI46" s="2522"/>
      <c r="AJ46" s="2522"/>
      <c r="AK46" s="2522"/>
      <c r="AL46" s="2523"/>
      <c r="AM46" s="1623" t="s">
        <v>402</v>
      </c>
      <c r="AO46" s="861"/>
      <c r="AP46" s="861" t="str">
        <f>IF(T46="","",T46)</f>
        <v>Источник тепловой энергии  </v>
      </c>
      <c r="AQ46" s="861"/>
      <c r="AR46" s="861"/>
    </row>
    <row customHeight="1" ht="47.25">
      <c r="A47" s="1729" t="s">
        <v>189</v>
      </c>
      <c r="B47" s="1729" t="s">
        <v>190</v>
      </c>
      <c r="C47" s="1729" t="s">
        <v>191</v>
      </c>
      <c r="D47" s="1729" t="s">
        <v>192</v>
      </c>
      <c r="E47" s="2528"/>
      <c r="F47" s="2528"/>
      <c r="G47" s="2528"/>
      <c r="H47" s="2528"/>
      <c r="I47" s="2529" t="str">
        <f>S46&amp;".1"</f>
        <v>....1</v>
      </c>
      <c r="J47" s="1729"/>
      <c r="K47" s="1729"/>
      <c r="L47" s="1730" t="s">
        <v>403</v>
      </c>
      <c r="P47" s="2531">
        <v>1</v>
      </c>
      <c r="Q47" s="1697"/>
      <c r="R47" s="717"/>
      <c r="S47" s="1702" t="str">
        <f>$I47</f>
        <v>....1</v>
      </c>
      <c r="T47" s="646" t="s">
        <v>404</v>
      </c>
      <c r="U47" s="661"/>
      <c r="V47" s="2515"/>
      <c r="W47" s="2516"/>
      <c r="X47" s="2516"/>
      <c r="Y47" s="2516"/>
      <c r="Z47" s="2516"/>
      <c r="AA47" s="2516"/>
      <c r="AB47" s="2516"/>
      <c r="AC47" s="2517"/>
      <c r="AD47" s="2515"/>
      <c r="AE47" s="2516"/>
      <c r="AF47" s="2516"/>
      <c r="AG47" s="2516"/>
      <c r="AH47" s="2516"/>
      <c r="AI47" s="2516"/>
      <c r="AJ47" s="2516"/>
      <c r="AK47" s="2516"/>
      <c r="AL47" s="2517"/>
      <c r="AM47" s="1623" t="s">
        <v>405</v>
      </c>
      <c r="AO47" s="861"/>
      <c r="AP47" s="861" t="str">
        <f>IF(T47="","",T47)</f>
        <v>Схема подключения теплопотребляющей установки к коллектору источника тепловой энергии</v>
      </c>
      <c r="AQ47" s="861"/>
      <c r="AR47" s="861"/>
    </row>
    <row customHeight="1" ht="21">
      <c r="A48" s="1729" t="s">
        <v>189</v>
      </c>
      <c r="B48" s="1729" t="s">
        <v>190</v>
      </c>
      <c r="C48" s="1729" t="s">
        <v>191</v>
      </c>
      <c r="D48" s="1729" t="s">
        <v>192</v>
      </c>
      <c r="E48" s="2528"/>
      <c r="F48" s="2528"/>
      <c r="G48" s="2528"/>
      <c r="H48" s="2528"/>
      <c r="I48" s="2530"/>
      <c r="J48" s="2529" t="str">
        <f>I47&amp;".1"</f>
        <v>....1.1</v>
      </c>
      <c r="K48" s="1729"/>
      <c r="L48" s="1730" t="s">
        <v>406</v>
      </c>
      <c r="P48" s="2531"/>
      <c r="Q48" s="2531">
        <v>1</v>
      </c>
      <c r="R48" s="718"/>
      <c r="S48" s="1702" t="str">
        <f>$J48</f>
        <v>....1.1</v>
      </c>
      <c r="T48" s="647" t="s">
        <v>407</v>
      </c>
      <c r="U48" s="661"/>
      <c r="V48" s="2515"/>
      <c r="W48" s="2516"/>
      <c r="X48" s="2516"/>
      <c r="Y48" s="2516"/>
      <c r="Z48" s="2516"/>
      <c r="AA48" s="2516"/>
      <c r="AB48" s="2516"/>
      <c r="AC48" s="2517"/>
      <c r="AD48" s="2515"/>
      <c r="AE48" s="2516"/>
      <c r="AF48" s="2516"/>
      <c r="AG48" s="2516"/>
      <c r="AH48" s="2516"/>
      <c r="AI48" s="2516"/>
      <c r="AJ48" s="2516"/>
      <c r="AK48" s="2516"/>
      <c r="AL48" s="2517"/>
      <c r="AM48" s="1623" t="s">
        <v>408</v>
      </c>
      <c r="AO48" s="861"/>
      <c r="AP48" s="861" t="str">
        <f>IF(T48="","",T48)</f>
        <v>Группа потребителей</v>
      </c>
      <c r="AQ48" s="861"/>
      <c r="AR48" s="861"/>
    </row>
    <row customHeight="1" ht="21">
      <c r="A49" s="1729" t="s">
        <v>189</v>
      </c>
      <c r="B49" s="1729" t="s">
        <v>190</v>
      </c>
      <c r="C49" s="1729" t="s">
        <v>191</v>
      </c>
      <c r="D49" s="1729" t="s">
        <v>192</v>
      </c>
      <c r="E49" s="2528"/>
      <c r="F49" s="2528"/>
      <c r="G49" s="2528"/>
      <c r="H49" s="2528"/>
      <c r="I49" s="2530"/>
      <c r="J49" s="2530"/>
      <c r="K49" s="2529" t="str">
        <f>J48&amp;".1"</f>
        <v>....1.1.1</v>
      </c>
      <c r="L49" s="1730" t="s">
        <v>409</v>
      </c>
      <c r="P49" s="2531"/>
      <c r="Q49" s="2531"/>
      <c r="R49" s="718">
        <v>1</v>
      </c>
      <c r="S49" s="1702" t="str">
        <f>$K49</f>
        <v>....1.1.1</v>
      </c>
      <c r="T49" s="1713"/>
      <c r="U49" s="661"/>
      <c r="V49" s="686"/>
      <c r="W49" s="1112"/>
      <c r="X49" s="686"/>
      <c r="Y49" s="745"/>
      <c r="Z49" s="2532"/>
      <c r="AA49" s="2402" t="s">
        <v>59</v>
      </c>
      <c r="AB49" s="2532"/>
      <c r="AC49" s="2402" t="s">
        <v>59</v>
      </c>
      <c r="AD49" s="686"/>
      <c r="AE49" s="1112"/>
      <c r="AF49" s="686"/>
      <c r="AG49" s="745"/>
      <c r="AH49" s="2532"/>
      <c r="AI49" s="2402" t="s">
        <v>59</v>
      </c>
      <c r="AJ49" s="2534"/>
      <c r="AK49" s="2402" t="s">
        <v>59</v>
      </c>
      <c r="AL49" s="1714"/>
      <c r="AM49" s="2557" t="s">
        <v>410</v>
      </c>
      <c r="AN49" s="872">
        <f>STRCHECKDATE(V50:AL50)</f>
      </c>
      <c r="AO49" s="861"/>
      <c r="AP49" s="861" t="str">
        <f>IF(T49="","",T49)</f>
        <v/>
      </c>
      <c r="AQ49" s="861"/>
      <c r="AR49" s="861"/>
    </row>
    <row customHeight="1" ht="0.75">
      <c r="A50" s="1729" t="s">
        <v>189</v>
      </c>
      <c r="B50" s="1729" t="s">
        <v>190</v>
      </c>
      <c r="C50" s="1729" t="s">
        <v>191</v>
      </c>
      <c r="D50" s="1729" t="s">
        <v>192</v>
      </c>
      <c r="E50" s="2528"/>
      <c r="F50" s="2528"/>
      <c r="G50" s="2528"/>
      <c r="H50" s="2528"/>
      <c r="I50" s="2530"/>
      <c r="J50" s="2530"/>
      <c r="K50" s="2529"/>
      <c r="L50" s="1730"/>
      <c r="P50" s="2531"/>
      <c r="Q50" s="2531"/>
      <c r="R50" s="718"/>
      <c r="S50" s="1708"/>
      <c r="T50" s="661"/>
      <c r="U50" s="661"/>
      <c r="V50" s="686"/>
      <c r="W50" s="686"/>
      <c r="X50" s="686"/>
      <c r="Y50" s="689" t="str">
        <f>Z49&amp;"-"&amp;AB49</f>
        <v>-</v>
      </c>
      <c r="Z50" s="2533"/>
      <c r="AA50" s="2402"/>
      <c r="AB50" s="2533"/>
      <c r="AC50" s="2402"/>
      <c r="AD50" s="686"/>
      <c r="AE50" s="686"/>
      <c r="AF50" s="686"/>
      <c r="AG50" s="689" t="str">
        <f>AH49&amp;"-"&amp;AJ49</f>
        <v>-</v>
      </c>
      <c r="AH50" s="2533"/>
      <c r="AI50" s="2402"/>
      <c r="AJ50" s="2535"/>
      <c r="AK50" s="2402"/>
      <c r="AL50" s="1715"/>
      <c r="AM50" s="2558"/>
      <c r="AO50" s="861"/>
      <c r="AP50" s="861" t="str">
        <f>IF(T50="","",T50)</f>
        <v/>
      </c>
      <c r="AQ50" s="861"/>
      <c r="AR50" s="861"/>
    </row>
    <row customHeight="1" ht="11.25">
      <c r="A51" s="1729" t="s">
        <v>189</v>
      </c>
      <c r="B51" s="1729" t="s">
        <v>190</v>
      </c>
      <c r="C51" s="1729" t="s">
        <v>191</v>
      </c>
      <c r="D51" s="1729" t="s">
        <v>192</v>
      </c>
      <c r="E51" s="2528"/>
      <c r="F51" s="2528"/>
      <c r="G51" s="2528"/>
      <c r="H51" s="2528"/>
      <c r="I51" s="2530"/>
      <c r="J51" s="2529"/>
      <c r="K51" s="1729"/>
      <c r="L51" s="1730"/>
      <c r="P51" s="2531"/>
      <c r="Q51" s="2531"/>
      <c r="R51" s="717"/>
      <c r="S51" s="1644"/>
      <c r="T51" s="649" t="s">
        <v>411</v>
      </c>
      <c r="U51" s="728"/>
      <c r="V51" s="728"/>
      <c r="W51" s="728"/>
      <c r="X51" s="728"/>
      <c r="Y51" s="728"/>
      <c r="Z51" s="728"/>
      <c r="AA51" s="728"/>
      <c r="AB51" s="728"/>
      <c r="AC51" s="728"/>
      <c r="AD51" s="728"/>
      <c r="AE51" s="728"/>
      <c r="AF51" s="728"/>
      <c r="AG51" s="728"/>
      <c r="AH51" s="728"/>
      <c r="AI51" s="728"/>
      <c r="AJ51" s="728"/>
      <c r="AK51" s="728"/>
      <c r="AL51" s="685"/>
      <c r="AM51" s="2559"/>
      <c r="AO51" s="861"/>
      <c r="AP51" s="861" t="str">
        <f>IF(T51="","",T51)</f>
        <v>Добавить вид теплоносителя (параметры теплоносителя)</v>
      </c>
      <c r="AQ51" s="861"/>
      <c r="AR51" s="861"/>
    </row>
    <row customHeight="1" ht="11.25">
      <c r="A52" s="1729" t="s">
        <v>189</v>
      </c>
      <c r="B52" s="1729" t="s">
        <v>190</v>
      </c>
      <c r="C52" s="1729" t="s">
        <v>191</v>
      </c>
      <c r="D52" s="1729" t="s">
        <v>192</v>
      </c>
      <c r="E52" s="2528"/>
      <c r="F52" s="2528"/>
      <c r="G52" s="2528"/>
      <c r="H52" s="2528"/>
      <c r="I52" s="2529"/>
      <c r="J52" s="1729"/>
      <c r="K52" s="1729"/>
      <c r="L52" s="1730"/>
      <c r="P52" s="2531"/>
      <c r="Q52" s="1697"/>
      <c r="R52" s="717"/>
      <c r="S52" s="1644"/>
      <c r="T52" s="648" t="s">
        <v>412</v>
      </c>
      <c r="U52" s="728"/>
      <c r="V52" s="728"/>
      <c r="W52" s="728"/>
      <c r="X52" s="728"/>
      <c r="Y52" s="728"/>
      <c r="Z52" s="728"/>
      <c r="AA52" s="728"/>
      <c r="AB52" s="728"/>
      <c r="AC52" s="727"/>
      <c r="AD52" s="728"/>
      <c r="AE52" s="728"/>
      <c r="AF52" s="728"/>
      <c r="AG52" s="728"/>
      <c r="AH52" s="728"/>
      <c r="AI52" s="728"/>
      <c r="AJ52" s="728"/>
      <c r="AK52" s="727"/>
      <c r="AL52" s="728"/>
      <c r="AM52" s="664"/>
      <c r="AO52" s="861"/>
      <c r="AP52" s="861" t="str">
        <f>IF(T52="","",T52)</f>
        <v>Добавить группу потребителей</v>
      </c>
      <c r="AQ52" s="861"/>
      <c r="AR52" s="861"/>
    </row>
    <row customHeight="1" ht="14.25">
      <c r="A53" s="1729" t="s">
        <v>189</v>
      </c>
      <c r="B53" s="1729" t="s">
        <v>190</v>
      </c>
      <c r="C53" s="1729" t="s">
        <v>191</v>
      </c>
      <c r="D53" s="1729" t="s">
        <v>192</v>
      </c>
      <c r="E53" s="2528"/>
      <c r="F53" s="2528"/>
      <c r="G53" s="2528"/>
      <c r="H53" s="2527"/>
      <c r="I53" s="1729"/>
      <c r="J53" s="1729"/>
      <c r="K53" s="1729"/>
      <c r="L53" s="1730"/>
      <c r="M53" s="1731"/>
      <c r="N53" s="1731"/>
      <c r="O53" s="898"/>
      <c r="P53" s="721"/>
      <c r="Q53" s="736"/>
      <c r="R53" s="716"/>
      <c r="S53" s="1644"/>
      <c r="T53" s="726" t="s">
        <v>413</v>
      </c>
      <c r="U53" s="728"/>
      <c r="V53" s="728"/>
      <c r="W53" s="728"/>
      <c r="X53" s="728"/>
      <c r="Y53" s="728"/>
      <c r="Z53" s="728"/>
      <c r="AA53" s="728"/>
      <c r="AB53" s="728"/>
      <c r="AC53" s="727"/>
      <c r="AD53" s="728"/>
      <c r="AE53" s="728"/>
      <c r="AF53" s="728"/>
      <c r="AG53" s="728"/>
      <c r="AH53" s="728"/>
      <c r="AI53" s="728"/>
      <c r="AJ53" s="728"/>
      <c r="AK53" s="727"/>
      <c r="AL53" s="728"/>
      <c r="AM53" s="664"/>
      <c r="AO53" s="861"/>
      <c r="AP53" s="861" t="str">
        <f>IF(T53="","",T53)</f>
        <v>Добавить схему подключения</v>
      </c>
      <c r="AQ53" s="861"/>
      <c r="AR53" s="861"/>
    </row>
    <row s="19127" customFormat="1" customHeight="1" ht="0.75">
      <c r="A54" s="1709" t="s">
        <v>189</v>
      </c>
      <c r="B54" s="1709" t="s">
        <v>190</v>
      </c>
      <c r="C54" s="1709" t="s">
        <v>191</v>
      </c>
      <c r="D54" s="1680"/>
      <c r="E54" s="2528"/>
      <c r="F54" s="2528"/>
      <c r="G54" s="2527"/>
      <c r="H54" s="1680"/>
      <c r="I54" s="1680"/>
      <c r="J54" s="1680"/>
      <c r="K54" s="1680"/>
      <c r="L54" s="1705"/>
      <c r="M54" s="1681"/>
      <c r="N54" s="1681"/>
      <c r="P54" s="1682"/>
      <c r="Q54" s="1683"/>
      <c r="R54" s="1682"/>
      <c r="S54" s="1688"/>
      <c r="T54" s="1691" t="s">
        <v>414</v>
      </c>
      <c r="U54" s="1690"/>
      <c r="V54" s="1690"/>
      <c r="W54" s="1690"/>
      <c r="X54" s="1690"/>
      <c r="Y54" s="1690"/>
      <c r="Z54" s="1690"/>
      <c r="AA54" s="1690"/>
      <c r="AB54" s="1690"/>
      <c r="AC54" s="1690"/>
      <c r="AD54" s="1690"/>
      <c r="AE54" s="1690"/>
      <c r="AF54" s="1690"/>
      <c r="AG54" s="1690"/>
      <c r="AH54" s="1690"/>
      <c r="AI54" s="1690"/>
      <c r="AJ54" s="1690"/>
      <c r="AK54" s="1690"/>
      <c r="AL54" s="1690"/>
      <c r="AM54" s="1690"/>
      <c r="AO54" s="1150"/>
      <c r="AP54" s="1150" t="str">
        <f>IF(T54="","",T54)</f>
        <v>Добавить источник для дифференциации</v>
      </c>
      <c r="AQ54" s="1150"/>
      <c r="AR54" s="1150"/>
    </row>
    <row s="19127" customFormat="1" customHeight="1" ht="0.75">
      <c r="A55" s="1709" t="s">
        <v>189</v>
      </c>
      <c r="B55" s="1709" t="s">
        <v>190</v>
      </c>
      <c r="C55" s="1680"/>
      <c r="D55" s="1680"/>
      <c r="E55" s="2528"/>
      <c r="F55" s="2527"/>
      <c r="G55" s="1680"/>
      <c r="H55" s="1680"/>
      <c r="I55" s="1680"/>
      <c r="J55" s="1680"/>
      <c r="K55" s="1680"/>
      <c r="L55" s="1705"/>
      <c r="M55" s="1687"/>
      <c r="N55" s="1687"/>
      <c r="P55" s="1682"/>
      <c r="Q55" s="1683"/>
      <c r="R55" s="1682"/>
      <c r="S55" s="1688"/>
      <c r="T55" s="1691" t="s">
        <v>251</v>
      </c>
      <c r="U55" s="1690"/>
      <c r="V55" s="1690"/>
      <c r="W55" s="1690"/>
      <c r="X55" s="1690"/>
      <c r="Y55" s="1690"/>
      <c r="Z55" s="1690"/>
      <c r="AA55" s="1690"/>
      <c r="AB55" s="1690"/>
      <c r="AC55" s="1690"/>
      <c r="AD55" s="1690"/>
      <c r="AE55" s="1690"/>
      <c r="AF55" s="1690"/>
      <c r="AG55" s="1690"/>
      <c r="AH55" s="1690"/>
      <c r="AI55" s="1690"/>
      <c r="AJ55" s="1690"/>
      <c r="AK55" s="1690"/>
      <c r="AL55" s="1690"/>
      <c r="AM55" s="1690"/>
      <c r="AO55" s="1150"/>
      <c r="AP55" s="1150" t="str">
        <f>IF(T55="","",T55)</f>
        <v>Добавить централизованную систему для дифференциации</v>
      </c>
      <c r="AQ55" s="1150"/>
      <c r="AR55" s="1150"/>
    </row>
    <row s="19219" customFormat="1" customHeight="1" ht="0.75">
      <c r="A56" s="1709" t="s">
        <v>189</v>
      </c>
      <c r="B56" s="1709"/>
      <c r="C56" s="1709"/>
      <c r="D56" s="1709"/>
      <c r="E56" s="2527"/>
      <c r="F56" s="1709"/>
      <c r="G56" s="1709"/>
      <c r="H56" s="1709"/>
      <c r="I56" s="1709"/>
      <c r="J56" s="1709"/>
      <c r="K56" s="1709"/>
      <c r="L56" s="1712"/>
      <c r="M56" s="1687"/>
      <c r="N56" s="1687"/>
      <c r="O56" s="879"/>
      <c r="P56" s="741"/>
      <c r="Q56" s="1710"/>
      <c r="R56" s="741"/>
      <c r="S56" s="1688"/>
      <c r="T56" s="1691" t="s">
        <v>252</v>
      </c>
      <c r="U56" s="1690"/>
      <c r="V56" s="1690"/>
      <c r="W56" s="1690"/>
      <c r="X56" s="1690"/>
      <c r="Y56" s="1690"/>
      <c r="Z56" s="1690"/>
      <c r="AA56" s="1690"/>
      <c r="AB56" s="1690"/>
      <c r="AC56" s="1690"/>
      <c r="AD56" s="1690"/>
      <c r="AE56" s="1690"/>
      <c r="AF56" s="1690"/>
      <c r="AG56" s="1690"/>
      <c r="AH56" s="1690"/>
      <c r="AI56" s="1690"/>
      <c r="AJ56" s="1690"/>
      <c r="AK56" s="1690"/>
      <c r="AL56" s="1690"/>
      <c r="AM56" s="1690"/>
      <c r="AO56" s="861"/>
      <c r="AP56" s="861" t="str">
        <f>IF(T56="","",T56)</f>
        <v>Добавить территорию для дифференциации</v>
      </c>
      <c r="AQ56" s="861"/>
      <c r="AR56" s="861"/>
    </row>
    <row s="19127" customFormat="1" customHeight="1" ht="0.75">
      <c r="A57" s="1680"/>
      <c r="B57" s="1680"/>
      <c r="C57" s="1680"/>
      <c r="D57" s="1680"/>
      <c r="E57" s="1709"/>
      <c r="F57" s="1680"/>
      <c r="G57" s="1680"/>
      <c r="H57" s="1680"/>
      <c r="I57" s="1680"/>
      <c r="J57" s="1680"/>
      <c r="K57" s="1680"/>
      <c r="L57" s="1705"/>
      <c r="M57" s="1687"/>
      <c r="N57" s="1687"/>
      <c r="P57" s="1682"/>
      <c r="Q57" s="1683"/>
      <c r="R57" s="1682"/>
      <c r="S57" s="1688"/>
      <c r="T57" s="1691" t="s">
        <v>253</v>
      </c>
      <c r="U57" s="1690"/>
      <c r="V57" s="1690"/>
      <c r="W57" s="1690"/>
      <c r="X57" s="1690"/>
      <c r="Y57" s="1690"/>
      <c r="Z57" s="1690"/>
      <c r="AA57" s="1690"/>
      <c r="AB57" s="1690"/>
      <c r="AC57" s="1690"/>
      <c r="AD57" s="1690"/>
      <c r="AE57" s="1690"/>
      <c r="AF57" s="1690"/>
      <c r="AG57" s="1690"/>
      <c r="AH57" s="1690"/>
      <c r="AI57" s="1690"/>
      <c r="AJ57" s="1690"/>
      <c r="AK57" s="1690"/>
      <c r="AL57" s="1690"/>
      <c r="AM57" s="1690"/>
      <c r="AO57" s="1150"/>
      <c r="AP57" s="1150" t="str">
        <f>IF(T57="","",T57)</f>
        <v>Добавить наименование тарифа</v>
      </c>
      <c r="AQ57" s="1150"/>
      <c r="AR57" s="1150"/>
    </row>
    <row customHeight="1" ht="11.25">
      <c r="M58" s="1523"/>
      <c r="N58" s="1523"/>
      <c r="O58" s="898"/>
      <c r="P58" s="1518"/>
      <c r="Q58" s="1518"/>
      <c r="R58" s="1518"/>
      <c r="S58" s="1518"/>
      <c r="AN58" s="1518"/>
      <c r="AO58" s="1518"/>
      <c r="AP58" s="1518"/>
      <c r="AQ58" s="1518"/>
      <c r="AR58" s="1518"/>
    </row>
    <row customHeight="1" ht="27">
      <c r="O59" s="898"/>
      <c r="S59" s="1618"/>
      <c r="T59" s="2526"/>
      <c r="U59" s="2526"/>
      <c r="V59" s="2526"/>
      <c r="W59" s="2526"/>
      <c r="X59" s="2526"/>
      <c r="Y59" s="2526"/>
      <c r="Z59" s="2526"/>
      <c r="AA59" s="2526"/>
      <c r="AB59" s="2526"/>
      <c r="AC59" s="2526"/>
      <c r="AD59" s="2526"/>
      <c r="AE59" s="2526"/>
      <c r="AF59" s="2526"/>
      <c r="AG59" s="2526"/>
      <c r="AH59" s="2526"/>
      <c r="AI59" s="2526"/>
      <c r="AJ59" s="2526"/>
      <c r="AK59" s="2526"/>
      <c r="AL59" s="2526"/>
      <c r="AM59" s="2526"/>
    </row>
    <row customHeight="1" ht="75">
      <c r="O60" s="898"/>
      <c r="T60" s="2526"/>
      <c r="U60" s="2526"/>
      <c r="V60" s="2526"/>
      <c r="W60" s="2526"/>
      <c r="X60" s="2526"/>
      <c r="Y60" s="2526"/>
      <c r="Z60" s="2526"/>
      <c r="AA60" s="2526"/>
      <c r="AB60" s="2526"/>
      <c r="AC60" s="2526"/>
      <c r="AD60" s="2526"/>
      <c r="AE60" s="2526"/>
      <c r="AF60" s="2526"/>
      <c r="AG60" s="2526"/>
      <c r="AH60" s="2526"/>
      <c r="AI60" s="2526"/>
      <c r="AJ60" s="2526"/>
      <c r="AK60" s="2526"/>
      <c r="AL60" s="2526"/>
      <c r="AM60" s="2526"/>
    </row>
    <row customHeight="1" ht="14.25">
      <c r="O61" s="898"/>
    </row>
    <row customHeight="1" ht="18">
      <c r="O62" s="898"/>
      <c r="S62" s="1618"/>
      <c r="T62" s="2526"/>
      <c r="U62" s="2526"/>
      <c r="V62" s="2526"/>
      <c r="W62" s="2526"/>
      <c r="X62" s="2526"/>
      <c r="Y62" s="2526"/>
      <c r="Z62" s="2526"/>
      <c r="AA62" s="2526"/>
      <c r="AB62" s="2526"/>
      <c r="AC62" s="2526"/>
      <c r="AD62" s="2526"/>
      <c r="AE62" s="2526"/>
      <c r="AF62" s="2526"/>
      <c r="AG62" s="2526"/>
      <c r="AH62" s="2526"/>
      <c r="AI62" s="2526"/>
      <c r="AJ62" s="2526"/>
      <c r="AK62" s="2526"/>
      <c r="AL62" s="2526"/>
      <c r="AM62" s="2526"/>
    </row>
    <row customHeight="1" ht="18">
      <c r="O63" s="898"/>
      <c r="T63" s="2526"/>
      <c r="U63" s="2526"/>
      <c r="V63" s="2526"/>
      <c r="W63" s="2526"/>
      <c r="X63" s="2526"/>
      <c r="Y63" s="2526"/>
      <c r="Z63" s="2526"/>
      <c r="AA63" s="2526"/>
      <c r="AB63" s="2526"/>
      <c r="AC63" s="2526"/>
      <c r="AD63" s="2526"/>
      <c r="AE63" s="2526"/>
      <c r="AF63" s="2526"/>
      <c r="AG63" s="2526"/>
      <c r="AH63" s="2526"/>
      <c r="AI63" s="2526"/>
      <c r="AJ63" s="2526"/>
      <c r="AK63" s="2526"/>
      <c r="AL63" s="2526"/>
      <c r="AM63" s="2526"/>
    </row>
    <row customHeight="1" ht="38.25">
      <c r="O64" s="898"/>
      <c r="S64" s="1618"/>
      <c r="T64" s="2526"/>
      <c r="U64" s="2526"/>
      <c r="V64" s="2526"/>
      <c r="W64" s="2526"/>
      <c r="X64" s="2526"/>
      <c r="Y64" s="2526"/>
      <c r="Z64" s="2526"/>
      <c r="AA64" s="2526"/>
      <c r="AB64" s="2526"/>
      <c r="AC64" s="2526"/>
      <c r="AD64" s="2526"/>
      <c r="AE64" s="2526"/>
      <c r="AF64" s="2526"/>
      <c r="AG64" s="2526"/>
      <c r="AH64" s="2526"/>
      <c r="AI64" s="2526"/>
      <c r="AJ64" s="2526"/>
      <c r="AK64" s="2526"/>
      <c r="AL64" s="2526"/>
      <c r="AM64" s="2526"/>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8E2E2B-C56F-40E1-1BF6-BE327CA55A27}"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19146" width="10.57421875" hidden="1"/>
    <col min="2" max="2" style="19146" width="11.00390625" hidden="1" customWidth="1"/>
    <col min="3" max="3" style="19146" width="10.57421875" hidden="1"/>
    <col min="4" max="4" style="19146" width="11.8515625" hidden="1" customWidth="1"/>
    <col min="5" max="5" style="19146" width="10.00390625" hidden="1" customWidth="1"/>
    <col min="6" max="6" style="19146" width="8.7109375" hidden="1" customWidth="1"/>
    <col min="7" max="7" style="19146" width="7.57421875" hidden="1" customWidth="1"/>
    <col min="8" max="8" style="19146" width="11.421875" hidden="1" customWidth="1"/>
    <col min="9" max="9" style="19146" width="12.00390625" hidden="1" customWidth="1"/>
    <col min="10" max="10" style="19146" width="9.8515625" hidden="1" customWidth="1"/>
    <col min="11" max="11" style="19146" width="11.421875" hidden="1" customWidth="1"/>
    <col min="12" max="12" style="19227" width="19.140625" hidden="1" customWidth="1"/>
    <col min="13" max="14" style="19228" width="12.28125" hidden="1" customWidth="1"/>
    <col min="15" max="15" style="19228" width="23.421875" hidden="1" customWidth="1"/>
    <col min="16" max="16" style="19240" width="3.7109375" hidden="1" customWidth="1"/>
    <col min="17" max="18" style="19230" width="3.7109375" customWidth="1"/>
    <col min="19" max="19" style="19231" width="12.7109375" customWidth="1"/>
    <col min="20" max="20" style="19232" width="32.00390625" customWidth="1"/>
    <col min="21" max="21" style="19232" width="0.140625" customWidth="1"/>
    <col min="22" max="22" style="19232" width="24.7109375" hidden="1" customWidth="1"/>
    <col min="23" max="23" style="19232" width="0.140625" hidden="1" customWidth="1"/>
    <col min="24" max="25" style="19232" width="24.7109375" hidden="1" customWidth="1"/>
    <col min="26" max="26" style="19232" width="11.7109375" hidden="1" customWidth="1"/>
    <col min="27" max="27" style="19232" width="3.7109375" hidden="1" customWidth="1"/>
    <col min="28" max="28" style="19232" width="11.7109375" hidden="1" customWidth="1"/>
    <col min="29" max="29" style="19232" width="8.57421875" hidden="1" customWidth="1"/>
    <col min="30" max="30" style="19232" width="24.7109375" customWidth="1"/>
    <col min="31" max="31" style="19232" width="0.140625" customWidth="1"/>
    <col min="32" max="33" style="19232" width="24.7109375" customWidth="1"/>
    <col min="34" max="34" style="19232" width="11.7109375" customWidth="1"/>
    <col min="35" max="35" style="19232" width="3.7109375" customWidth="1"/>
    <col min="36" max="36" style="19232" width="11.7109375" customWidth="1"/>
    <col min="37" max="37" style="19232" width="8.57421875" hidden="1" customWidth="1"/>
    <col min="38" max="38" style="19232" width="4.7109375" customWidth="1"/>
    <col min="39" max="39" style="19232" width="115.7109375" customWidth="1"/>
    <col min="40" max="41" style="19219" width="10.57421875"/>
    <col min="42" max="42" style="19219" width="11.140625" customWidth="1"/>
    <col min="43" max="44" style="19219" width="10.57421875"/>
  </cols>
  <sheetData>
    <row customHeight="1" ht="14.25" hidden="1">
      <c r="Y1" s="688"/>
      <c r="Z1" s="688"/>
      <c r="AG1" s="688"/>
      <c r="AH1" s="688"/>
    </row>
    <row customHeight="1" ht="21" hidden="1">
      <c r="A2" s="1729"/>
      <c r="B2" s="1729"/>
      <c r="C2" s="1729"/>
      <c r="D2" s="1729"/>
      <c r="E2" s="2527">
        <v>1</v>
      </c>
      <c r="F2" s="1729"/>
      <c r="G2" s="1729"/>
      <c r="H2" s="1729"/>
      <c r="I2" s="1729"/>
      <c r="J2" s="1729"/>
      <c r="K2" s="1729"/>
      <c r="L2" s="1730"/>
      <c r="M2" s="1731"/>
      <c r="N2" s="1731"/>
      <c r="O2" s="1731"/>
      <c r="P2" s="722"/>
      <c r="Q2" s="721"/>
      <c r="R2" s="716"/>
      <c r="S2" s="1702">
        <f>INDEX(PT_DIFFERENTIATION_NUM_NTAR,MATCH(A2,PT_DIFFERENTIATION_NTAR_ID,0))</f>
      </c>
      <c r="T2" s="659" t="s">
        <v>120</v>
      </c>
      <c r="U2" s="661"/>
      <c r="V2" s="2521"/>
      <c r="W2" s="2522"/>
      <c r="X2" s="2522"/>
      <c r="Y2" s="2522"/>
      <c r="Z2" s="2522"/>
      <c r="AA2" s="2522"/>
      <c r="AB2" s="2522"/>
      <c r="AC2" s="2523"/>
      <c r="AD2" s="2521">
        <f>INDEX(PT_DIFFERENTIATION_NTAR,MATCH(A2,PT_DIFFERENTIATION_NTAR_ID,0))</f>
      </c>
      <c r="AE2" s="2522"/>
      <c r="AF2" s="2522"/>
      <c r="AG2" s="2522"/>
      <c r="AH2" s="2522"/>
      <c r="AI2" s="2522"/>
      <c r="AJ2" s="2522"/>
      <c r="AK2" s="2522"/>
      <c r="AL2" s="2523"/>
      <c r="AM2" s="1623" t="s">
        <v>396</v>
      </c>
      <c r="AO2" s="861"/>
      <c r="AP2" s="861" t="str">
        <f>IF(T2="","",T2)</f>
        <v>Наименование тарифа</v>
      </c>
      <c r="AQ2" s="861"/>
      <c r="AR2" s="861"/>
    </row>
    <row customHeight="1" ht="21" hidden="1">
      <c r="A3" s="1729"/>
      <c r="B3" s="1729"/>
      <c r="C3" s="1729"/>
      <c r="D3" s="1729"/>
      <c r="E3" s="2528"/>
      <c r="F3" s="2527">
        <v>1</v>
      </c>
      <c r="G3" s="1729"/>
      <c r="H3" s="1729"/>
      <c r="I3" s="1729"/>
      <c r="J3" s="1729"/>
      <c r="K3" s="1729"/>
      <c r="L3" s="1730"/>
      <c r="M3" s="1731"/>
      <c r="N3" s="1731"/>
      <c r="O3" s="1731"/>
      <c r="P3" s="1698"/>
      <c r="Q3" s="713"/>
      <c r="R3" s="714"/>
      <c r="S3" s="1702">
        <f>INDEX(PT_DIFFERENTIATION_NUM_TER,MATCH(B3,PT_DIFFERENTIATION_TER_ID,0))</f>
      </c>
      <c r="T3" s="669" t="s">
        <v>397</v>
      </c>
      <c r="U3" s="661"/>
      <c r="V3" s="2521"/>
      <c r="W3" s="2522"/>
      <c r="X3" s="2522"/>
      <c r="Y3" s="2522"/>
      <c r="Z3" s="2522"/>
      <c r="AA3" s="2522"/>
      <c r="AB3" s="2522"/>
      <c r="AC3" s="2523"/>
      <c r="AD3" s="2521">
        <f>INDEX(PT_DIFFERENTIATION_TER,MATCH(B3,PT_DIFFERENTIATION_TER_ID,0))</f>
      </c>
      <c r="AE3" s="2522"/>
      <c r="AF3" s="2522"/>
      <c r="AG3" s="2522"/>
      <c r="AH3" s="2522"/>
      <c r="AI3" s="2522"/>
      <c r="AJ3" s="2522"/>
      <c r="AK3" s="2522"/>
      <c r="AL3" s="2523"/>
      <c r="AM3" s="1623" t="s">
        <v>398</v>
      </c>
      <c r="AO3" s="861"/>
      <c r="AP3" s="861" t="str">
        <f>IF(T3="","",T3)</f>
        <v>Территория действия тарифа</v>
      </c>
      <c r="AQ3" s="861"/>
      <c r="AR3" s="861"/>
    </row>
    <row customHeight="1" ht="23.25" hidden="1">
      <c r="A4" s="1729"/>
      <c r="B4" s="1729"/>
      <c r="C4" s="1729"/>
      <c r="D4" s="1729"/>
      <c r="E4" s="2528"/>
      <c r="F4" s="2528"/>
      <c r="G4" s="2527">
        <v>1</v>
      </c>
      <c r="H4" s="1729"/>
      <c r="I4" s="1729"/>
      <c r="J4" s="1729"/>
      <c r="K4" s="1729"/>
      <c r="L4" s="1730"/>
      <c r="M4" s="1731"/>
      <c r="N4" s="1731"/>
      <c r="O4" s="1731"/>
      <c r="P4" s="715"/>
      <c r="Q4" s="713"/>
      <c r="R4" s="714"/>
      <c r="S4" s="1702">
        <f>INDEX(PT_DIFFERENTIATION_NUM_CS,MATCH(C4,PT_DIFFERENTIATION_CS_ID,0))</f>
      </c>
      <c r="T4" s="670" t="s">
        <v>399</v>
      </c>
      <c r="U4" s="661"/>
      <c r="V4" s="2521"/>
      <c r="W4" s="2522"/>
      <c r="X4" s="2522"/>
      <c r="Y4" s="2522"/>
      <c r="Z4" s="2522"/>
      <c r="AA4" s="2522"/>
      <c r="AB4" s="2522"/>
      <c r="AC4" s="2523"/>
      <c r="AD4" s="2521">
        <f>INDEX(PT_DIFFERENTIATION_CS,MATCH(C4,PT_DIFFERENTIATION_CS_ID,0))</f>
      </c>
      <c r="AE4" s="2522"/>
      <c r="AF4" s="2522"/>
      <c r="AG4" s="2522"/>
      <c r="AH4" s="2522"/>
      <c r="AI4" s="2522"/>
      <c r="AJ4" s="2522"/>
      <c r="AK4" s="2522"/>
      <c r="AL4" s="2523"/>
      <c r="AM4" s="1623" t="s">
        <v>400</v>
      </c>
      <c r="AO4" s="861"/>
      <c r="AP4" s="861" t="str">
        <f>IF(T4="","",T4)</f>
        <v>Наименование системы теплоснабжения </v>
      </c>
      <c r="AQ4" s="861"/>
      <c r="AR4" s="861"/>
    </row>
    <row customHeight="1" ht="21" hidden="1">
      <c r="A5" s="1729"/>
      <c r="B5" s="1729"/>
      <c r="C5" s="1729"/>
      <c r="D5" s="1729"/>
      <c r="E5" s="2528"/>
      <c r="F5" s="2528"/>
      <c r="G5" s="2528"/>
      <c r="H5" s="2527">
        <v>1</v>
      </c>
      <c r="I5" s="1729"/>
      <c r="J5" s="1729"/>
      <c r="K5" s="1729"/>
      <c r="L5" s="1730"/>
      <c r="M5" s="1731"/>
      <c r="N5" s="1731"/>
      <c r="O5" s="1731"/>
      <c r="P5" s="715"/>
      <c r="Q5" s="713"/>
      <c r="R5" s="714"/>
      <c r="S5" s="1702">
        <f>INDEX(PT_DIFFERENTIATION_NUM_IST_TE,MATCH(D5,PT_DIFFERENTIATION_IST_TE_ID,0))</f>
      </c>
      <c r="T5" s="671" t="s">
        <v>401</v>
      </c>
      <c r="U5" s="661"/>
      <c r="V5" s="2521"/>
      <c r="W5" s="2522"/>
      <c r="X5" s="2522"/>
      <c r="Y5" s="2522"/>
      <c r="Z5" s="2522"/>
      <c r="AA5" s="2522"/>
      <c r="AB5" s="2522"/>
      <c r="AC5" s="2523"/>
      <c r="AD5" s="2521">
        <f>INDEX(PT_DIFFERENTIATION_IST_TE,MATCH(D5,PT_DIFFERENTIATION_IST_TE_ID,0))</f>
      </c>
      <c r="AE5" s="2522"/>
      <c r="AF5" s="2522"/>
      <c r="AG5" s="2522"/>
      <c r="AH5" s="2522"/>
      <c r="AI5" s="2522"/>
      <c r="AJ5" s="2522"/>
      <c r="AK5" s="2522"/>
      <c r="AL5" s="2523"/>
      <c r="AM5" s="1623" t="s">
        <v>402</v>
      </c>
      <c r="AO5" s="861"/>
      <c r="AP5" s="861" t="str">
        <f>IF(T5="","",T5)</f>
        <v>Источник тепловой энергии  </v>
      </c>
      <c r="AQ5" s="861"/>
      <c r="AR5" s="861"/>
    </row>
    <row customHeight="1" ht="14.25" hidden="1">
      <c r="A6" s="1729"/>
      <c r="B6" s="1729"/>
      <c r="C6" s="1729"/>
      <c r="D6" s="1729"/>
      <c r="E6" s="2528"/>
      <c r="F6" s="2528"/>
      <c r="G6" s="2528"/>
      <c r="H6" s="2528"/>
      <c r="I6" s="2529">
        <f>S5&amp;".1"</f>
      </c>
      <c r="J6" s="1729"/>
      <c r="K6" s="1729"/>
      <c r="L6" s="1730" t="s">
        <v>403</v>
      </c>
      <c r="M6" s="898"/>
      <c r="P6" s="2531">
        <v>1</v>
      </c>
      <c r="Q6" s="1697"/>
      <c r="R6" s="717"/>
      <c r="S6" s="1404"/>
      <c r="T6" s="1749"/>
      <c r="U6" s="1750"/>
      <c r="V6" s="2569"/>
      <c r="W6" s="2570"/>
      <c r="X6" s="2570"/>
      <c r="Y6" s="2570"/>
      <c r="Z6" s="2570"/>
      <c r="AA6" s="2570"/>
      <c r="AB6" s="2570"/>
      <c r="AC6" s="2571"/>
      <c r="AD6" s="2569"/>
      <c r="AE6" s="2570"/>
      <c r="AF6" s="2570"/>
      <c r="AG6" s="2570"/>
      <c r="AH6" s="2570"/>
      <c r="AI6" s="2570"/>
      <c r="AJ6" s="2570"/>
      <c r="AK6" s="2570"/>
      <c r="AL6" s="2571"/>
      <c r="AM6" s="1751"/>
      <c r="AO6" s="861"/>
      <c r="AP6" s="861" t="str">
        <f>IF(T6="","",T6)</f>
        <v/>
      </c>
      <c r="AQ6" s="861"/>
      <c r="AR6" s="861"/>
    </row>
    <row customHeight="1" ht="21" hidden="1">
      <c r="A7" s="1729"/>
      <c r="B7" s="1729"/>
      <c r="C7" s="1729"/>
      <c r="D7" s="1729"/>
      <c r="E7" s="2528"/>
      <c r="F7" s="2528"/>
      <c r="G7" s="2528"/>
      <c r="H7" s="2528"/>
      <c r="I7" s="2530"/>
      <c r="J7" s="2529">
        <f>I6&amp;".1"</f>
      </c>
      <c r="K7" s="1729"/>
      <c r="L7" s="1730" t="s">
        <v>406</v>
      </c>
      <c r="M7" s="898"/>
      <c r="N7" s="1732"/>
      <c r="P7" s="2531"/>
      <c r="Q7" s="2531">
        <v>1</v>
      </c>
      <c r="R7" s="718"/>
      <c r="S7" s="1702">
        <f>$J7</f>
      </c>
      <c r="T7" s="647" t="s">
        <v>407</v>
      </c>
      <c r="U7" s="661"/>
      <c r="V7" s="2515"/>
      <c r="W7" s="2516"/>
      <c r="X7" s="2516"/>
      <c r="Y7" s="2516"/>
      <c r="Z7" s="2516"/>
      <c r="AA7" s="2516"/>
      <c r="AB7" s="2516"/>
      <c r="AC7" s="2517"/>
      <c r="AD7" s="2515"/>
      <c r="AE7" s="2516"/>
      <c r="AF7" s="2516"/>
      <c r="AG7" s="2516"/>
      <c r="AH7" s="2516"/>
      <c r="AI7" s="2516"/>
      <c r="AJ7" s="2516"/>
      <c r="AK7" s="2516"/>
      <c r="AL7" s="2517"/>
      <c r="AM7" s="1623" t="s">
        <v>408</v>
      </c>
      <c r="AO7" s="861"/>
      <c r="AP7" s="861" t="str">
        <f>IF(T7="","",T7)</f>
        <v>Группа потребителей</v>
      </c>
      <c r="AQ7" s="861"/>
      <c r="AR7" s="861"/>
    </row>
    <row customHeight="1" ht="21" hidden="1">
      <c r="A8" s="1729"/>
      <c r="B8" s="1729"/>
      <c r="C8" s="1729"/>
      <c r="D8" s="1729"/>
      <c r="E8" s="2528"/>
      <c r="F8" s="2528"/>
      <c r="G8" s="2528"/>
      <c r="H8" s="2528"/>
      <c r="I8" s="2530"/>
      <c r="J8" s="2530"/>
      <c r="K8" s="2529">
        <f>J7&amp;".1"</f>
      </c>
      <c r="L8" s="1730" t="s">
        <v>409</v>
      </c>
      <c r="M8" s="898"/>
      <c r="N8" s="1732"/>
      <c r="O8" s="1732"/>
      <c r="P8" s="2531"/>
      <c r="Q8" s="2531"/>
      <c r="R8" s="718">
        <v>1</v>
      </c>
      <c r="S8" s="1702">
        <f>$K8</f>
      </c>
      <c r="T8" s="1713"/>
      <c r="U8" s="661"/>
      <c r="V8" s="1112"/>
      <c r="W8" s="686"/>
      <c r="X8" s="1112"/>
      <c r="Y8" s="1622"/>
      <c r="Z8" s="2532"/>
      <c r="AA8" s="2402" t="s">
        <v>59</v>
      </c>
      <c r="AB8" s="2532"/>
      <c r="AC8" s="2402" t="s">
        <v>59</v>
      </c>
      <c r="AD8" s="1112"/>
      <c r="AE8" s="686"/>
      <c r="AF8" s="1112"/>
      <c r="AG8" s="1622"/>
      <c r="AH8" s="2532"/>
      <c r="AI8" s="2402" t="s">
        <v>59</v>
      </c>
      <c r="AJ8" s="2532"/>
      <c r="AK8" s="2402" t="s">
        <v>59</v>
      </c>
      <c r="AL8" s="686"/>
      <c r="AM8" s="2557" t="s">
        <v>410</v>
      </c>
      <c r="AN8" s="872">
        <f>STRCHECKDATE(V9:AL9)</f>
      </c>
      <c r="AO8" s="861"/>
      <c r="AP8" s="861" t="str">
        <f>IF(T8="","",T8)</f>
        <v/>
      </c>
      <c r="AQ8" s="861"/>
      <c r="AR8" s="861"/>
    </row>
    <row customHeight="1" ht="0.75" hidden="1">
      <c r="A9" s="1729"/>
      <c r="B9" s="1729"/>
      <c r="C9" s="1729"/>
      <c r="D9" s="1729"/>
      <c r="E9" s="2528"/>
      <c r="F9" s="2528"/>
      <c r="G9" s="2528"/>
      <c r="H9" s="2528"/>
      <c r="I9" s="2530"/>
      <c r="J9" s="2530"/>
      <c r="K9" s="2529"/>
      <c r="L9" s="1730"/>
      <c r="M9" s="898"/>
      <c r="N9" s="1732"/>
      <c r="O9" s="1732"/>
      <c r="P9" s="2531"/>
      <c r="Q9" s="2531"/>
      <c r="R9" s="718"/>
      <c r="S9" s="1708"/>
      <c r="T9" s="661"/>
      <c r="U9" s="661"/>
      <c r="V9" s="686"/>
      <c r="W9" s="686"/>
      <c r="X9" s="686"/>
      <c r="Y9" s="689" t="str">
        <f>Z8&amp;"-"&amp;AB8</f>
        <v>-</v>
      </c>
      <c r="Z9" s="2533"/>
      <c r="AA9" s="2402"/>
      <c r="AB9" s="2533"/>
      <c r="AC9" s="2402"/>
      <c r="AD9" s="686"/>
      <c r="AE9" s="686"/>
      <c r="AF9" s="686"/>
      <c r="AG9" s="689" t="str">
        <f>AH8&amp;"-"&amp;AJ8</f>
        <v>-</v>
      </c>
      <c r="AH9" s="2533"/>
      <c r="AI9" s="2402"/>
      <c r="AJ9" s="2533"/>
      <c r="AK9" s="2402"/>
      <c r="AL9" s="686"/>
      <c r="AM9" s="2558"/>
      <c r="AO9" s="861"/>
      <c r="AP9" s="861" t="str">
        <f>IF(T9="","",T9)</f>
        <v/>
      </c>
      <c r="AQ9" s="861"/>
      <c r="AR9" s="861"/>
    </row>
    <row customHeight="1" ht="15" hidden="1">
      <c r="A10" s="1729"/>
      <c r="B10" s="1729"/>
      <c r="C10" s="1729"/>
      <c r="D10" s="1729"/>
      <c r="E10" s="2528"/>
      <c r="F10" s="2528"/>
      <c r="G10" s="2528"/>
      <c r="H10" s="2528"/>
      <c r="I10" s="2530"/>
      <c r="J10" s="2529"/>
      <c r="K10" s="1729"/>
      <c r="L10" s="1730"/>
      <c r="M10" s="898"/>
      <c r="N10" s="1732"/>
      <c r="P10" s="2531"/>
      <c r="Q10" s="2531"/>
      <c r="R10" s="717"/>
      <c r="S10" s="1644"/>
      <c r="T10" s="648" t="s">
        <v>411</v>
      </c>
      <c r="U10" s="728"/>
      <c r="V10" s="728"/>
      <c r="W10" s="728"/>
      <c r="X10" s="728"/>
      <c r="Y10" s="728"/>
      <c r="Z10" s="728"/>
      <c r="AA10" s="728"/>
      <c r="AB10" s="728"/>
      <c r="AC10" s="728"/>
      <c r="AD10" s="728"/>
      <c r="AE10" s="728"/>
      <c r="AF10" s="728"/>
      <c r="AG10" s="728"/>
      <c r="AH10" s="728"/>
      <c r="AI10" s="728"/>
      <c r="AJ10" s="728"/>
      <c r="AK10" s="728"/>
      <c r="AL10" s="685"/>
      <c r="AM10" s="2559"/>
      <c r="AO10" s="861"/>
      <c r="AP10" s="861" t="str">
        <f>IF(T10="","",T10)</f>
        <v>Добавить вид теплоносителя (параметры теплоносителя)</v>
      </c>
      <c r="AQ10" s="861"/>
      <c r="AR10" s="861"/>
    </row>
    <row customHeight="1" ht="15" hidden="1">
      <c r="A11" s="1729"/>
      <c r="B11" s="1729"/>
      <c r="C11" s="1729"/>
      <c r="D11" s="1729"/>
      <c r="E11" s="2528"/>
      <c r="F11" s="2528"/>
      <c r="G11" s="2528"/>
      <c r="H11" s="2528"/>
      <c r="I11" s="2529"/>
      <c r="J11" s="1729"/>
      <c r="K11" s="1729"/>
      <c r="L11" s="1730"/>
      <c r="M11" s="898"/>
      <c r="P11" s="2531"/>
      <c r="Q11" s="1697"/>
      <c r="R11" s="717"/>
      <c r="S11" s="1644"/>
      <c r="T11" s="726" t="s">
        <v>412</v>
      </c>
      <c r="U11" s="728"/>
      <c r="V11" s="728"/>
      <c r="W11" s="728"/>
      <c r="X11" s="728"/>
      <c r="Y11" s="728"/>
      <c r="Z11" s="728"/>
      <c r="AA11" s="728"/>
      <c r="AB11" s="728"/>
      <c r="AC11" s="727"/>
      <c r="AD11" s="728"/>
      <c r="AE11" s="728"/>
      <c r="AF11" s="728"/>
      <c r="AG11" s="728"/>
      <c r="AH11" s="728"/>
      <c r="AI11" s="728"/>
      <c r="AJ11" s="728"/>
      <c r="AK11" s="727"/>
      <c r="AL11" s="728"/>
      <c r="AM11" s="664"/>
      <c r="AO11" s="861"/>
      <c r="AP11" s="861" t="str">
        <f>IF(T11="","",T11)</f>
        <v>Добавить группу потребителей</v>
      </c>
      <c r="AQ11" s="861"/>
      <c r="AR11" s="861"/>
    </row>
    <row customHeight="1" ht="14.25" hidden="1">
      <c r="A12" s="1729"/>
      <c r="B12" s="1729"/>
      <c r="C12" s="1729"/>
      <c r="D12" s="1729"/>
      <c r="E12" s="2528"/>
      <c r="F12" s="2528"/>
      <c r="G12" s="2528"/>
      <c r="H12" s="2527"/>
      <c r="I12" s="1729"/>
      <c r="J12" s="1729"/>
      <c r="K12" s="1729"/>
      <c r="L12" s="1730"/>
      <c r="M12" s="1731"/>
      <c r="N12" s="1731"/>
      <c r="O12" s="898"/>
      <c r="P12" s="721"/>
      <c r="Q12" s="736"/>
      <c r="R12" s="716"/>
      <c r="S12" s="1752"/>
      <c r="T12" s="1753"/>
      <c r="U12" s="1754"/>
      <c r="V12" s="1754"/>
      <c r="W12" s="1754"/>
      <c r="X12" s="1754"/>
      <c r="Y12" s="1754"/>
      <c r="Z12" s="1754"/>
      <c r="AA12" s="1754"/>
      <c r="AB12" s="1754"/>
      <c r="AC12" s="1754"/>
      <c r="AD12" s="1754"/>
      <c r="AE12" s="1754"/>
      <c r="AF12" s="1754"/>
      <c r="AG12" s="1754"/>
      <c r="AH12" s="1754"/>
      <c r="AI12" s="1754"/>
      <c r="AJ12" s="1754"/>
      <c r="AK12" s="1754"/>
      <c r="AL12" s="1754"/>
      <c r="AM12" s="1755"/>
      <c r="AO12" s="861"/>
      <c r="AP12" s="861" t="str">
        <f>IF(T12="","",T12)</f>
        <v/>
      </c>
      <c r="AQ12" s="861"/>
      <c r="AR12" s="861"/>
    </row>
    <row s="19127" customFormat="1" customHeight="1" ht="0.75" hidden="1">
      <c r="A13" s="1680"/>
      <c r="B13" s="1680"/>
      <c r="C13" s="1680"/>
      <c r="D13" s="1680"/>
      <c r="E13" s="2528"/>
      <c r="F13" s="2528"/>
      <c r="G13" s="2527"/>
      <c r="H13" s="1680"/>
      <c r="I13" s="1680"/>
      <c r="J13" s="1680"/>
      <c r="K13" s="1680"/>
      <c r="L13" s="1705"/>
      <c r="M13" s="1681"/>
      <c r="N13" s="1681"/>
      <c r="P13" s="1682"/>
      <c r="Q13" s="1683"/>
      <c r="R13" s="1682"/>
      <c r="S13" s="1684"/>
      <c r="T13" s="1685" t="s">
        <v>414</v>
      </c>
      <c r="U13" s="1686"/>
      <c r="V13" s="1686"/>
      <c r="W13" s="1686"/>
      <c r="X13" s="1686"/>
      <c r="Y13" s="1686"/>
      <c r="Z13" s="1686"/>
      <c r="AA13" s="1686"/>
      <c r="AB13" s="1686"/>
      <c r="AC13" s="1686"/>
      <c r="AD13" s="1686"/>
      <c r="AE13" s="1686"/>
      <c r="AF13" s="1686"/>
      <c r="AG13" s="1686"/>
      <c r="AH13" s="1686"/>
      <c r="AI13" s="1686"/>
      <c r="AJ13" s="1686"/>
      <c r="AK13" s="1686"/>
      <c r="AL13" s="1686"/>
      <c r="AM13" s="1686"/>
      <c r="AO13" s="1150"/>
      <c r="AP13" s="1150" t="str">
        <f>IF(T13="","",T13)</f>
        <v>Добавить источник для дифференциации</v>
      </c>
      <c r="AQ13" s="1150"/>
      <c r="AR13" s="1150"/>
    </row>
    <row s="19127" customFormat="1" customHeight="1" ht="0.75" hidden="1">
      <c r="A14" s="1680"/>
      <c r="B14" s="1680"/>
      <c r="C14" s="1680"/>
      <c r="D14" s="1680"/>
      <c r="E14" s="2528"/>
      <c r="F14" s="2527"/>
      <c r="G14" s="1680"/>
      <c r="H14" s="1680"/>
      <c r="I14" s="1680"/>
      <c r="J14" s="1680"/>
      <c r="K14" s="1680"/>
      <c r="L14" s="1705"/>
      <c r="M14" s="1687"/>
      <c r="N14" s="1687"/>
      <c r="P14" s="1682"/>
      <c r="Q14" s="1683"/>
      <c r="R14" s="1682"/>
      <c r="S14" s="1688"/>
      <c r="T14" s="1689" t="s">
        <v>251</v>
      </c>
      <c r="U14" s="1690"/>
      <c r="V14" s="1690"/>
      <c r="W14" s="1690"/>
      <c r="X14" s="1690"/>
      <c r="Y14" s="1690"/>
      <c r="Z14" s="1690"/>
      <c r="AA14" s="1690"/>
      <c r="AB14" s="1690"/>
      <c r="AC14" s="1690"/>
      <c r="AD14" s="1690"/>
      <c r="AE14" s="1690"/>
      <c r="AF14" s="1690"/>
      <c r="AG14" s="1690"/>
      <c r="AH14" s="1690"/>
      <c r="AI14" s="1690"/>
      <c r="AJ14" s="1690"/>
      <c r="AK14" s="1690"/>
      <c r="AL14" s="1690"/>
      <c r="AM14" s="1690"/>
      <c r="AO14" s="1150"/>
      <c r="AP14" s="1150" t="str">
        <f>IF(T14="","",T14)</f>
        <v>Добавить централизованную систему для дифференциации</v>
      </c>
      <c r="AQ14" s="1150"/>
      <c r="AR14" s="1150"/>
    </row>
    <row s="19127" customFormat="1" customHeight="1" ht="0.75" hidden="1">
      <c r="A15" s="1680"/>
      <c r="B15" s="1680"/>
      <c r="C15" s="1680"/>
      <c r="D15" s="1680"/>
      <c r="E15" s="2527"/>
      <c r="F15" s="1680"/>
      <c r="G15" s="1680"/>
      <c r="H15" s="1680"/>
      <c r="I15" s="1680"/>
      <c r="J15" s="1680"/>
      <c r="K15" s="1680"/>
      <c r="L15" s="1705"/>
      <c r="M15" s="1687"/>
      <c r="N15" s="1687"/>
      <c r="P15" s="1682"/>
      <c r="Q15" s="1683"/>
      <c r="R15" s="1682"/>
      <c r="S15" s="1688"/>
      <c r="T15" s="1691" t="s">
        <v>252</v>
      </c>
      <c r="U15" s="1690"/>
      <c r="V15" s="1690"/>
      <c r="W15" s="1690"/>
      <c r="X15" s="1690"/>
      <c r="Y15" s="1690"/>
      <c r="Z15" s="1690"/>
      <c r="AA15" s="1690"/>
      <c r="AB15" s="1690"/>
      <c r="AC15" s="1690"/>
      <c r="AD15" s="1690"/>
      <c r="AE15" s="1690"/>
      <c r="AF15" s="1690"/>
      <c r="AG15" s="1690"/>
      <c r="AH15" s="1690"/>
      <c r="AI15" s="1690"/>
      <c r="AJ15" s="1690"/>
      <c r="AK15" s="1690"/>
      <c r="AL15" s="1690"/>
      <c r="AM15" s="1690"/>
      <c r="AO15" s="1150"/>
      <c r="AP15" s="1150" t="str">
        <f>IF(T15="","",T15)</f>
        <v>Добавить территорию для дифференциации</v>
      </c>
      <c r="AQ15" s="1150"/>
      <c r="AR15" s="1150"/>
    </row>
    <row customHeight="1" ht="14.25" hidden="1">
      <c r="AC16" s="688"/>
      <c r="AK16" s="688"/>
    </row>
    <row customHeight="1" ht="14.25" hidden="1">
      <c r="AD17" s="1726"/>
      <c r="AE17" s="1726"/>
      <c r="AF17" s="1726"/>
      <c r="AG17" s="1727"/>
      <c r="AH17" s="2525"/>
      <c r="AI17" s="2524" t="s">
        <v>59</v>
      </c>
      <c r="AJ17" s="2525"/>
      <c r="AK17" s="2524" t="s">
        <v>59</v>
      </c>
    </row>
    <row customHeight="1" ht="14.25" hidden="1">
      <c r="AD18" s="1726"/>
      <c r="AE18" s="1726"/>
      <c r="AF18" s="1726"/>
      <c r="AG18" s="689" t="str">
        <f>AH17&amp;"-"&amp;AJ17</f>
        <v>-</v>
      </c>
      <c r="AH18" s="2524"/>
      <c r="AI18" s="2524"/>
      <c r="AJ18" s="2524"/>
      <c r="AK18" s="2524"/>
    </row>
    <row customHeight="1" ht="14.25" hidden="1">
      <c r="AK19" s="688"/>
    </row>
    <row s="19146" customFormat="1" customHeight="1" ht="22.5" hidden="1">
      <c r="L20" s="1695"/>
      <c r="M20" s="1728"/>
      <c r="N20" s="1728"/>
      <c r="O20" s="1733" t="s">
        <v>415</v>
      </c>
      <c r="P20" s="1728"/>
      <c r="Q20" s="1737"/>
      <c r="R20" s="1737"/>
      <c r="S20" s="1090"/>
      <c r="Z20" s="1733"/>
      <c r="AB20" s="1733"/>
      <c r="AC20" s="1732"/>
      <c r="AH20" s="1733"/>
      <c r="AJ20" s="1733"/>
      <c r="AK20" s="1732"/>
      <c r="AN20" s="872"/>
      <c r="AO20" s="872"/>
      <c r="AP20" s="872"/>
      <c r="AQ20" s="872"/>
      <c r="AR20" s="872"/>
    </row>
    <row s="19146" customFormat="1" customHeight="1" ht="14.25" hidden="1">
      <c r="L21" s="1695"/>
      <c r="M21" s="1728"/>
      <c r="N21" s="1728"/>
      <c r="O21" s="1728"/>
      <c r="P21" s="1728"/>
      <c r="Q21" s="1737"/>
      <c r="R21" s="1737"/>
      <c r="S21" s="1090"/>
      <c r="AC21" s="1732"/>
      <c r="AK21" s="1732"/>
      <c r="AN21" s="872"/>
      <c r="AO21" s="872"/>
      <c r="AP21" s="872"/>
      <c r="AQ21" s="872"/>
      <c r="AR21" s="872"/>
    </row>
    <row s="19146" customFormat="1" customHeight="1" ht="14.25" hidden="1">
      <c r="L22" s="1695"/>
      <c r="M22" s="1728"/>
      <c r="N22" s="1728"/>
      <c r="O22" s="1730" t="s">
        <v>416</v>
      </c>
      <c r="P22" s="1728"/>
      <c r="Q22" s="1737"/>
      <c r="R22" s="1737"/>
      <c r="S22" s="1090"/>
      <c r="T22" s="1523" t="s">
        <v>417</v>
      </c>
      <c r="AA22" s="547" t="s">
        <v>418</v>
      </c>
      <c r="AC22" s="547" t="s">
        <v>419</v>
      </c>
      <c r="AD22" s="1523" t="s">
        <v>417</v>
      </c>
      <c r="AI22" s="547" t="s">
        <v>420</v>
      </c>
      <c r="AK22" s="547" t="s">
        <v>419</v>
      </c>
      <c r="AN22" s="872"/>
      <c r="AO22" s="872"/>
      <c r="AP22" s="872"/>
      <c r="AQ22" s="872"/>
      <c r="AR22" s="872"/>
    </row>
    <row customHeight="1" ht="14.25" hidden="1">
      <c r="O23" s="1730"/>
    </row>
    <row customHeight="1" ht="14.25" hidden="1">
      <c r="O24" s="1730"/>
    </row>
    <row customHeight="1" ht="14.25">
      <c r="Q25" s="737"/>
      <c r="R25" s="737"/>
      <c r="S25" s="1641"/>
      <c r="T25" s="724"/>
      <c r="U25" s="724"/>
      <c r="V25" s="870"/>
      <c r="W25" s="870"/>
      <c r="X25" s="870"/>
      <c r="Y25" s="870"/>
      <c r="Z25" s="870"/>
      <c r="AA25" s="870"/>
      <c r="AB25" s="870"/>
      <c r="AC25" s="870"/>
      <c r="AD25" s="870"/>
      <c r="AE25" s="870"/>
      <c r="AF25" s="870"/>
      <c r="AG25" s="870"/>
      <c r="AH25" s="870"/>
      <c r="AI25" s="870"/>
      <c r="AJ25" s="870"/>
      <c r="AK25" s="870"/>
    </row>
    <row customHeight="1" ht="51">
      <c r="Q26" s="737"/>
      <c r="R26" s="737"/>
      <c r="S26" s="256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60"/>
      <c r="U26" s="2560"/>
      <c r="V26" s="2560"/>
      <c r="W26" s="2560"/>
      <c r="X26" s="2560"/>
      <c r="Y26" s="2560"/>
      <c r="Z26" s="2560"/>
      <c r="AA26" s="2560"/>
      <c r="AB26" s="2560"/>
      <c r="AC26" s="2560"/>
      <c r="AD26" s="2560"/>
      <c r="AE26" s="2560"/>
      <c r="AF26" s="2560"/>
      <c r="AG26" s="2560"/>
      <c r="AH26" s="2560"/>
      <c r="AI26" s="2560"/>
      <c r="AJ26" s="2560"/>
      <c r="AK26" s="1608"/>
    </row>
    <row customHeight="1" ht="14.25">
      <c r="Q27" s="737"/>
      <c r="R27" s="737"/>
      <c r="S27" s="2561" t="str">
        <f>IF(org=0,"Не определено",org)</f>
        <v>Филиал "Шатурская ГРЭС" ПАО "Юнипро"</v>
      </c>
      <c r="T27" s="2561"/>
      <c r="U27" s="2561"/>
      <c r="V27" s="2561"/>
      <c r="W27" s="2561"/>
      <c r="X27" s="2561"/>
      <c r="Y27" s="2561"/>
      <c r="Z27" s="2561"/>
      <c r="AA27" s="2561"/>
      <c r="AB27" s="2561"/>
      <c r="AC27" s="2561"/>
      <c r="AD27" s="2561"/>
      <c r="AE27" s="2561"/>
      <c r="AF27" s="2561"/>
      <c r="AG27" s="2561"/>
      <c r="AH27" s="2561"/>
      <c r="AI27" s="2561"/>
      <c r="AJ27" s="2561"/>
      <c r="AK27" s="1608"/>
    </row>
    <row customHeight="1" ht="14.25">
      <c r="Q28" s="737"/>
      <c r="R28" s="737"/>
      <c r="S28" s="1641"/>
      <c r="T28" s="724"/>
      <c r="U28" s="724"/>
      <c r="V28" s="683"/>
      <c r="W28" s="683"/>
      <c r="X28" s="683"/>
      <c r="Y28" s="683"/>
      <c r="Z28" s="683"/>
      <c r="AA28" s="683"/>
      <c r="AB28" s="683"/>
      <c r="AC28" s="683"/>
      <c r="AD28" s="683"/>
      <c r="AE28" s="683"/>
      <c r="AF28" s="683"/>
      <c r="AG28" s="683"/>
      <c r="AH28" s="683"/>
      <c r="AI28" s="683"/>
      <c r="AJ28" s="683"/>
      <c r="AK28" s="683"/>
      <c r="AL28" s="870"/>
    </row>
    <row s="19160" customFormat="1" customHeight="1" ht="25.5">
      <c r="A29" s="1734"/>
      <c r="B29" s="1734"/>
      <c r="C29" s="1734"/>
      <c r="D29" s="1734"/>
      <c r="E29" s="1734"/>
      <c r="F29" s="1734"/>
      <c r="G29" s="1734"/>
      <c r="H29" s="1734"/>
      <c r="I29" s="1734"/>
      <c r="J29" s="1734"/>
      <c r="K29" s="1734"/>
      <c r="L29" s="1735"/>
      <c r="M29" s="1734"/>
      <c r="N29" s="1734"/>
      <c r="O29" s="1734"/>
      <c r="S29" s="2518" t="s">
        <v>38</v>
      </c>
      <c r="T29" s="2518"/>
      <c r="U29" s="1738"/>
      <c r="V29" s="2520" t="str">
        <f>IF(TITLE_NAME_OR_PR_CHANGE="",IF(TITLE_NAME_OR_PR="","",TITLE_NAME_OR_PR),TITLE_NAME_OR_PR_CHANGE)</f>
        <v>Комитет по ценам и тарифам по Московской области</v>
      </c>
      <c r="W29" s="2520"/>
      <c r="X29" s="2520"/>
      <c r="Y29" s="2520"/>
      <c r="Z29" s="2520"/>
      <c r="AA29" s="2520"/>
      <c r="AB29" s="2520"/>
      <c r="AC29" s="687"/>
      <c r="AD29" s="2520" t="str">
        <f>IF(TITLE_NAME_OR_PR_CHANGE="",IF(TITLE_NAME_OR_PR="","",TITLE_NAME_OR_PR),TITLE_NAME_OR_PR_CHANGE)</f>
        <v>Комитет по ценам и тарифам по Московской области</v>
      </c>
      <c r="AE29" s="2520"/>
      <c r="AF29" s="2520"/>
      <c r="AG29" s="2520"/>
      <c r="AH29" s="2520"/>
      <c r="AI29" s="2520"/>
      <c r="AJ29" s="2520"/>
      <c r="AK29" s="687"/>
      <c r="AL29" s="687"/>
      <c r="AM29" s="641"/>
      <c r="AN29" s="729"/>
      <c r="AO29" s="729"/>
      <c r="AP29" s="729"/>
      <c r="AQ29" s="729"/>
      <c r="AR29" s="729"/>
    </row>
    <row s="19160" customFormat="1" customHeight="1" ht="18.75">
      <c r="A30" s="1734"/>
      <c r="B30" s="1734"/>
      <c r="C30" s="1734"/>
      <c r="D30" s="1734"/>
      <c r="E30" s="1734"/>
      <c r="F30" s="1734"/>
      <c r="G30" s="1734"/>
      <c r="H30" s="1734"/>
      <c r="I30" s="1734"/>
      <c r="J30" s="1734"/>
      <c r="K30" s="1734"/>
      <c r="L30" s="1735"/>
      <c r="M30" s="1734"/>
      <c r="N30" s="1734"/>
      <c r="O30" s="1734"/>
      <c r="S30" s="2518" t="s">
        <v>421</v>
      </c>
      <c r="T30" s="2518"/>
      <c r="U30" s="1738"/>
      <c r="V30" s="2519" t="str">
        <f>IF(TITLE_DATE_PR_CHANGE="",IF(TITLE_DATE_PR="","",TITLE_DATE_PR),TITLE_DATE_PR_CHANGE)</f>
        <v>45280.70914351852</v>
      </c>
      <c r="W30" s="2519"/>
      <c r="X30" s="2519"/>
      <c r="Y30" s="2519"/>
      <c r="Z30" s="2519"/>
      <c r="AA30" s="2519"/>
      <c r="AB30" s="2519"/>
      <c r="AC30" s="687"/>
      <c r="AD30" s="2519" t="str">
        <f>IF(TITLE_DATE_PR_CHANGE="",IF(TITLE_DATE_PR="","",TITLE_DATE_PR),TITLE_DATE_PR_CHANGE)</f>
        <v>45280.70914351852</v>
      </c>
      <c r="AE30" s="2519"/>
      <c r="AF30" s="2519"/>
      <c r="AG30" s="2519"/>
      <c r="AH30" s="2519"/>
      <c r="AI30" s="2519"/>
      <c r="AJ30" s="2519"/>
      <c r="AK30" s="687"/>
      <c r="AL30" s="687"/>
      <c r="AM30" s="641"/>
      <c r="AN30" s="729"/>
      <c r="AO30" s="729"/>
      <c r="AP30" s="729"/>
      <c r="AQ30" s="729"/>
      <c r="AR30" s="729"/>
    </row>
    <row s="19160" customFormat="1" customHeight="1" ht="18.75">
      <c r="A31" s="1734"/>
      <c r="B31" s="1734"/>
      <c r="C31" s="1734"/>
      <c r="D31" s="1734"/>
      <c r="E31" s="1734"/>
      <c r="F31" s="1734"/>
      <c r="G31" s="1734"/>
      <c r="H31" s="1734"/>
      <c r="I31" s="1734"/>
      <c r="J31" s="1734"/>
      <c r="K31" s="1734"/>
      <c r="L31" s="1735"/>
      <c r="M31" s="1734"/>
      <c r="N31" s="1734"/>
      <c r="O31" s="1734"/>
      <c r="S31" s="2518" t="s">
        <v>422</v>
      </c>
      <c r="T31" s="2518"/>
      <c r="U31" s="1738"/>
      <c r="V31" s="2520" t="str">
        <f>IF(TITLE_NUMBER_PR_CHANGE="",IF(TITLE_NUMBER_PR="","",TITLE_NUMBER_PR),TITLE_NUMBER_PR_CHANGE)</f>
        <v>317-Р</v>
      </c>
      <c r="W31" s="2520"/>
      <c r="X31" s="2520"/>
      <c r="Y31" s="2520"/>
      <c r="Z31" s="2520"/>
      <c r="AA31" s="2520"/>
      <c r="AB31" s="2520"/>
      <c r="AC31" s="687"/>
      <c r="AD31" s="2520" t="str">
        <f>IF(TITLE_NUMBER_PR_CHANGE="",IF(TITLE_NUMBER_PR="","",TITLE_NUMBER_PR),TITLE_NUMBER_PR_CHANGE)</f>
        <v>317-Р</v>
      </c>
      <c r="AE31" s="2520"/>
      <c r="AF31" s="2520"/>
      <c r="AG31" s="2520"/>
      <c r="AH31" s="2520"/>
      <c r="AI31" s="2520"/>
      <c r="AJ31" s="2520"/>
      <c r="AK31" s="687"/>
      <c r="AL31" s="687"/>
      <c r="AM31" s="641"/>
      <c r="AN31" s="729"/>
      <c r="AO31" s="729"/>
      <c r="AP31" s="729"/>
      <c r="AQ31" s="729"/>
      <c r="AR31" s="729"/>
    </row>
    <row s="19160" customFormat="1" customHeight="1" ht="18.75">
      <c r="A32" s="1734"/>
      <c r="B32" s="1734"/>
      <c r="C32" s="1734"/>
      <c r="D32" s="1734"/>
      <c r="E32" s="1734"/>
      <c r="F32" s="1734"/>
      <c r="G32" s="1734"/>
      <c r="H32" s="1734"/>
      <c r="I32" s="1734"/>
      <c r="J32" s="1734"/>
      <c r="K32" s="1734"/>
      <c r="L32" s="1735"/>
      <c r="M32" s="1734"/>
      <c r="N32" s="1734"/>
      <c r="O32" s="1734"/>
      <c r="S32" s="2518" t="s">
        <v>40</v>
      </c>
      <c r="T32" s="2518"/>
      <c r="U32" s="1738"/>
      <c r="V32"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520"/>
      <c r="X32" s="2520"/>
      <c r="Y32" s="2520"/>
      <c r="Z32" s="2520"/>
      <c r="AA32" s="2520"/>
      <c r="AB32" s="2520"/>
      <c r="AC32" s="687"/>
      <c r="AD32"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520"/>
      <c r="AF32" s="2520"/>
      <c r="AG32" s="2520"/>
      <c r="AH32" s="2520"/>
      <c r="AI32" s="2520"/>
      <c r="AJ32" s="2520"/>
      <c r="AK32" s="687"/>
      <c r="AL32" s="687"/>
      <c r="AM32" s="641"/>
      <c r="AN32" s="729"/>
      <c r="AO32" s="729"/>
      <c r="AP32" s="729"/>
      <c r="AQ32" s="729"/>
      <c r="AR32" s="729"/>
    </row>
    <row customHeight="1" ht="14.25" hidden="1">
      <c r="Q33" s="737"/>
      <c r="R33" s="737"/>
      <c r="S33" s="1641"/>
      <c r="T33" s="724"/>
      <c r="U33" s="724"/>
      <c r="V33" s="683"/>
      <c r="W33" s="683"/>
      <c r="X33" s="683"/>
      <c r="Y33" s="683"/>
      <c r="Z33" s="683"/>
      <c r="AA33" s="683"/>
      <c r="AB33" s="683"/>
      <c r="AC33" s="683"/>
      <c r="AD33" s="683"/>
      <c r="AE33" s="683"/>
      <c r="AF33" s="683"/>
      <c r="AG33" s="683"/>
      <c r="AH33" s="683"/>
      <c r="AI33" s="683"/>
      <c r="AJ33" s="683"/>
      <c r="AK33" s="683"/>
      <c r="AL33" s="870"/>
    </row>
    <row s="19160" customFormat="1" customHeight="1" ht="18.75" hidden="1">
      <c r="A34" s="1734"/>
      <c r="B34" s="1734"/>
      <c r="C34" s="1734"/>
      <c r="D34" s="1734"/>
      <c r="E34" s="1734"/>
      <c r="F34" s="1734"/>
      <c r="G34" s="1734"/>
      <c r="H34" s="1734"/>
      <c r="I34" s="1734"/>
      <c r="J34" s="1734"/>
      <c r="K34" s="1734"/>
      <c r="L34" s="1735"/>
      <c r="M34" s="1734"/>
      <c r="N34" s="1734"/>
      <c r="O34" s="1734"/>
      <c r="S34" s="2518" t="s">
        <v>423</v>
      </c>
      <c r="T34" s="2518"/>
      <c r="U34" s="1738"/>
      <c r="V34" s="2519" t="str">
        <f>IF(TITLE_DATE_PR_CHANGE="",IF(TITLE_DATE_PR="","",TITLE_DATE_PR),TITLE_DATE_PR_CHANGE)</f>
        <v>45280.70914351852</v>
      </c>
      <c r="W34" s="2519"/>
      <c r="X34" s="2519"/>
      <c r="Y34" s="2519"/>
      <c r="Z34" s="2519"/>
      <c r="AA34" s="2519"/>
      <c r="AB34" s="2519"/>
      <c r="AC34" s="687"/>
      <c r="AD34" s="2519" t="str">
        <f>IF(TITLE_DATE_PR_CHANGE="",IF(TITLE_DATE_PR="","",TITLE_DATE_PR),TITLE_DATE_PR_CHANGE)</f>
        <v>45280.70914351852</v>
      </c>
      <c r="AE34" s="2519"/>
      <c r="AF34" s="2519"/>
      <c r="AG34" s="2519"/>
      <c r="AH34" s="2519"/>
      <c r="AI34" s="2519"/>
      <c r="AJ34" s="2519"/>
      <c r="AK34" s="687"/>
      <c r="AL34" s="687"/>
      <c r="AM34" s="641"/>
      <c r="AN34" s="729"/>
      <c r="AO34" s="729"/>
      <c r="AP34" s="729"/>
      <c r="AQ34" s="729"/>
      <c r="AR34" s="729"/>
    </row>
    <row s="19160" customFormat="1" customHeight="1" ht="18.75" hidden="1">
      <c r="A35" s="1734"/>
      <c r="B35" s="1734"/>
      <c r="C35" s="1734"/>
      <c r="D35" s="1734"/>
      <c r="E35" s="1734"/>
      <c r="F35" s="1734"/>
      <c r="G35" s="1734"/>
      <c r="H35" s="1734"/>
      <c r="I35" s="1734"/>
      <c r="J35" s="1734"/>
      <c r="K35" s="1734"/>
      <c r="L35" s="1735"/>
      <c r="M35" s="1734"/>
      <c r="N35" s="1734"/>
      <c r="O35" s="1734"/>
      <c r="S35" s="2518" t="s">
        <v>424</v>
      </c>
      <c r="T35" s="2518"/>
      <c r="U35" s="1738"/>
      <c r="V35" s="2520" t="str">
        <f>IF(TITLE_NUMBER_PR_CHANGE="",IF(TITLE_NUMBER_PR="","",TITLE_NUMBER_PR),TITLE_NUMBER_PR_CHANGE)</f>
        <v>317-Р</v>
      </c>
      <c r="W35" s="2520"/>
      <c r="X35" s="2520"/>
      <c r="Y35" s="2520"/>
      <c r="Z35" s="2520"/>
      <c r="AA35" s="2520"/>
      <c r="AB35" s="2520"/>
      <c r="AC35" s="687"/>
      <c r="AD35" s="2520" t="str">
        <f>IF(TITLE_NUMBER_PR_CHANGE="",IF(TITLE_NUMBER_PR="","",TITLE_NUMBER_PR),TITLE_NUMBER_PR_CHANGE)</f>
        <v>317-Р</v>
      </c>
      <c r="AE35" s="2520"/>
      <c r="AF35" s="2520"/>
      <c r="AG35" s="2520"/>
      <c r="AH35" s="2520"/>
      <c r="AI35" s="2520"/>
      <c r="AJ35" s="2520"/>
      <c r="AK35" s="687"/>
      <c r="AL35" s="687"/>
      <c r="AM35" s="641"/>
      <c r="AN35" s="729"/>
      <c r="AO35" s="729"/>
      <c r="AP35" s="729"/>
      <c r="AQ35" s="729"/>
      <c r="AR35" s="729"/>
    </row>
    <row s="19160" customFormat="1" customHeight="1" ht="0">
      <c r="A36" s="1734"/>
      <c r="B36" s="1734"/>
      <c r="C36" s="1734"/>
      <c r="D36" s="1734"/>
      <c r="E36" s="1734"/>
      <c r="F36" s="1734"/>
      <c r="G36" s="1734"/>
      <c r="H36" s="1734"/>
      <c r="I36" s="1734"/>
      <c r="J36" s="1734"/>
      <c r="K36" s="1734"/>
      <c r="L36" s="1735"/>
      <c r="M36" s="1734"/>
      <c r="N36" s="1734"/>
      <c r="O36" s="1734"/>
      <c r="S36" s="684"/>
      <c r="T36" s="684"/>
      <c r="U36" s="1706"/>
      <c r="V36" s="687"/>
      <c r="W36" s="687"/>
      <c r="X36" s="687"/>
      <c r="Y36" s="687"/>
      <c r="Z36" s="687"/>
      <c r="AA36" s="687"/>
      <c r="AB36" s="687"/>
      <c r="AC36" s="639" t="s">
        <v>425</v>
      </c>
      <c r="AD36" s="687"/>
      <c r="AE36" s="687"/>
      <c r="AF36" s="687"/>
      <c r="AG36" s="687"/>
      <c r="AH36" s="687"/>
      <c r="AI36" s="687"/>
      <c r="AJ36" s="687"/>
      <c r="AK36" s="639" t="s">
        <v>425</v>
      </c>
      <c r="AN36" s="729"/>
      <c r="AO36" s="729"/>
      <c r="AP36" s="729"/>
      <c r="AQ36" s="729"/>
      <c r="AR36" s="729"/>
    </row>
    <row customHeight="1" ht="14.25">
      <c r="Q37" s="737"/>
      <c r="R37" s="737"/>
      <c r="S37" s="1641"/>
      <c r="T37" s="724"/>
      <c r="U37" s="1609"/>
      <c r="V37" s="2544"/>
      <c r="W37" s="2544"/>
      <c r="X37" s="2544"/>
      <c r="Y37" s="2544"/>
      <c r="Z37" s="2544"/>
      <c r="AA37" s="2544"/>
      <c r="AB37" s="2544"/>
      <c r="AC37" s="2544"/>
      <c r="AD37" s="2544"/>
      <c r="AE37" s="2544"/>
      <c r="AF37" s="2544"/>
      <c r="AG37" s="2544"/>
      <c r="AH37" s="2544"/>
      <c r="AI37" s="2544"/>
      <c r="AJ37" s="2544"/>
      <c r="AK37" s="2544"/>
    </row>
    <row customHeight="1" ht="14.25">
      <c r="Q38" s="737"/>
      <c r="R38" s="737"/>
      <c r="S38" s="2392" t="s">
        <v>300</v>
      </c>
      <c r="T38" s="2392"/>
      <c r="U38" s="2392"/>
      <c r="V38" s="2392"/>
      <c r="W38" s="2392"/>
      <c r="X38" s="2392"/>
      <c r="Y38" s="2392"/>
      <c r="Z38" s="2392"/>
      <c r="AA38" s="2392"/>
      <c r="AB38" s="2392"/>
      <c r="AC38" s="2392"/>
      <c r="AD38" s="2392"/>
      <c r="AE38" s="2392"/>
      <c r="AF38" s="2392"/>
      <c r="AG38" s="2392"/>
      <c r="AH38" s="2392"/>
      <c r="AI38" s="2392"/>
      <c r="AJ38" s="2392"/>
      <c r="AK38" s="2392"/>
      <c r="AL38" s="2392"/>
      <c r="AM38" s="2392" t="s">
        <v>301</v>
      </c>
    </row>
    <row customHeight="1" ht="14.25">
      <c r="Q39" s="737"/>
      <c r="R39" s="737"/>
      <c r="S39" s="2545" t="s">
        <v>85</v>
      </c>
      <c r="T39" s="2482" t="s">
        <v>426</v>
      </c>
      <c r="U39" s="662"/>
      <c r="V39" s="2546" t="s">
        <v>427</v>
      </c>
      <c r="W39" s="2547"/>
      <c r="X39" s="2547"/>
      <c r="Y39" s="2547"/>
      <c r="Z39" s="2547"/>
      <c r="AA39" s="2547"/>
      <c r="AB39" s="2548"/>
      <c r="AC39" s="2549" t="s">
        <v>428</v>
      </c>
      <c r="AD39" s="2546" t="s">
        <v>427</v>
      </c>
      <c r="AE39" s="2547"/>
      <c r="AF39" s="2547"/>
      <c r="AG39" s="2547"/>
      <c r="AH39" s="2547"/>
      <c r="AI39" s="2547"/>
      <c r="AJ39" s="2548"/>
      <c r="AK39" s="2549" t="s">
        <v>429</v>
      </c>
      <c r="AL39" s="2552" t="s">
        <v>430</v>
      </c>
      <c r="AM39" s="2392"/>
    </row>
    <row customHeight="1" ht="33.75">
      <c r="Q40" s="737"/>
      <c r="R40" s="737"/>
      <c r="S40" s="2545"/>
      <c r="T40" s="2482"/>
      <c r="U40" s="1393"/>
      <c r="V40" s="2555" t="s">
        <v>431</v>
      </c>
      <c r="W40" s="2536"/>
      <c r="X40" s="2538" t="s">
        <v>433</v>
      </c>
      <c r="Y40" s="2540"/>
      <c r="Z40" s="2538" t="s">
        <v>434</v>
      </c>
      <c r="AA40" s="2539"/>
      <c r="AB40" s="2540"/>
      <c r="AC40" s="2550"/>
      <c r="AD40" s="2555" t="s">
        <v>447</v>
      </c>
      <c r="AE40" s="2536"/>
      <c r="AF40" s="2538" t="s">
        <v>433</v>
      </c>
      <c r="AG40" s="2540"/>
      <c r="AH40" s="2538" t="s">
        <v>434</v>
      </c>
      <c r="AI40" s="2539"/>
      <c r="AJ40" s="2540"/>
      <c r="AK40" s="2550"/>
      <c r="AL40" s="2553"/>
      <c r="AM40" s="2392"/>
    </row>
    <row customHeight="1" ht="33.75">
      <c r="A41" s="1736"/>
      <c r="B41" s="1736" t="s">
        <v>132</v>
      </c>
      <c r="C41" s="1736" t="s">
        <v>133</v>
      </c>
      <c r="D41" s="1736" t="s">
        <v>134</v>
      </c>
      <c r="E41" s="1730" t="s">
        <v>435</v>
      </c>
      <c r="F41" s="1730" t="s">
        <v>436</v>
      </c>
      <c r="G41" s="1730" t="s">
        <v>437</v>
      </c>
      <c r="H41" s="1730" t="s">
        <v>438</v>
      </c>
      <c r="I41" s="1730" t="s">
        <v>439</v>
      </c>
      <c r="J41" s="1730" t="s">
        <v>440</v>
      </c>
      <c r="K41" s="1730" t="s">
        <v>441</v>
      </c>
      <c r="L41" s="1730" t="s">
        <v>416</v>
      </c>
      <c r="Q41" s="737"/>
      <c r="R41" s="737"/>
      <c r="S41" s="2545"/>
      <c r="T41" s="2482"/>
      <c r="U41" s="663"/>
      <c r="V41" s="2556"/>
      <c r="W41" s="2537"/>
      <c r="X41" s="1587" t="s">
        <v>442</v>
      </c>
      <c r="Y41" s="1587" t="s">
        <v>443</v>
      </c>
      <c r="Z41" s="1704" t="s">
        <v>444</v>
      </c>
      <c r="AA41" s="2541" t="s">
        <v>445</v>
      </c>
      <c r="AB41" s="2542"/>
      <c r="AC41" s="2551"/>
      <c r="AD41" s="2556"/>
      <c r="AE41" s="2537"/>
      <c r="AF41" s="1587" t="s">
        <v>442</v>
      </c>
      <c r="AG41" s="1587" t="s">
        <v>443</v>
      </c>
      <c r="AH41" s="1704" t="s">
        <v>444</v>
      </c>
      <c r="AI41" s="2541" t="s">
        <v>445</v>
      </c>
      <c r="AJ41" s="2542"/>
      <c r="AK41" s="2551"/>
      <c r="AL41" s="2554"/>
      <c r="AM41" s="2392"/>
    </row>
    <row s="18977" customFormat="1" customHeight="1" ht="11.25" hidden="1">
      <c r="A42" s="1736"/>
      <c r="B42" s="1736"/>
      <c r="C42" s="1736"/>
      <c r="D42" s="1736"/>
      <c r="E42" s="1736"/>
      <c r="F42" s="1736"/>
      <c r="G42" s="1736"/>
      <c r="H42" s="1736"/>
      <c r="I42" s="1736"/>
      <c r="J42" s="1736"/>
      <c r="K42" s="1736"/>
      <c r="L42" s="1730"/>
      <c r="M42" s="1728"/>
      <c r="N42" s="1728"/>
      <c r="O42" s="1728"/>
      <c r="P42" s="1611"/>
      <c r="Q42" s="1612"/>
      <c r="R42" s="1619">
        <v>1</v>
      </c>
      <c r="S42" s="1643" t="s">
        <v>106</v>
      </c>
      <c r="T42" s="1620" t="s">
        <v>107</v>
      </c>
      <c r="U42" s="1610" t="str">
        <f>OFFSET(U42,0,-1)</f>
        <v>2</v>
      </c>
      <c r="V42" s="1701">
        <f>OFFSET(V42,0,-1)+1</f>
        <v>3</v>
      </c>
      <c r="W42" s="1701"/>
      <c r="X42" s="1701">
        <f>OFFSET(X42,0,-1)+1</f>
        <v>1</v>
      </c>
      <c r="Y42" s="1701">
        <f>OFFSET(Y42,0,-1)+1</f>
        <v>2</v>
      </c>
      <c r="Z42" s="1701">
        <f>OFFSET(Z42,0,-1)+1</f>
        <v>3</v>
      </c>
      <c r="AA42" s="2543">
        <f>OFFSET(AA42,0,-1)+1</f>
        <v>4</v>
      </c>
      <c r="AB42" s="2543"/>
      <c r="AC42" s="1701">
        <f>OFFSET(AC42,0,-2)+1</f>
        <v>5</v>
      </c>
      <c r="AD42" s="1701">
        <f>OFFSET(AD42,0,-1)+1</f>
        <v>6</v>
      </c>
      <c r="AE42" s="1701"/>
      <c r="AF42" s="1701">
        <f>OFFSET(AF42,0,-1)+1</f>
        <v>1</v>
      </c>
      <c r="AG42" s="1701">
        <f>OFFSET(AG42,0,-1)+1</f>
        <v>2</v>
      </c>
      <c r="AH42" s="1701">
        <f>OFFSET(AH42,0,-1)+1</f>
        <v>3</v>
      </c>
      <c r="AI42" s="2543">
        <f>OFFSET(AI42,0,-1)+1</f>
        <v>4</v>
      </c>
      <c r="AJ42" s="2543"/>
      <c r="AK42" s="1701">
        <f>OFFSET(AK42,0,-2)+1</f>
        <v>5</v>
      </c>
      <c r="AL42" s="1610">
        <f>OFFSET(AL42,0,-1)</f>
        <v>5</v>
      </c>
      <c r="AM42" s="1701">
        <f>OFFSET(AM42,0,-1)+1</f>
        <v>6</v>
      </c>
      <c r="AN42" s="872"/>
      <c r="AO42" s="872"/>
      <c r="AP42" s="872"/>
      <c r="AQ42" s="872"/>
      <c r="AR42" s="872"/>
    </row>
    <row customHeight="1" ht="21">
      <c r="A43" s="1729" t="s">
        <v>165</v>
      </c>
      <c r="B43" s="1729"/>
      <c r="C43" s="1729"/>
      <c r="D43" s="1729"/>
      <c r="E43" s="2527">
        <v>1</v>
      </c>
      <c r="F43" s="1729"/>
      <c r="G43" s="1729"/>
      <c r="H43" s="1729"/>
      <c r="I43" s="1729"/>
      <c r="J43" s="1729"/>
      <c r="K43" s="1729"/>
      <c r="L43" s="1730"/>
      <c r="M43" s="1731"/>
      <c r="N43" s="1731"/>
      <c r="O43" s="1731"/>
      <c r="P43" s="722"/>
      <c r="Q43" s="721"/>
      <c r="R43" s="716"/>
      <c r="S43" s="1702">
        <f>INDEX(PT_DIFFERENTIATION_NUM_NTAR,MATCH(A43,PT_DIFFERENTIATION_NTAR_ID,0))</f>
        <v>0</v>
      </c>
      <c r="T43" s="659" t="s">
        <v>120</v>
      </c>
      <c r="U43" s="661"/>
      <c r="V43" s="2521"/>
      <c r="W43" s="2522"/>
      <c r="X43" s="2522"/>
      <c r="Y43" s="2522"/>
      <c r="Z43" s="2522"/>
      <c r="AA43" s="2522"/>
      <c r="AB43" s="2522"/>
      <c r="AC43" s="2523"/>
      <c r="AD43" s="2521" t="str">
        <f>INDEX(PT_DIFFERENTIATION_NTAR,MATCH(A43,PT_DIFFERENTIATION_NTAR_ID,0))</f>
        <v/>
      </c>
      <c r="AE43" s="2522"/>
      <c r="AF43" s="2522"/>
      <c r="AG43" s="2522"/>
      <c r="AH43" s="2522"/>
      <c r="AI43" s="2522"/>
      <c r="AJ43" s="2522"/>
      <c r="AK43" s="2522"/>
      <c r="AL43" s="2523"/>
      <c r="AM43" s="162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861"/>
      <c r="AP43" s="861" t="str">
        <f>IF(T43="","",T43)</f>
        <v>Наименование тарифа</v>
      </c>
      <c r="AQ43" s="861"/>
      <c r="AR43" s="861"/>
    </row>
    <row customHeight="1" ht="21">
      <c r="A44" s="1729" t="s">
        <v>165</v>
      </c>
      <c r="B44" s="1729" t="s">
        <v>166</v>
      </c>
      <c r="C44" s="1729"/>
      <c r="D44" s="1729"/>
      <c r="E44" s="2528"/>
      <c r="F44" s="2527">
        <v>1</v>
      </c>
      <c r="G44" s="1729"/>
      <c r="H44" s="1729"/>
      <c r="I44" s="1729"/>
      <c r="J44" s="1729"/>
      <c r="K44" s="1729"/>
      <c r="L44" s="1730"/>
      <c r="M44" s="1731"/>
      <c r="N44" s="1731"/>
      <c r="O44" s="1731"/>
      <c r="P44" s="1698"/>
      <c r="Q44" s="713"/>
      <c r="R44" s="714"/>
      <c r="S44" s="1702" t="str">
        <f>INDEX(PT_DIFFERENTIATION_NUM_TER,MATCH(B44,PT_DIFFERENTIATION_TER_ID,0))</f>
        <v>.</v>
      </c>
      <c r="T44" s="669" t="s">
        <v>397</v>
      </c>
      <c r="U44" s="661"/>
      <c r="V44" s="2521"/>
      <c r="W44" s="2522"/>
      <c r="X44" s="2522"/>
      <c r="Y44" s="2522"/>
      <c r="Z44" s="2522"/>
      <c r="AA44" s="2522"/>
      <c r="AB44" s="2522"/>
      <c r="AC44" s="2523"/>
      <c r="AD44" s="2521" t="str">
        <f>INDEX(PT_DIFFERENTIATION_TER,MATCH(B44,PT_DIFFERENTIATION_TER_ID,0))</f>
        <v/>
      </c>
      <c r="AE44" s="2522"/>
      <c r="AF44" s="2522"/>
      <c r="AG44" s="2522"/>
      <c r="AH44" s="2522"/>
      <c r="AI44" s="2522"/>
      <c r="AJ44" s="2522"/>
      <c r="AK44" s="2522"/>
      <c r="AL44" s="2523"/>
      <c r="AM44" s="1623" t="s">
        <v>398</v>
      </c>
      <c r="AO44" s="861"/>
      <c r="AP44" s="861" t="str">
        <f>IF(T44="","",T44)</f>
        <v>Территория действия тарифа</v>
      </c>
      <c r="AQ44" s="861"/>
      <c r="AR44" s="861"/>
    </row>
    <row customHeight="1" ht="23.25">
      <c r="A45" s="1729" t="s">
        <v>165</v>
      </c>
      <c r="B45" s="1729" t="s">
        <v>166</v>
      </c>
      <c r="C45" s="1729" t="s">
        <v>167</v>
      </c>
      <c r="D45" s="1729"/>
      <c r="E45" s="2528"/>
      <c r="F45" s="2528"/>
      <c r="G45" s="2527">
        <v>1</v>
      </c>
      <c r="H45" s="1729"/>
      <c r="I45" s="1729"/>
      <c r="J45" s="1729"/>
      <c r="K45" s="1729"/>
      <c r="L45" s="1730"/>
      <c r="M45" s="1731"/>
      <c r="N45" s="1731"/>
      <c r="O45" s="1731"/>
      <c r="P45" s="715"/>
      <c r="Q45" s="713"/>
      <c r="R45" s="714"/>
      <c r="S45" s="1702" t="str">
        <f>INDEX(PT_DIFFERENTIATION_NUM_CS,MATCH(C45,PT_DIFFERENTIATION_CS_ID,0))</f>
        <v>..</v>
      </c>
      <c r="T45" s="670" t="s">
        <v>399</v>
      </c>
      <c r="U45" s="661"/>
      <c r="V45" s="2521"/>
      <c r="W45" s="2522"/>
      <c r="X45" s="2522"/>
      <c r="Y45" s="2522"/>
      <c r="Z45" s="2522"/>
      <c r="AA45" s="2522"/>
      <c r="AB45" s="2522"/>
      <c r="AC45" s="2523"/>
      <c r="AD45" s="2521" t="str">
        <f>INDEX(PT_DIFFERENTIATION_CS,MATCH(C45,PT_DIFFERENTIATION_CS_ID,0))</f>
        <v/>
      </c>
      <c r="AE45" s="2522"/>
      <c r="AF45" s="2522"/>
      <c r="AG45" s="2522"/>
      <c r="AH45" s="2522"/>
      <c r="AI45" s="2522"/>
      <c r="AJ45" s="2522"/>
      <c r="AK45" s="2522"/>
      <c r="AL45" s="2523"/>
      <c r="AM45" s="1623" t="s">
        <v>400</v>
      </c>
      <c r="AO45" s="861"/>
      <c r="AP45" s="861" t="str">
        <f>IF(T45="","",T45)</f>
        <v>Наименование системы теплоснабжения </v>
      </c>
      <c r="AQ45" s="861"/>
      <c r="AR45" s="861"/>
    </row>
    <row customHeight="1" ht="21">
      <c r="A46" s="1729" t="s">
        <v>165</v>
      </c>
      <c r="B46" s="1729" t="s">
        <v>166</v>
      </c>
      <c r="C46" s="1729" t="s">
        <v>167</v>
      </c>
      <c r="D46" s="1729" t="s">
        <v>168</v>
      </c>
      <c r="E46" s="2528"/>
      <c r="F46" s="2528"/>
      <c r="G46" s="2528"/>
      <c r="H46" s="2527">
        <v>1</v>
      </c>
      <c r="I46" s="1729"/>
      <c r="J46" s="1729"/>
      <c r="K46" s="1729"/>
      <c r="L46" s="1730"/>
      <c r="M46" s="1731"/>
      <c r="N46" s="1731"/>
      <c r="O46" s="1731"/>
      <c r="P46" s="715"/>
      <c r="Q46" s="713"/>
      <c r="R46" s="714"/>
      <c r="S46" s="1702" t="str">
        <f>INDEX(PT_DIFFERENTIATION_NUM_IST_TE,MATCH(D46,PT_DIFFERENTIATION_IST_TE_ID,0))</f>
        <v>...</v>
      </c>
      <c r="T46" s="671" t="s">
        <v>401</v>
      </c>
      <c r="U46" s="661"/>
      <c r="V46" s="2521"/>
      <c r="W46" s="2522"/>
      <c r="X46" s="2522"/>
      <c r="Y46" s="2522"/>
      <c r="Z46" s="2522"/>
      <c r="AA46" s="2522"/>
      <c r="AB46" s="2522"/>
      <c r="AC46" s="2523"/>
      <c r="AD46" s="2521" t="str">
        <f>INDEX(PT_DIFFERENTIATION_IST_TE,MATCH(D46,PT_DIFFERENTIATION_IST_TE_ID,0))</f>
        <v/>
      </c>
      <c r="AE46" s="2522"/>
      <c r="AF46" s="2522"/>
      <c r="AG46" s="2522"/>
      <c r="AH46" s="2522"/>
      <c r="AI46" s="2522"/>
      <c r="AJ46" s="2522"/>
      <c r="AK46" s="2522"/>
      <c r="AL46" s="2523"/>
      <c r="AM46" s="1623" t="s">
        <v>402</v>
      </c>
      <c r="AO46" s="861"/>
      <c r="AP46" s="861" t="str">
        <f>IF(T46="","",T46)</f>
        <v>Источник тепловой энергии  </v>
      </c>
      <c r="AQ46" s="861"/>
      <c r="AR46" s="861"/>
    </row>
    <row s="19219" customFormat="1" customHeight="1" ht="0">
      <c r="A47" s="1709" t="s">
        <v>165</v>
      </c>
      <c r="B47" s="1709" t="s">
        <v>166</v>
      </c>
      <c r="C47" s="1709" t="s">
        <v>167</v>
      </c>
      <c r="D47" s="1709" t="s">
        <v>168</v>
      </c>
      <c r="E47" s="2528"/>
      <c r="F47" s="2528"/>
      <c r="G47" s="2528"/>
      <c r="H47" s="2528"/>
      <c r="I47" s="2529" t="str">
        <f>S46&amp;".1"</f>
        <v>....1</v>
      </c>
      <c r="J47" s="1709"/>
      <c r="K47" s="1709"/>
      <c r="L47" s="1712" t="s">
        <v>403</v>
      </c>
      <c r="M47" s="871"/>
      <c r="N47" s="871"/>
      <c r="O47" s="871"/>
      <c r="P47" s="2531">
        <v>1</v>
      </c>
      <c r="Q47" s="1697"/>
      <c r="R47" s="717"/>
      <c r="S47" s="1404"/>
      <c r="T47" s="1749"/>
      <c r="U47" s="1750"/>
      <c r="V47" s="2569"/>
      <c r="W47" s="2570"/>
      <c r="X47" s="2570"/>
      <c r="Y47" s="2570"/>
      <c r="Z47" s="2570"/>
      <c r="AA47" s="2570"/>
      <c r="AB47" s="2570"/>
      <c r="AC47" s="2571"/>
      <c r="AD47" s="2569"/>
      <c r="AE47" s="2570"/>
      <c r="AF47" s="2570"/>
      <c r="AG47" s="2570"/>
      <c r="AH47" s="2570"/>
      <c r="AI47" s="2570"/>
      <c r="AJ47" s="2570"/>
      <c r="AK47" s="2570"/>
      <c r="AL47" s="2571"/>
      <c r="AM47" s="1751"/>
      <c r="AO47" s="861"/>
      <c r="AP47" s="861" t="str">
        <f>IF(T47="","",T47)</f>
        <v/>
      </c>
      <c r="AQ47" s="861"/>
      <c r="AR47" s="861"/>
    </row>
    <row customHeight="1" ht="21">
      <c r="A48" s="1729" t="s">
        <v>165</v>
      </c>
      <c r="B48" s="1729" t="s">
        <v>166</v>
      </c>
      <c r="C48" s="1729" t="s">
        <v>167</v>
      </c>
      <c r="D48" s="1729" t="s">
        <v>168</v>
      </c>
      <c r="E48" s="2528"/>
      <c r="F48" s="2528"/>
      <c r="G48" s="2528"/>
      <c r="H48" s="2528"/>
      <c r="I48" s="2530"/>
      <c r="J48" s="2529" t="str">
        <f>S46&amp;".1"</f>
        <v>....1</v>
      </c>
      <c r="K48" s="1729"/>
      <c r="L48" s="1730" t="s">
        <v>406</v>
      </c>
      <c r="P48" s="2531"/>
      <c r="Q48" s="2531">
        <v>1</v>
      </c>
      <c r="R48" s="718"/>
      <c r="S48" s="1702" t="str">
        <f>$J48</f>
        <v>....1</v>
      </c>
      <c r="T48" s="647" t="s">
        <v>407</v>
      </c>
      <c r="U48" s="661"/>
      <c r="V48" s="2515"/>
      <c r="W48" s="2516"/>
      <c r="X48" s="2516"/>
      <c r="Y48" s="2516"/>
      <c r="Z48" s="2516"/>
      <c r="AA48" s="2516"/>
      <c r="AB48" s="2516"/>
      <c r="AC48" s="2517"/>
      <c r="AD48" s="2515"/>
      <c r="AE48" s="2516"/>
      <c r="AF48" s="2516"/>
      <c r="AG48" s="2516"/>
      <c r="AH48" s="2516"/>
      <c r="AI48" s="2516"/>
      <c r="AJ48" s="2516"/>
      <c r="AK48" s="2516"/>
      <c r="AL48" s="2517"/>
      <c r="AM48" s="1623" t="s">
        <v>408</v>
      </c>
      <c r="AO48" s="861"/>
      <c r="AP48" s="861" t="str">
        <f>IF(T48="","",T48)</f>
        <v>Группа потребителей</v>
      </c>
      <c r="AQ48" s="861"/>
      <c r="AR48" s="861"/>
    </row>
    <row customHeight="1" ht="21">
      <c r="A49" s="1729" t="s">
        <v>165</v>
      </c>
      <c r="B49" s="1729" t="s">
        <v>166</v>
      </c>
      <c r="C49" s="1729" t="s">
        <v>167</v>
      </c>
      <c r="D49" s="1729" t="s">
        <v>168</v>
      </c>
      <c r="E49" s="2528"/>
      <c r="F49" s="2528"/>
      <c r="G49" s="2528"/>
      <c r="H49" s="2528"/>
      <c r="I49" s="2530"/>
      <c r="J49" s="2530"/>
      <c r="K49" s="2529" t="str">
        <f>J48&amp;".1"</f>
        <v>....1.1</v>
      </c>
      <c r="L49" s="1730" t="s">
        <v>409</v>
      </c>
      <c r="P49" s="2531"/>
      <c r="Q49" s="2531"/>
      <c r="R49" s="718">
        <v>1</v>
      </c>
      <c r="S49" s="1702" t="str">
        <f>$K49</f>
        <v>....1.1</v>
      </c>
      <c r="T49" s="1713"/>
      <c r="U49" s="661"/>
      <c r="V49" s="1112"/>
      <c r="W49" s="686"/>
      <c r="X49" s="1112"/>
      <c r="Y49" s="1622"/>
      <c r="Z49" s="2532"/>
      <c r="AA49" s="2402" t="s">
        <v>59</v>
      </c>
      <c r="AB49" s="2532"/>
      <c r="AC49" s="2402" t="s">
        <v>59</v>
      </c>
      <c r="AD49" s="1112"/>
      <c r="AE49" s="686"/>
      <c r="AF49" s="1112"/>
      <c r="AG49" s="1622"/>
      <c r="AH49" s="2532"/>
      <c r="AI49" s="2402" t="s">
        <v>59</v>
      </c>
      <c r="AJ49" s="2534"/>
      <c r="AK49" s="2402" t="s">
        <v>59</v>
      </c>
      <c r="AL49" s="1714"/>
      <c r="AM49" s="2557" t="s">
        <v>448</v>
      </c>
      <c r="AN49" s="872">
        <f>STRCHECKDATE(V50:AL50)</f>
      </c>
      <c r="AO49" s="861"/>
      <c r="AP49" s="861" t="str">
        <f>IF(T49="","",T49)</f>
        <v/>
      </c>
      <c r="AQ49" s="861"/>
      <c r="AR49" s="861"/>
    </row>
    <row customHeight="1" ht="0.75">
      <c r="A50" s="1729" t="s">
        <v>165</v>
      </c>
      <c r="B50" s="1729" t="s">
        <v>166</v>
      </c>
      <c r="C50" s="1729" t="s">
        <v>167</v>
      </c>
      <c r="D50" s="1729" t="s">
        <v>168</v>
      </c>
      <c r="E50" s="2528"/>
      <c r="F50" s="2528"/>
      <c r="G50" s="2528"/>
      <c r="H50" s="2528"/>
      <c r="I50" s="2530"/>
      <c r="J50" s="2530"/>
      <c r="K50" s="2529"/>
      <c r="L50" s="1730"/>
      <c r="P50" s="2531"/>
      <c r="Q50" s="2531"/>
      <c r="R50" s="718"/>
      <c r="S50" s="1708"/>
      <c r="T50" s="661"/>
      <c r="U50" s="661"/>
      <c r="V50" s="686"/>
      <c r="W50" s="686"/>
      <c r="X50" s="686"/>
      <c r="Y50" s="689" t="str">
        <f>Z49&amp;"-"&amp;AB49</f>
        <v>-</v>
      </c>
      <c r="Z50" s="2533"/>
      <c r="AA50" s="2402"/>
      <c r="AB50" s="2533"/>
      <c r="AC50" s="2402"/>
      <c r="AD50" s="686"/>
      <c r="AE50" s="686"/>
      <c r="AF50" s="686"/>
      <c r="AG50" s="689" t="str">
        <f>AH49&amp;"-"&amp;AJ49</f>
        <v>-</v>
      </c>
      <c r="AH50" s="2533"/>
      <c r="AI50" s="2402"/>
      <c r="AJ50" s="2535"/>
      <c r="AK50" s="2402"/>
      <c r="AL50" s="1715"/>
      <c r="AM50" s="2558"/>
      <c r="AO50" s="861"/>
      <c r="AP50" s="861" t="str">
        <f>IF(T50="","",T50)</f>
        <v/>
      </c>
      <c r="AQ50" s="861"/>
      <c r="AR50" s="861"/>
    </row>
    <row customHeight="1" ht="11.25">
      <c r="A51" s="1729" t="s">
        <v>165</v>
      </c>
      <c r="B51" s="1729" t="s">
        <v>166</v>
      </c>
      <c r="C51" s="1729" t="s">
        <v>167</v>
      </c>
      <c r="D51" s="1729" t="s">
        <v>168</v>
      </c>
      <c r="E51" s="2528"/>
      <c r="F51" s="2528"/>
      <c r="G51" s="2528"/>
      <c r="H51" s="2528"/>
      <c r="I51" s="2530"/>
      <c r="J51" s="2529"/>
      <c r="K51" s="1729"/>
      <c r="L51" s="1730"/>
      <c r="P51" s="2531"/>
      <c r="Q51" s="2531"/>
      <c r="R51" s="717"/>
      <c r="S51" s="1644"/>
      <c r="T51" s="648" t="s">
        <v>411</v>
      </c>
      <c r="U51" s="728"/>
      <c r="V51" s="728"/>
      <c r="W51" s="728"/>
      <c r="X51" s="728"/>
      <c r="Y51" s="728"/>
      <c r="Z51" s="728"/>
      <c r="AA51" s="728"/>
      <c r="AB51" s="728"/>
      <c r="AC51" s="728"/>
      <c r="AD51" s="728"/>
      <c r="AE51" s="728"/>
      <c r="AF51" s="728"/>
      <c r="AG51" s="728"/>
      <c r="AH51" s="728"/>
      <c r="AI51" s="728"/>
      <c r="AJ51" s="728"/>
      <c r="AK51" s="728"/>
      <c r="AL51" s="685"/>
      <c r="AM51" s="2559"/>
      <c r="AO51" s="861"/>
      <c r="AP51" s="861" t="str">
        <f>IF(T51="","",T51)</f>
        <v>Добавить вид теплоносителя (параметры теплоносителя)</v>
      </c>
      <c r="AQ51" s="861"/>
      <c r="AR51" s="861"/>
    </row>
    <row customHeight="1" ht="11.25">
      <c r="A52" s="1729" t="s">
        <v>165</v>
      </c>
      <c r="B52" s="1729" t="s">
        <v>166</v>
      </c>
      <c r="C52" s="1729" t="s">
        <v>167</v>
      </c>
      <c r="D52" s="1729" t="s">
        <v>168</v>
      </c>
      <c r="E52" s="2528"/>
      <c r="F52" s="2528"/>
      <c r="G52" s="2528"/>
      <c r="H52" s="2528"/>
      <c r="I52" s="2529"/>
      <c r="J52" s="1729"/>
      <c r="K52" s="1729"/>
      <c r="L52" s="1730"/>
      <c r="P52" s="2531"/>
      <c r="Q52" s="1697"/>
      <c r="R52" s="717"/>
      <c r="S52" s="1644"/>
      <c r="T52" s="726" t="s">
        <v>412</v>
      </c>
      <c r="U52" s="728"/>
      <c r="V52" s="728"/>
      <c r="W52" s="728"/>
      <c r="X52" s="728"/>
      <c r="Y52" s="728"/>
      <c r="Z52" s="728"/>
      <c r="AA52" s="728"/>
      <c r="AB52" s="728"/>
      <c r="AC52" s="727"/>
      <c r="AD52" s="728"/>
      <c r="AE52" s="728"/>
      <c r="AF52" s="728"/>
      <c r="AG52" s="728"/>
      <c r="AH52" s="728"/>
      <c r="AI52" s="728"/>
      <c r="AJ52" s="728"/>
      <c r="AK52" s="727"/>
      <c r="AL52" s="728"/>
      <c r="AM52" s="664"/>
      <c r="AO52" s="861"/>
      <c r="AP52" s="861" t="str">
        <f>IF(T52="","",T52)</f>
        <v>Добавить группу потребителей</v>
      </c>
      <c r="AQ52" s="861"/>
      <c r="AR52" s="861"/>
    </row>
    <row customHeight="1" ht="0">
      <c r="A53" s="1729" t="s">
        <v>165</v>
      </c>
      <c r="B53" s="1729" t="s">
        <v>166</v>
      </c>
      <c r="C53" s="1729" t="s">
        <v>167</v>
      </c>
      <c r="D53" s="1729" t="s">
        <v>168</v>
      </c>
      <c r="E53" s="2528"/>
      <c r="F53" s="2528"/>
      <c r="G53" s="2528"/>
      <c r="H53" s="2527"/>
      <c r="I53" s="1729"/>
      <c r="J53" s="1729"/>
      <c r="K53" s="1729"/>
      <c r="L53" s="1730"/>
      <c r="M53" s="1731"/>
      <c r="N53" s="1731"/>
      <c r="O53" s="898"/>
      <c r="P53" s="721"/>
      <c r="Q53" s="736"/>
      <c r="R53" s="716"/>
      <c r="S53" s="1752"/>
      <c r="T53" s="1753"/>
      <c r="U53" s="1754"/>
      <c r="V53" s="1754"/>
      <c r="W53" s="1754"/>
      <c r="X53" s="1754"/>
      <c r="Y53" s="1754"/>
      <c r="Z53" s="1754"/>
      <c r="AA53" s="1754"/>
      <c r="AB53" s="1754"/>
      <c r="AC53" s="1754"/>
      <c r="AD53" s="1754"/>
      <c r="AE53" s="1754"/>
      <c r="AF53" s="1754"/>
      <c r="AG53" s="1754"/>
      <c r="AH53" s="1754"/>
      <c r="AI53" s="1754"/>
      <c r="AJ53" s="1754"/>
      <c r="AK53" s="1754"/>
      <c r="AL53" s="1754"/>
      <c r="AM53" s="1755"/>
      <c r="AO53" s="861"/>
      <c r="AP53" s="861" t="str">
        <f>IF(T53="","",T53)</f>
        <v/>
      </c>
      <c r="AQ53" s="861"/>
      <c r="AR53" s="861"/>
    </row>
    <row s="19127" customFormat="1" customHeight="1" ht="0.75">
      <c r="A54" s="1709" t="s">
        <v>165</v>
      </c>
      <c r="B54" s="1709" t="s">
        <v>166</v>
      </c>
      <c r="C54" s="1709" t="s">
        <v>167</v>
      </c>
      <c r="D54" s="1680"/>
      <c r="E54" s="2528"/>
      <c r="F54" s="2528"/>
      <c r="G54" s="2527"/>
      <c r="H54" s="1680"/>
      <c r="I54" s="1680"/>
      <c r="J54" s="1680"/>
      <c r="K54" s="1680"/>
      <c r="L54" s="1705"/>
      <c r="M54" s="1681"/>
      <c r="N54" s="1681"/>
      <c r="P54" s="1682"/>
      <c r="Q54" s="1683"/>
      <c r="R54" s="1682"/>
      <c r="S54" s="1688"/>
      <c r="T54" s="1691" t="s">
        <v>414</v>
      </c>
      <c r="U54" s="1690"/>
      <c r="V54" s="1690"/>
      <c r="W54" s="1690"/>
      <c r="X54" s="1690"/>
      <c r="Y54" s="1690"/>
      <c r="Z54" s="1690"/>
      <c r="AA54" s="1690"/>
      <c r="AB54" s="1690"/>
      <c r="AC54" s="1690"/>
      <c r="AD54" s="1690"/>
      <c r="AE54" s="1690"/>
      <c r="AF54" s="1690"/>
      <c r="AG54" s="1690"/>
      <c r="AH54" s="1690"/>
      <c r="AI54" s="1690"/>
      <c r="AJ54" s="1690"/>
      <c r="AK54" s="1690"/>
      <c r="AL54" s="1690"/>
      <c r="AM54" s="1690"/>
      <c r="AO54" s="1150"/>
      <c r="AP54" s="1150" t="str">
        <f>IF(T54="","",T54)</f>
        <v>Добавить источник для дифференциации</v>
      </c>
      <c r="AQ54" s="1150"/>
      <c r="AR54" s="1150"/>
    </row>
    <row s="19127" customFormat="1" customHeight="1" ht="0.75">
      <c r="A55" s="1709" t="s">
        <v>165</v>
      </c>
      <c r="B55" s="1709" t="s">
        <v>166</v>
      </c>
      <c r="C55" s="1680"/>
      <c r="D55" s="1680"/>
      <c r="E55" s="2528"/>
      <c r="F55" s="2527"/>
      <c r="G55" s="1680"/>
      <c r="H55" s="1680"/>
      <c r="I55" s="1680"/>
      <c r="J55" s="1680"/>
      <c r="K55" s="1680"/>
      <c r="L55" s="1705"/>
      <c r="M55" s="1687"/>
      <c r="N55" s="1687"/>
      <c r="P55" s="1682"/>
      <c r="Q55" s="1683"/>
      <c r="R55" s="1682"/>
      <c r="S55" s="1688"/>
      <c r="T55" s="1691" t="s">
        <v>251</v>
      </c>
      <c r="U55" s="1690"/>
      <c r="V55" s="1690"/>
      <c r="W55" s="1690"/>
      <c r="X55" s="1690"/>
      <c r="Y55" s="1690"/>
      <c r="Z55" s="1690"/>
      <c r="AA55" s="1690"/>
      <c r="AB55" s="1690"/>
      <c r="AC55" s="1690"/>
      <c r="AD55" s="1690"/>
      <c r="AE55" s="1690"/>
      <c r="AF55" s="1690"/>
      <c r="AG55" s="1690"/>
      <c r="AH55" s="1690"/>
      <c r="AI55" s="1690"/>
      <c r="AJ55" s="1690"/>
      <c r="AK55" s="1690"/>
      <c r="AL55" s="1690"/>
      <c r="AM55" s="1690"/>
      <c r="AO55" s="1150"/>
      <c r="AP55" s="1150" t="str">
        <f>IF(T55="","",T55)</f>
        <v>Добавить централизованную систему для дифференциации</v>
      </c>
      <c r="AQ55" s="1150"/>
      <c r="AR55" s="1150"/>
    </row>
    <row s="19219" customFormat="1" customHeight="1" ht="0.75">
      <c r="A56" s="1709" t="s">
        <v>165</v>
      </c>
      <c r="B56" s="1709"/>
      <c r="C56" s="1709"/>
      <c r="D56" s="1709"/>
      <c r="E56" s="2527"/>
      <c r="F56" s="1709"/>
      <c r="G56" s="1709"/>
      <c r="H56" s="1709"/>
      <c r="I56" s="1709"/>
      <c r="J56" s="1709"/>
      <c r="K56" s="1709"/>
      <c r="L56" s="1712"/>
      <c r="M56" s="1687"/>
      <c r="N56" s="1687"/>
      <c r="O56" s="879"/>
      <c r="P56" s="741"/>
      <c r="Q56" s="1710"/>
      <c r="R56" s="741"/>
      <c r="S56" s="1688"/>
      <c r="T56" s="1691" t="s">
        <v>252</v>
      </c>
      <c r="U56" s="1690"/>
      <c r="V56" s="1690"/>
      <c r="W56" s="1690"/>
      <c r="X56" s="1690"/>
      <c r="Y56" s="1690"/>
      <c r="Z56" s="1690"/>
      <c r="AA56" s="1690"/>
      <c r="AB56" s="1690"/>
      <c r="AC56" s="1690"/>
      <c r="AD56" s="1690"/>
      <c r="AE56" s="1690"/>
      <c r="AF56" s="1690"/>
      <c r="AG56" s="1690"/>
      <c r="AH56" s="1690"/>
      <c r="AI56" s="1690"/>
      <c r="AJ56" s="1690"/>
      <c r="AK56" s="1690"/>
      <c r="AL56" s="1690"/>
      <c r="AM56" s="1690"/>
      <c r="AO56" s="861"/>
      <c r="AP56" s="861" t="str">
        <f>IF(T56="","",T56)</f>
        <v>Добавить территорию для дифференциации</v>
      </c>
      <c r="AQ56" s="861"/>
      <c r="AR56" s="861"/>
    </row>
    <row s="19127" customFormat="1" customHeight="1" ht="0.75">
      <c r="A57" s="1680"/>
      <c r="B57" s="1680"/>
      <c r="C57" s="1680"/>
      <c r="D57" s="1680"/>
      <c r="E57" s="1709"/>
      <c r="F57" s="1680"/>
      <c r="G57" s="1680"/>
      <c r="H57" s="1680"/>
      <c r="I57" s="1680"/>
      <c r="J57" s="1680"/>
      <c r="K57" s="1680"/>
      <c r="L57" s="1705"/>
      <c r="M57" s="1687"/>
      <c r="N57" s="1687"/>
      <c r="P57" s="1682"/>
      <c r="Q57" s="1683"/>
      <c r="R57" s="1682"/>
      <c r="S57" s="1688"/>
      <c r="T57" s="1691" t="s">
        <v>253</v>
      </c>
      <c r="U57" s="1690"/>
      <c r="V57" s="1690"/>
      <c r="W57" s="1690"/>
      <c r="X57" s="1690"/>
      <c r="Y57" s="1690"/>
      <c r="Z57" s="1690"/>
      <c r="AA57" s="1690"/>
      <c r="AB57" s="1690"/>
      <c r="AC57" s="1690"/>
      <c r="AD57" s="1690"/>
      <c r="AE57" s="1690"/>
      <c r="AF57" s="1690"/>
      <c r="AG57" s="1690"/>
      <c r="AH57" s="1690"/>
      <c r="AI57" s="1690"/>
      <c r="AJ57" s="1690"/>
      <c r="AK57" s="1690"/>
      <c r="AL57" s="1690"/>
      <c r="AM57" s="1690"/>
      <c r="AO57" s="1150"/>
      <c r="AP57" s="1150" t="str">
        <f>IF(T57="","",T57)</f>
        <v>Добавить наименование тарифа</v>
      </c>
      <c r="AQ57" s="1150"/>
      <c r="AR57" s="1150"/>
    </row>
    <row customHeight="1" ht="11.25">
      <c r="M58" s="1523"/>
      <c r="N58" s="1523"/>
      <c r="O58" s="898"/>
      <c r="P58" s="1518"/>
      <c r="Q58" s="1518"/>
      <c r="R58" s="1518"/>
      <c r="S58" s="1518"/>
      <c r="AN58" s="1518"/>
      <c r="AO58" s="1518"/>
      <c r="AP58" s="1518"/>
      <c r="AQ58" s="1518"/>
      <c r="AR58" s="1518"/>
    </row>
    <row customHeight="1" ht="18.75">
      <c r="O59" s="898"/>
      <c r="S59" s="1618"/>
      <c r="T59" s="2526"/>
      <c r="U59" s="2526"/>
      <c r="V59" s="2526"/>
      <c r="W59" s="2526"/>
      <c r="X59" s="2526"/>
      <c r="Y59" s="2526"/>
      <c r="Z59" s="2526"/>
      <c r="AA59" s="2526"/>
      <c r="AB59" s="2526"/>
      <c r="AC59" s="2526"/>
      <c r="AD59" s="2526"/>
      <c r="AE59" s="2526"/>
      <c r="AF59" s="2526"/>
      <c r="AG59" s="2526"/>
      <c r="AH59" s="2526"/>
      <c r="AI59" s="2526"/>
      <c r="AJ59" s="2526"/>
      <c r="AK59" s="2526"/>
      <c r="AL59" s="2526"/>
      <c r="AM59" s="2526"/>
    </row>
    <row customHeight="1" ht="27.75">
      <c r="O60" s="898"/>
      <c r="T60" s="2526"/>
      <c r="U60" s="2526"/>
      <c r="V60" s="2526"/>
      <c r="W60" s="2526"/>
      <c r="X60" s="2526"/>
      <c r="Y60" s="2526"/>
      <c r="Z60" s="2526"/>
      <c r="AA60" s="2526"/>
      <c r="AB60" s="2526"/>
      <c r="AC60" s="2526"/>
      <c r="AD60" s="2526"/>
      <c r="AE60" s="2526"/>
      <c r="AF60" s="2526"/>
      <c r="AG60" s="2526"/>
      <c r="AH60" s="2526"/>
      <c r="AI60" s="2526"/>
      <c r="AJ60" s="2526"/>
      <c r="AK60" s="2526"/>
      <c r="AL60" s="2526"/>
      <c r="AM60" s="2526"/>
    </row>
    <row customHeight="1" ht="39.75">
      <c r="O61" s="898"/>
      <c r="T61" s="2526"/>
      <c r="U61" s="2526"/>
      <c r="V61" s="2526"/>
      <c r="W61" s="2526"/>
      <c r="X61" s="2526"/>
      <c r="Y61" s="2526"/>
      <c r="Z61" s="2526"/>
      <c r="AA61" s="2526"/>
      <c r="AB61" s="2526"/>
      <c r="AC61" s="2526"/>
      <c r="AD61" s="2526"/>
      <c r="AE61" s="2526"/>
      <c r="AF61" s="2526"/>
      <c r="AG61" s="2526"/>
      <c r="AH61" s="2526"/>
      <c r="AI61" s="2526"/>
      <c r="AJ61" s="2526"/>
      <c r="AK61" s="2526"/>
      <c r="AL61" s="2526"/>
      <c r="AM61" s="2526"/>
    </row>
    <row customHeight="1" ht="14.25">
      <c r="O62" s="898"/>
    </row>
    <row customHeight="1" ht="19.5">
      <c r="O63" s="898"/>
      <c r="S63" s="1618"/>
      <c r="T63" s="2572"/>
      <c r="U63" s="2526"/>
      <c r="V63" s="2526"/>
      <c r="W63" s="2526"/>
      <c r="X63" s="2526"/>
      <c r="Y63" s="2526"/>
      <c r="Z63" s="2526"/>
      <c r="AA63" s="2526"/>
      <c r="AB63" s="2526"/>
      <c r="AC63" s="2526"/>
      <c r="AD63" s="2526"/>
      <c r="AE63" s="2526"/>
      <c r="AF63" s="2526"/>
      <c r="AG63" s="2526"/>
      <c r="AH63" s="2526"/>
      <c r="AI63" s="2526"/>
      <c r="AJ63" s="2526"/>
      <c r="AK63" s="2526"/>
      <c r="AL63" s="2526"/>
      <c r="AM63" s="2526"/>
    </row>
    <row customHeight="1" ht="27.75">
      <c r="O64" s="898"/>
      <c r="T64" s="2526"/>
      <c r="U64" s="2526"/>
      <c r="V64" s="2526"/>
      <c r="W64" s="2526"/>
      <c r="X64" s="2526"/>
      <c r="Y64" s="2526"/>
      <c r="Z64" s="2526"/>
      <c r="AA64" s="2526"/>
      <c r="AB64" s="2526"/>
      <c r="AC64" s="2526"/>
      <c r="AD64" s="2526"/>
      <c r="AE64" s="2526"/>
      <c r="AF64" s="2526"/>
      <c r="AG64" s="2526"/>
      <c r="AH64" s="2526"/>
      <c r="AI64" s="2526"/>
      <c r="AJ64" s="2526"/>
      <c r="AK64" s="2526"/>
      <c r="AL64" s="2526"/>
      <c r="AM64" s="2526"/>
    </row>
    <row customHeight="1" ht="33.75">
      <c r="T65" s="2526"/>
      <c r="U65" s="2526"/>
      <c r="V65" s="2526"/>
      <c r="W65" s="2526"/>
      <c r="X65" s="2526"/>
      <c r="Y65" s="2526"/>
      <c r="Z65" s="2526"/>
      <c r="AA65" s="2526"/>
      <c r="AB65" s="2526"/>
      <c r="AC65" s="2526"/>
      <c r="AD65" s="2526"/>
      <c r="AE65" s="2526"/>
      <c r="AF65" s="2526"/>
      <c r="AG65" s="2526"/>
      <c r="AH65" s="2526"/>
      <c r="AI65" s="2526"/>
      <c r="AJ65" s="2526"/>
      <c r="AK65" s="2526"/>
      <c r="AL65" s="2526"/>
      <c r="AM65" s="2526"/>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8C44BA-CE33-1DD1-F3BE-9F72CCB12DA9}"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19146" width="10.57421875" hidden="1"/>
    <col min="2" max="2" style="19146" width="11.00390625" hidden="1" customWidth="1"/>
    <col min="3" max="3" style="19146" width="10.57421875" hidden="1"/>
    <col min="4" max="4" style="19146" width="11.8515625" hidden="1" customWidth="1"/>
    <col min="5" max="5" style="19146" width="10.00390625" hidden="1" customWidth="1"/>
    <col min="6" max="6" style="19146" width="8.7109375" hidden="1" customWidth="1"/>
    <col min="7" max="7" style="19146" width="7.57421875" hidden="1" customWidth="1"/>
    <col min="8" max="8" style="19146" width="11.421875" hidden="1" customWidth="1"/>
    <col min="9" max="9" style="19146" width="12.00390625" hidden="1" customWidth="1"/>
    <col min="10" max="10" style="19146" width="9.8515625" hidden="1" customWidth="1"/>
    <col min="11" max="11" style="19146" width="11.421875" hidden="1" customWidth="1"/>
    <col min="12" max="12" style="19227" width="19.140625" hidden="1" customWidth="1"/>
    <col min="13" max="14" style="19228" width="12.28125" hidden="1" customWidth="1"/>
    <col min="15" max="15" style="19228" width="23.421875" hidden="1" customWidth="1"/>
    <col min="16" max="16" style="19240" width="3.7109375" hidden="1" customWidth="1"/>
    <col min="17" max="18" style="19230" width="3.7109375" customWidth="1"/>
    <col min="19" max="19" style="19231" width="12.7109375" customWidth="1"/>
    <col min="20" max="20" style="19232" width="32.00390625" customWidth="1"/>
    <col min="21" max="21" style="19232" width="0.140625" customWidth="1"/>
    <col min="22" max="22" style="19232" width="24.7109375" hidden="1" customWidth="1"/>
    <col min="23" max="23" style="19232" width="0.140625" hidden="1" customWidth="1"/>
    <col min="24" max="25" style="19232" width="24.7109375" hidden="1" customWidth="1"/>
    <col min="26" max="26" style="19232" width="11.7109375" hidden="1" customWidth="1"/>
    <col min="27" max="27" style="19232" width="3.7109375" hidden="1" customWidth="1"/>
    <col min="28" max="28" style="19232" width="11.7109375" hidden="1" customWidth="1"/>
    <col min="29" max="29" style="19232" width="8.57421875" hidden="1" customWidth="1"/>
    <col min="30" max="30" style="19232" width="24.7109375" customWidth="1"/>
    <col min="31" max="31" style="19232" width="0.140625" customWidth="1"/>
    <col min="32" max="33" style="19232" width="24.7109375" customWidth="1"/>
    <col min="34" max="34" style="19232" width="11.7109375" customWidth="1"/>
    <col min="35" max="35" style="19232" width="3.7109375" customWidth="1"/>
    <col min="36" max="36" style="19232" width="11.7109375" customWidth="1"/>
    <col min="37" max="37" style="19232" width="8.57421875" hidden="1" customWidth="1"/>
    <col min="38" max="38" style="19232" width="4.7109375" customWidth="1"/>
    <col min="39" max="39" style="19232" width="115.7109375" customWidth="1"/>
    <col min="40" max="41" style="19219" width="10.57421875"/>
    <col min="42" max="42" style="19219" width="11.140625" customWidth="1"/>
    <col min="43" max="44" style="19219" width="10.57421875"/>
  </cols>
  <sheetData>
    <row customHeight="1" ht="14.25" hidden="1">
      <c r="A1" s="2238"/>
      <c r="Y1" s="688"/>
      <c r="Z1" s="688"/>
      <c r="AG1" s="688"/>
      <c r="AH1" s="688"/>
    </row>
    <row customHeight="1" ht="21" hidden="1">
      <c r="A2" s="1729"/>
      <c r="B2" s="1729"/>
      <c r="C2" s="1729"/>
      <c r="D2" s="1729"/>
      <c r="E2" s="2527">
        <v>1</v>
      </c>
      <c r="F2" s="1729"/>
      <c r="G2" s="1729"/>
      <c r="H2" s="1729"/>
      <c r="I2" s="1729"/>
      <c r="J2" s="1729"/>
      <c r="K2" s="1729"/>
      <c r="L2" s="1730"/>
      <c r="M2" s="1731"/>
      <c r="N2" s="1731"/>
      <c r="O2" s="1731"/>
      <c r="P2" s="722"/>
      <c r="Q2" s="721"/>
      <c r="R2" s="716"/>
      <c r="S2" s="1702">
        <f>INDEX(PT_DIFFERENTIATION_NUM_NTAR,MATCH(A2,PT_DIFFERENTIATION_NTAR_ID,0))</f>
      </c>
      <c r="T2" s="659" t="s">
        <v>120</v>
      </c>
      <c r="U2" s="661"/>
      <c r="V2" s="2521"/>
      <c r="W2" s="2522"/>
      <c r="X2" s="2522"/>
      <c r="Y2" s="2522"/>
      <c r="Z2" s="2522"/>
      <c r="AA2" s="2522"/>
      <c r="AB2" s="2522"/>
      <c r="AC2" s="2523"/>
      <c r="AD2" s="2521">
        <f>INDEX(PT_DIFFERENTIATION_NTAR,MATCH(A2,PT_DIFFERENTIATION_NTAR_ID,0))</f>
      </c>
      <c r="AE2" s="2522"/>
      <c r="AF2" s="2522"/>
      <c r="AG2" s="2522"/>
      <c r="AH2" s="2522"/>
      <c r="AI2" s="2522"/>
      <c r="AJ2" s="2522"/>
      <c r="AK2" s="2522"/>
      <c r="AL2" s="2523"/>
      <c r="AM2" s="1623" t="s">
        <v>396</v>
      </c>
      <c r="AO2" s="861"/>
      <c r="AP2" s="861" t="str">
        <f>IF(T2="","",T2)</f>
        <v>Наименование тарифа</v>
      </c>
      <c r="AQ2" s="861"/>
      <c r="AR2" s="861"/>
    </row>
    <row customHeight="1" ht="21" hidden="1">
      <c r="A3" s="1729"/>
      <c r="B3" s="1729"/>
      <c r="C3" s="1729"/>
      <c r="D3" s="1729"/>
      <c r="E3" s="2528"/>
      <c r="F3" s="2527">
        <v>1</v>
      </c>
      <c r="G3" s="1729"/>
      <c r="H3" s="1729"/>
      <c r="I3" s="1729"/>
      <c r="J3" s="1729"/>
      <c r="K3" s="1729"/>
      <c r="L3" s="1730"/>
      <c r="M3" s="1731"/>
      <c r="N3" s="1731"/>
      <c r="O3" s="1731"/>
      <c r="P3" s="1698"/>
      <c r="Q3" s="713"/>
      <c r="R3" s="714"/>
      <c r="S3" s="1702">
        <f>INDEX(PT_DIFFERENTIATION_NUM_TER,MATCH(B3,PT_DIFFERENTIATION_TER_ID,0))</f>
      </c>
      <c r="T3" s="669" t="s">
        <v>397</v>
      </c>
      <c r="U3" s="661"/>
      <c r="V3" s="2521"/>
      <c r="W3" s="2522"/>
      <c r="X3" s="2522"/>
      <c r="Y3" s="2522"/>
      <c r="Z3" s="2522"/>
      <c r="AA3" s="2522"/>
      <c r="AB3" s="2522"/>
      <c r="AC3" s="2523"/>
      <c r="AD3" s="2521">
        <f>INDEX(PT_DIFFERENTIATION_TER,MATCH(B3,PT_DIFFERENTIATION_TER_ID,0))</f>
      </c>
      <c r="AE3" s="2522"/>
      <c r="AF3" s="2522"/>
      <c r="AG3" s="2522"/>
      <c r="AH3" s="2522"/>
      <c r="AI3" s="2522"/>
      <c r="AJ3" s="2522"/>
      <c r="AK3" s="2522"/>
      <c r="AL3" s="2523"/>
      <c r="AM3" s="1623" t="s">
        <v>398</v>
      </c>
      <c r="AO3" s="861"/>
      <c r="AP3" s="861" t="str">
        <f>IF(T3="","",T3)</f>
        <v>Территория действия тарифа</v>
      </c>
      <c r="AQ3" s="861"/>
      <c r="AR3" s="861"/>
    </row>
    <row customHeight="1" ht="23.25" hidden="1">
      <c r="A4" s="1729"/>
      <c r="B4" s="1729"/>
      <c r="C4" s="1729"/>
      <c r="D4" s="1729"/>
      <c r="E4" s="2528"/>
      <c r="F4" s="2528"/>
      <c r="G4" s="2527">
        <v>1</v>
      </c>
      <c r="H4" s="1729"/>
      <c r="I4" s="1729"/>
      <c r="J4" s="1729"/>
      <c r="K4" s="1729"/>
      <c r="L4" s="1730"/>
      <c r="M4" s="1731"/>
      <c r="N4" s="1731"/>
      <c r="O4" s="1731"/>
      <c r="P4" s="715"/>
      <c r="Q4" s="713"/>
      <c r="R4" s="714"/>
      <c r="S4" s="1702">
        <f>INDEX(PT_DIFFERENTIATION_NUM_CS,MATCH(C4,PT_DIFFERENTIATION_CS_ID,0))</f>
      </c>
      <c r="T4" s="670" t="s">
        <v>399</v>
      </c>
      <c r="U4" s="661"/>
      <c r="V4" s="2521"/>
      <c r="W4" s="2522"/>
      <c r="X4" s="2522"/>
      <c r="Y4" s="2522"/>
      <c r="Z4" s="2522"/>
      <c r="AA4" s="2522"/>
      <c r="AB4" s="2522"/>
      <c r="AC4" s="2523"/>
      <c r="AD4" s="2521">
        <f>INDEX(PT_DIFFERENTIATION_CS,MATCH(C4,PT_DIFFERENTIATION_CS_ID,0))</f>
      </c>
      <c r="AE4" s="2522"/>
      <c r="AF4" s="2522"/>
      <c r="AG4" s="2522"/>
      <c r="AH4" s="2522"/>
      <c r="AI4" s="2522"/>
      <c r="AJ4" s="2522"/>
      <c r="AK4" s="2522"/>
      <c r="AL4" s="2523"/>
      <c r="AM4" s="1623" t="s">
        <v>400</v>
      </c>
      <c r="AO4" s="861"/>
      <c r="AP4" s="861" t="str">
        <f>IF(T4="","",T4)</f>
        <v>Наименование системы теплоснабжения </v>
      </c>
      <c r="AQ4" s="861"/>
      <c r="AR4" s="861"/>
    </row>
    <row customHeight="1" ht="21" hidden="1">
      <c r="A5" s="1729"/>
      <c r="B5" s="1729"/>
      <c r="C5" s="1729"/>
      <c r="D5" s="1729"/>
      <c r="E5" s="2528"/>
      <c r="F5" s="2528"/>
      <c r="G5" s="2528"/>
      <c r="H5" s="2527">
        <v>1</v>
      </c>
      <c r="I5" s="1729"/>
      <c r="J5" s="1729"/>
      <c r="K5" s="1729"/>
      <c r="L5" s="1730"/>
      <c r="M5" s="1731"/>
      <c r="N5" s="1731"/>
      <c r="O5" s="1731"/>
      <c r="P5" s="715"/>
      <c r="Q5" s="713"/>
      <c r="R5" s="714"/>
      <c r="S5" s="1702">
        <f>INDEX(PT_DIFFERENTIATION_NUM_IST_TE,MATCH(D5,PT_DIFFERENTIATION_IST_TE_ID,0))</f>
      </c>
      <c r="T5" s="671" t="s">
        <v>401</v>
      </c>
      <c r="U5" s="661"/>
      <c r="V5" s="2521"/>
      <c r="W5" s="2522"/>
      <c r="X5" s="2522"/>
      <c r="Y5" s="2522"/>
      <c r="Z5" s="2522"/>
      <c r="AA5" s="2522"/>
      <c r="AB5" s="2522"/>
      <c r="AC5" s="2523"/>
      <c r="AD5" s="2521">
        <f>INDEX(PT_DIFFERENTIATION_IST_TE,MATCH(D5,PT_DIFFERENTIATION_IST_TE_ID,0))</f>
      </c>
      <c r="AE5" s="2522"/>
      <c r="AF5" s="2522"/>
      <c r="AG5" s="2522"/>
      <c r="AH5" s="2522"/>
      <c r="AI5" s="2522"/>
      <c r="AJ5" s="2522"/>
      <c r="AK5" s="2522"/>
      <c r="AL5" s="2523"/>
      <c r="AM5" s="1623" t="s">
        <v>402</v>
      </c>
      <c r="AO5" s="861"/>
      <c r="AP5" s="861" t="str">
        <f>IF(T5="","",T5)</f>
        <v>Источник тепловой энергии  </v>
      </c>
      <c r="AQ5" s="861"/>
      <c r="AR5" s="861"/>
    </row>
    <row customHeight="1" ht="14.25" hidden="1">
      <c r="A6" s="1729"/>
      <c r="B6" s="1729"/>
      <c r="C6" s="1729"/>
      <c r="D6" s="1729"/>
      <c r="E6" s="2528"/>
      <c r="F6" s="2528"/>
      <c r="G6" s="2528"/>
      <c r="H6" s="2528"/>
      <c r="I6" s="2529">
        <f>S5&amp;".1"</f>
      </c>
      <c r="J6" s="1729"/>
      <c r="K6" s="1729"/>
      <c r="L6" s="1730" t="s">
        <v>403</v>
      </c>
      <c r="M6" s="898"/>
      <c r="P6" s="2531">
        <v>1</v>
      </c>
      <c r="Q6" s="1697"/>
      <c r="R6" s="717"/>
      <c r="S6" s="1404"/>
      <c r="T6" s="1749"/>
      <c r="U6" s="1750"/>
      <c r="V6" s="2569"/>
      <c r="W6" s="2570"/>
      <c r="X6" s="2570"/>
      <c r="Y6" s="2570"/>
      <c r="Z6" s="2570"/>
      <c r="AA6" s="2570"/>
      <c r="AB6" s="2570"/>
      <c r="AC6" s="2571"/>
      <c r="AD6" s="2569"/>
      <c r="AE6" s="2570"/>
      <c r="AF6" s="2570"/>
      <c r="AG6" s="2570"/>
      <c r="AH6" s="2570"/>
      <c r="AI6" s="2570"/>
      <c r="AJ6" s="2570"/>
      <c r="AK6" s="2570"/>
      <c r="AL6" s="2571"/>
      <c r="AM6" s="1751"/>
      <c r="AO6" s="861"/>
      <c r="AP6" s="861" t="str">
        <f>IF(T6="","",T6)</f>
        <v/>
      </c>
      <c r="AQ6" s="861"/>
      <c r="AR6" s="861"/>
    </row>
    <row customHeight="1" ht="21" hidden="1">
      <c r="A7" s="1729"/>
      <c r="B7" s="1729"/>
      <c r="C7" s="1729"/>
      <c r="D7" s="1729"/>
      <c r="E7" s="2528"/>
      <c r="F7" s="2528"/>
      <c r="G7" s="2528"/>
      <c r="H7" s="2528"/>
      <c r="I7" s="2530"/>
      <c r="J7" s="2529">
        <f>I6&amp;".1"</f>
      </c>
      <c r="K7" s="1729"/>
      <c r="L7" s="1730" t="s">
        <v>406</v>
      </c>
      <c r="M7" s="898"/>
      <c r="N7" s="1732"/>
      <c r="P7" s="2531"/>
      <c r="Q7" s="2531">
        <v>1</v>
      </c>
      <c r="R7" s="718"/>
      <c r="S7" s="1702">
        <f>$J7</f>
      </c>
      <c r="T7" s="647" t="s">
        <v>407</v>
      </c>
      <c r="U7" s="661"/>
      <c r="V7" s="2515"/>
      <c r="W7" s="2516"/>
      <c r="X7" s="2516"/>
      <c r="Y7" s="2516"/>
      <c r="Z7" s="2516"/>
      <c r="AA7" s="2516"/>
      <c r="AB7" s="2516"/>
      <c r="AC7" s="2517"/>
      <c r="AD7" s="2515"/>
      <c r="AE7" s="2516"/>
      <c r="AF7" s="2516"/>
      <c r="AG7" s="2516"/>
      <c r="AH7" s="2516"/>
      <c r="AI7" s="2516"/>
      <c r="AJ7" s="2516"/>
      <c r="AK7" s="2516"/>
      <c r="AL7" s="2517"/>
      <c r="AM7" s="1623" t="s">
        <v>408</v>
      </c>
      <c r="AO7" s="861"/>
      <c r="AP7" s="861" t="str">
        <f>IF(T7="","",T7)</f>
        <v>Группа потребителей</v>
      </c>
      <c r="AQ7" s="861"/>
      <c r="AR7" s="861"/>
    </row>
    <row customHeight="1" ht="21" hidden="1">
      <c r="A8" s="1729"/>
      <c r="B8" s="1729"/>
      <c r="C8" s="1729"/>
      <c r="D8" s="1729"/>
      <c r="E8" s="2528"/>
      <c r="F8" s="2528"/>
      <c r="G8" s="2528"/>
      <c r="H8" s="2528"/>
      <c r="I8" s="2530"/>
      <c r="J8" s="2530"/>
      <c r="K8" s="2529">
        <f>J7&amp;".1"</f>
      </c>
      <c r="L8" s="1730" t="s">
        <v>409</v>
      </c>
      <c r="M8" s="898"/>
      <c r="N8" s="1732"/>
      <c r="O8" s="1732"/>
      <c r="P8" s="2531"/>
      <c r="Q8" s="2531"/>
      <c r="R8" s="718">
        <v>1</v>
      </c>
      <c r="S8" s="1702">
        <f>$K8</f>
      </c>
      <c r="T8" s="1713"/>
      <c r="U8" s="661"/>
      <c r="V8" s="1112"/>
      <c r="W8" s="686"/>
      <c r="X8" s="1112"/>
      <c r="Y8" s="1622"/>
      <c r="Z8" s="2532"/>
      <c r="AA8" s="2402" t="s">
        <v>59</v>
      </c>
      <c r="AB8" s="2532"/>
      <c r="AC8" s="2402" t="s">
        <v>59</v>
      </c>
      <c r="AD8" s="1112"/>
      <c r="AE8" s="686"/>
      <c r="AF8" s="1112"/>
      <c r="AG8" s="1622"/>
      <c r="AH8" s="2532"/>
      <c r="AI8" s="2402" t="s">
        <v>59</v>
      </c>
      <c r="AJ8" s="2532"/>
      <c r="AK8" s="2402" t="s">
        <v>59</v>
      </c>
      <c r="AL8" s="686"/>
      <c r="AM8" s="2557" t="s">
        <v>410</v>
      </c>
      <c r="AN8" s="872">
        <f>STRCHECKDATE(V9:AL9)</f>
      </c>
      <c r="AO8" s="861"/>
      <c r="AP8" s="861" t="str">
        <f>IF(T8="","",T8)</f>
        <v/>
      </c>
      <c r="AQ8" s="861"/>
      <c r="AR8" s="861"/>
    </row>
    <row customHeight="1" ht="14.25" hidden="1">
      <c r="A9" s="1729"/>
      <c r="B9" s="1729"/>
      <c r="C9" s="1729"/>
      <c r="D9" s="1729"/>
      <c r="E9" s="2528"/>
      <c r="F9" s="2528"/>
      <c r="G9" s="2528"/>
      <c r="H9" s="2528"/>
      <c r="I9" s="2530"/>
      <c r="J9" s="2530"/>
      <c r="K9" s="2529"/>
      <c r="L9" s="1730"/>
      <c r="M9" s="898"/>
      <c r="N9" s="1732"/>
      <c r="O9" s="1732"/>
      <c r="P9" s="2531"/>
      <c r="Q9" s="2531"/>
      <c r="R9" s="718"/>
      <c r="S9" s="1708"/>
      <c r="T9" s="661"/>
      <c r="U9" s="661"/>
      <c r="V9" s="686"/>
      <c r="W9" s="686"/>
      <c r="X9" s="686"/>
      <c r="Y9" s="689" t="str">
        <f>Z8&amp;"-"&amp;AB8</f>
        <v>-</v>
      </c>
      <c r="Z9" s="2533"/>
      <c r="AA9" s="2402"/>
      <c r="AB9" s="2533"/>
      <c r="AC9" s="2402"/>
      <c r="AD9" s="686"/>
      <c r="AE9" s="686"/>
      <c r="AF9" s="686"/>
      <c r="AG9" s="689" t="str">
        <f>AH8&amp;"-"&amp;AJ8</f>
        <v>-</v>
      </c>
      <c r="AH9" s="2533"/>
      <c r="AI9" s="2402"/>
      <c r="AJ9" s="2533"/>
      <c r="AK9" s="2402"/>
      <c r="AL9" s="686"/>
      <c r="AM9" s="2558"/>
      <c r="AO9" s="861"/>
      <c r="AP9" s="861" t="str">
        <f>IF(T9="","",T9)</f>
        <v/>
      </c>
      <c r="AQ9" s="861"/>
      <c r="AR9" s="861"/>
    </row>
    <row customHeight="1" ht="15" hidden="1">
      <c r="A10" s="1729"/>
      <c r="B10" s="1729"/>
      <c r="C10" s="1729"/>
      <c r="D10" s="1729"/>
      <c r="E10" s="2528"/>
      <c r="F10" s="2528"/>
      <c r="G10" s="2528"/>
      <c r="H10" s="2528"/>
      <c r="I10" s="2530"/>
      <c r="J10" s="2529"/>
      <c r="K10" s="1729"/>
      <c r="L10" s="1730"/>
      <c r="M10" s="898"/>
      <c r="N10" s="1732"/>
      <c r="P10" s="2531"/>
      <c r="Q10" s="2531"/>
      <c r="R10" s="717"/>
      <c r="S10" s="1644"/>
      <c r="T10" s="648" t="s">
        <v>411</v>
      </c>
      <c r="U10" s="728"/>
      <c r="V10" s="728"/>
      <c r="W10" s="728"/>
      <c r="X10" s="728"/>
      <c r="Y10" s="728"/>
      <c r="Z10" s="728"/>
      <c r="AA10" s="728"/>
      <c r="AB10" s="728"/>
      <c r="AC10" s="728"/>
      <c r="AD10" s="728"/>
      <c r="AE10" s="728"/>
      <c r="AF10" s="728"/>
      <c r="AG10" s="728"/>
      <c r="AH10" s="728"/>
      <c r="AI10" s="728"/>
      <c r="AJ10" s="728"/>
      <c r="AK10" s="728"/>
      <c r="AL10" s="685"/>
      <c r="AM10" s="2559"/>
      <c r="AO10" s="861"/>
      <c r="AP10" s="861" t="str">
        <f>IF(T10="","",T10)</f>
        <v>Добавить вид теплоносителя (параметры теплоносителя)</v>
      </c>
      <c r="AQ10" s="861"/>
      <c r="AR10" s="861"/>
    </row>
    <row customHeight="1" ht="11.25" hidden="1">
      <c r="A11" s="1729"/>
      <c r="B11" s="1729"/>
      <c r="C11" s="1729"/>
      <c r="D11" s="1729"/>
      <c r="E11" s="2528"/>
      <c r="F11" s="2528"/>
      <c r="G11" s="2528"/>
      <c r="H11" s="2528"/>
      <c r="I11" s="2529"/>
      <c r="J11" s="1729"/>
      <c r="K11" s="1729"/>
      <c r="L11" s="1730"/>
      <c r="M11" s="898"/>
      <c r="P11" s="2531"/>
      <c r="Q11" s="1697"/>
      <c r="R11" s="717"/>
      <c r="S11" s="1644"/>
      <c r="T11" s="726" t="s">
        <v>412</v>
      </c>
      <c r="U11" s="728"/>
      <c r="V11" s="728"/>
      <c r="W11" s="728"/>
      <c r="X11" s="728"/>
      <c r="Y11" s="728"/>
      <c r="Z11" s="728"/>
      <c r="AA11" s="728"/>
      <c r="AB11" s="728"/>
      <c r="AC11" s="727"/>
      <c r="AD11" s="728"/>
      <c r="AE11" s="728"/>
      <c r="AF11" s="728"/>
      <c r="AG11" s="728"/>
      <c r="AH11" s="728"/>
      <c r="AI11" s="728"/>
      <c r="AJ11" s="728"/>
      <c r="AK11" s="727"/>
      <c r="AL11" s="728"/>
      <c r="AM11" s="664"/>
      <c r="AO11" s="861"/>
      <c r="AP11" s="861" t="str">
        <f>IF(T11="","",T11)</f>
        <v>Добавить группу потребителей</v>
      </c>
      <c r="AQ11" s="861"/>
      <c r="AR11" s="861"/>
    </row>
    <row customHeight="1" ht="14.25" hidden="1">
      <c r="A12" s="1729"/>
      <c r="B12" s="1729"/>
      <c r="C12" s="1729"/>
      <c r="D12" s="1729"/>
      <c r="E12" s="2528"/>
      <c r="F12" s="2528"/>
      <c r="G12" s="2528"/>
      <c r="H12" s="2527"/>
      <c r="I12" s="1729"/>
      <c r="J12" s="1729"/>
      <c r="K12" s="1729"/>
      <c r="L12" s="1730"/>
      <c r="M12" s="1731"/>
      <c r="N12" s="1731"/>
      <c r="O12" s="898"/>
      <c r="P12" s="721"/>
      <c r="Q12" s="736"/>
      <c r="R12" s="716"/>
      <c r="S12" s="1752"/>
      <c r="T12" s="1753"/>
      <c r="U12" s="1754"/>
      <c r="V12" s="1754"/>
      <c r="W12" s="1754"/>
      <c r="X12" s="1754"/>
      <c r="Y12" s="1754"/>
      <c r="Z12" s="1754"/>
      <c r="AA12" s="1754"/>
      <c r="AB12" s="1754"/>
      <c r="AC12" s="1754"/>
      <c r="AD12" s="1754"/>
      <c r="AE12" s="1754"/>
      <c r="AF12" s="1754"/>
      <c r="AG12" s="1754"/>
      <c r="AH12" s="1754"/>
      <c r="AI12" s="1754"/>
      <c r="AJ12" s="1754"/>
      <c r="AK12" s="1754"/>
      <c r="AL12" s="1754"/>
      <c r="AM12" s="1755"/>
      <c r="AO12" s="861"/>
      <c r="AP12" s="861" t="str">
        <f>IF(T12="","",T12)</f>
        <v/>
      </c>
      <c r="AQ12" s="861"/>
      <c r="AR12" s="861"/>
    </row>
    <row s="19127" customFormat="1" customHeight="1" ht="14.25" hidden="1">
      <c r="A13" s="1680"/>
      <c r="B13" s="1680"/>
      <c r="C13" s="1680"/>
      <c r="D13" s="1680"/>
      <c r="E13" s="2528"/>
      <c r="F13" s="2528"/>
      <c r="G13" s="2527"/>
      <c r="H13" s="1680"/>
      <c r="I13" s="1680"/>
      <c r="J13" s="1680"/>
      <c r="K13" s="1680"/>
      <c r="L13" s="1705"/>
      <c r="M13" s="1681"/>
      <c r="N13" s="1681"/>
      <c r="P13" s="1682"/>
      <c r="Q13" s="1683"/>
      <c r="R13" s="1682"/>
      <c r="S13" s="1684"/>
      <c r="T13" s="1685" t="s">
        <v>414</v>
      </c>
      <c r="U13" s="1686"/>
      <c r="V13" s="1686"/>
      <c r="W13" s="1686"/>
      <c r="X13" s="1686"/>
      <c r="Y13" s="1686"/>
      <c r="Z13" s="1686"/>
      <c r="AA13" s="1686"/>
      <c r="AB13" s="1686"/>
      <c r="AC13" s="1686"/>
      <c r="AD13" s="1686"/>
      <c r="AE13" s="1686"/>
      <c r="AF13" s="1686"/>
      <c r="AG13" s="1686"/>
      <c r="AH13" s="1686"/>
      <c r="AI13" s="1686"/>
      <c r="AJ13" s="1686"/>
      <c r="AK13" s="1686"/>
      <c r="AL13" s="1686"/>
      <c r="AM13" s="1686"/>
      <c r="AO13" s="1150"/>
      <c r="AP13" s="1150" t="str">
        <f>IF(T13="","",T13)</f>
        <v>Добавить источник для дифференциации</v>
      </c>
      <c r="AQ13" s="1150"/>
      <c r="AR13" s="1150"/>
    </row>
    <row s="19127" customFormat="1" customHeight="1" ht="14.25" hidden="1">
      <c r="A14" s="1680"/>
      <c r="B14" s="1680"/>
      <c r="C14" s="1680"/>
      <c r="D14" s="1680"/>
      <c r="E14" s="2528"/>
      <c r="F14" s="2527"/>
      <c r="G14" s="1680"/>
      <c r="H14" s="1680"/>
      <c r="I14" s="1680"/>
      <c r="J14" s="1680"/>
      <c r="K14" s="1680"/>
      <c r="L14" s="1705"/>
      <c r="M14" s="1687"/>
      <c r="N14" s="1687"/>
      <c r="P14" s="1682"/>
      <c r="Q14" s="1683"/>
      <c r="R14" s="1682"/>
      <c r="S14" s="1688"/>
      <c r="T14" s="1689" t="s">
        <v>251</v>
      </c>
      <c r="U14" s="1690"/>
      <c r="V14" s="1690"/>
      <c r="W14" s="1690"/>
      <c r="X14" s="1690"/>
      <c r="Y14" s="1690"/>
      <c r="Z14" s="1690"/>
      <c r="AA14" s="1690"/>
      <c r="AB14" s="1690"/>
      <c r="AC14" s="1690"/>
      <c r="AD14" s="1690"/>
      <c r="AE14" s="1690"/>
      <c r="AF14" s="1690"/>
      <c r="AG14" s="1690"/>
      <c r="AH14" s="1690"/>
      <c r="AI14" s="1690"/>
      <c r="AJ14" s="1690"/>
      <c r="AK14" s="1690"/>
      <c r="AL14" s="1690"/>
      <c r="AM14" s="1690"/>
      <c r="AO14" s="1150"/>
      <c r="AP14" s="1150" t="str">
        <f>IF(T14="","",T14)</f>
        <v>Добавить централизованную систему для дифференциации</v>
      </c>
      <c r="AQ14" s="1150"/>
      <c r="AR14" s="1150"/>
    </row>
    <row s="19127" customFormat="1" customHeight="1" ht="14.25" hidden="1">
      <c r="A15" s="1680"/>
      <c r="B15" s="1680"/>
      <c r="C15" s="1680"/>
      <c r="D15" s="1680"/>
      <c r="E15" s="2527"/>
      <c r="F15" s="1680"/>
      <c r="G15" s="1680"/>
      <c r="H15" s="1680"/>
      <c r="I15" s="1680"/>
      <c r="J15" s="1680"/>
      <c r="K15" s="1680"/>
      <c r="L15" s="1705"/>
      <c r="M15" s="1687"/>
      <c r="N15" s="1687"/>
      <c r="P15" s="1682"/>
      <c r="Q15" s="1683"/>
      <c r="R15" s="1682"/>
      <c r="S15" s="1688"/>
      <c r="T15" s="1691" t="s">
        <v>252</v>
      </c>
      <c r="U15" s="1690"/>
      <c r="V15" s="1690"/>
      <c r="W15" s="1690"/>
      <c r="X15" s="1690"/>
      <c r="Y15" s="1690"/>
      <c r="Z15" s="1690"/>
      <c r="AA15" s="1690"/>
      <c r="AB15" s="1690"/>
      <c r="AC15" s="1690"/>
      <c r="AD15" s="1690"/>
      <c r="AE15" s="1690"/>
      <c r="AF15" s="1690"/>
      <c r="AG15" s="1690"/>
      <c r="AH15" s="1690"/>
      <c r="AI15" s="1690"/>
      <c r="AJ15" s="1690"/>
      <c r="AK15" s="1690"/>
      <c r="AL15" s="1690"/>
      <c r="AM15" s="1690"/>
      <c r="AO15" s="1150"/>
      <c r="AP15" s="1150" t="str">
        <f>IF(T15="","",T15)</f>
        <v>Добавить территорию для дифференциации</v>
      </c>
      <c r="AQ15" s="1150"/>
      <c r="AR15" s="1150"/>
    </row>
    <row customHeight="1" ht="14.25" hidden="1">
      <c r="AC16" s="688"/>
      <c r="AK16" s="688"/>
    </row>
    <row customHeight="1" ht="14.25" hidden="1">
      <c r="AD17" s="1726"/>
      <c r="AE17" s="1726"/>
      <c r="AF17" s="1726"/>
      <c r="AG17" s="1727"/>
      <c r="AH17" s="2525"/>
      <c r="AI17" s="2524" t="s">
        <v>59</v>
      </c>
      <c r="AJ17" s="2525"/>
      <c r="AK17" s="2524" t="s">
        <v>59</v>
      </c>
    </row>
    <row customHeight="1" ht="14.25" hidden="1">
      <c r="AD18" s="1726"/>
      <c r="AE18" s="1726"/>
      <c r="AF18" s="1726"/>
      <c r="AG18" s="689" t="str">
        <f>AH17&amp;"-"&amp;AJ17</f>
        <v>-</v>
      </c>
      <c r="AH18" s="2524"/>
      <c r="AI18" s="2524"/>
      <c r="AJ18" s="2524"/>
      <c r="AK18" s="2524"/>
    </row>
    <row customHeight="1" ht="14.25" hidden="1">
      <c r="AK19" s="688"/>
    </row>
    <row s="19146" customFormat="1" customHeight="1" ht="22.5" hidden="1">
      <c r="L20" s="1695"/>
      <c r="M20" s="1728"/>
      <c r="N20" s="1728"/>
      <c r="O20" s="1733" t="s">
        <v>415</v>
      </c>
      <c r="P20" s="1728"/>
      <c r="Q20" s="1737"/>
      <c r="R20" s="1737"/>
      <c r="S20" s="1090"/>
      <c r="Z20" s="1733"/>
      <c r="AB20" s="1733"/>
      <c r="AC20" s="1732"/>
      <c r="AH20" s="1733"/>
      <c r="AJ20" s="1733"/>
      <c r="AK20" s="1732"/>
      <c r="AN20" s="872"/>
      <c r="AO20" s="872"/>
      <c r="AP20" s="872"/>
      <c r="AQ20" s="872"/>
      <c r="AR20" s="872"/>
    </row>
    <row s="19146" customFormat="1" customHeight="1" ht="14.25" hidden="1">
      <c r="L21" s="1695"/>
      <c r="M21" s="1728"/>
      <c r="N21" s="1728"/>
      <c r="O21" s="1728"/>
      <c r="P21" s="1728"/>
      <c r="Q21" s="1737"/>
      <c r="R21" s="1737"/>
      <c r="S21" s="1090"/>
      <c r="AC21" s="1732"/>
      <c r="AK21" s="1732"/>
      <c r="AN21" s="872"/>
      <c r="AO21" s="872"/>
      <c r="AP21" s="872"/>
      <c r="AQ21" s="872"/>
      <c r="AR21" s="872"/>
    </row>
    <row s="19146" customFormat="1" customHeight="1" ht="14.25" hidden="1">
      <c r="L22" s="1695"/>
      <c r="M22" s="1728"/>
      <c r="N22" s="1728"/>
      <c r="O22" s="1730" t="s">
        <v>416</v>
      </c>
      <c r="P22" s="1728"/>
      <c r="Q22" s="1737"/>
      <c r="R22" s="1737"/>
      <c r="S22" s="1090"/>
      <c r="T22" s="1523" t="s">
        <v>417</v>
      </c>
      <c r="AA22" s="547" t="s">
        <v>418</v>
      </c>
      <c r="AC22" s="547" t="s">
        <v>419</v>
      </c>
      <c r="AD22" s="1523" t="s">
        <v>417</v>
      </c>
      <c r="AI22" s="547" t="s">
        <v>420</v>
      </c>
      <c r="AK22" s="547" t="s">
        <v>419</v>
      </c>
      <c r="AN22" s="872"/>
      <c r="AO22" s="872"/>
      <c r="AP22" s="872"/>
      <c r="AQ22" s="872"/>
      <c r="AR22" s="872"/>
    </row>
    <row customHeight="1" ht="14.25" hidden="1">
      <c r="O23" s="1730"/>
    </row>
    <row customHeight="1" ht="14.25" hidden="1">
      <c r="O24" s="1730"/>
    </row>
    <row customHeight="1" ht="14.25">
      <c r="Q25" s="737"/>
      <c r="R25" s="737"/>
      <c r="S25" s="1641"/>
      <c r="T25" s="724"/>
      <c r="U25" s="724"/>
      <c r="V25" s="870"/>
      <c r="W25" s="870"/>
      <c r="X25" s="870"/>
      <c r="Y25" s="870"/>
      <c r="Z25" s="870"/>
      <c r="AA25" s="870"/>
      <c r="AB25" s="870"/>
      <c r="AC25" s="870"/>
      <c r="AD25" s="870"/>
      <c r="AE25" s="870"/>
      <c r="AF25" s="870"/>
      <c r="AG25" s="870"/>
      <c r="AH25" s="870"/>
      <c r="AI25" s="870"/>
      <c r="AJ25" s="870"/>
      <c r="AK25" s="870"/>
    </row>
    <row customHeight="1" ht="51.75">
      <c r="Q26" s="737"/>
      <c r="R26" s="737"/>
      <c r="S26" s="257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73"/>
      <c r="U26" s="2573"/>
      <c r="V26" s="2573"/>
      <c r="W26" s="2573"/>
      <c r="X26" s="2573"/>
      <c r="Y26" s="2573"/>
      <c r="Z26" s="2573"/>
      <c r="AA26" s="2573"/>
      <c r="AB26" s="2573"/>
      <c r="AC26" s="2573"/>
      <c r="AD26" s="2573"/>
      <c r="AE26" s="2573"/>
      <c r="AF26" s="2573"/>
      <c r="AG26" s="2573"/>
      <c r="AH26" s="2573"/>
      <c r="AI26" s="2573"/>
      <c r="AJ26" s="2573"/>
      <c r="AK26" s="1608"/>
    </row>
    <row customHeight="1" ht="14.25">
      <c r="Q27" s="737"/>
      <c r="R27" s="737"/>
      <c r="S27" s="2561" t="str">
        <f>IF(org=0,"Не определено",org)</f>
        <v>Филиал "Шатурская ГРЭС" ПАО "Юнипро"</v>
      </c>
      <c r="T27" s="2561"/>
      <c r="U27" s="2561"/>
      <c r="V27" s="2561"/>
      <c r="W27" s="2561"/>
      <c r="X27" s="2561"/>
      <c r="Y27" s="2561"/>
      <c r="Z27" s="2561"/>
      <c r="AA27" s="2561"/>
      <c r="AB27" s="2561"/>
      <c r="AC27" s="2561"/>
      <c r="AD27" s="2561"/>
      <c r="AE27" s="2561"/>
      <c r="AF27" s="2561"/>
      <c r="AG27" s="2561"/>
      <c r="AH27" s="2561"/>
      <c r="AI27" s="2561"/>
      <c r="AJ27" s="2561"/>
      <c r="AK27" s="1608"/>
    </row>
    <row customHeight="1" ht="14.25">
      <c r="Q28" s="737"/>
      <c r="R28" s="737"/>
      <c r="S28" s="1641"/>
      <c r="T28" s="724"/>
      <c r="U28" s="724"/>
      <c r="V28" s="683"/>
      <c r="W28" s="683"/>
      <c r="X28" s="683"/>
      <c r="Y28" s="683"/>
      <c r="Z28" s="683"/>
      <c r="AA28" s="683"/>
      <c r="AB28" s="683"/>
      <c r="AC28" s="683"/>
      <c r="AD28" s="683"/>
      <c r="AE28" s="683"/>
      <c r="AF28" s="683"/>
      <c r="AG28" s="683"/>
      <c r="AH28" s="683"/>
      <c r="AI28" s="683"/>
      <c r="AJ28" s="683"/>
      <c r="AK28" s="683"/>
      <c r="AL28" s="870"/>
    </row>
    <row s="19160" customFormat="1" customHeight="1" ht="25.5">
      <c r="A29" s="1734"/>
      <c r="B29" s="1734"/>
      <c r="C29" s="1734"/>
      <c r="D29" s="1734"/>
      <c r="E29" s="1734"/>
      <c r="F29" s="1734"/>
      <c r="G29" s="1734"/>
      <c r="H29" s="1734"/>
      <c r="I29" s="1734"/>
      <c r="J29" s="1734"/>
      <c r="K29" s="1734"/>
      <c r="L29" s="1735"/>
      <c r="M29" s="1734"/>
      <c r="N29" s="1734"/>
      <c r="O29" s="1734"/>
      <c r="S29" s="2518" t="s">
        <v>38</v>
      </c>
      <c r="T29" s="2518"/>
      <c r="U29" s="1738"/>
      <c r="V29" s="2520" t="str">
        <f>IF(TITLE_NAME_OR_PR_CHANGE="",IF(TITLE_NAME_OR_PR="","",TITLE_NAME_OR_PR),TITLE_NAME_OR_PR_CHANGE)</f>
        <v>Комитет по ценам и тарифам по Московской области</v>
      </c>
      <c r="W29" s="2520"/>
      <c r="X29" s="2520"/>
      <c r="Y29" s="2520"/>
      <c r="Z29" s="2520"/>
      <c r="AA29" s="2520"/>
      <c r="AB29" s="2520"/>
      <c r="AC29" s="687"/>
      <c r="AD29" s="2520" t="str">
        <f>IF(TITLE_NAME_OR_PR_CHANGE="",IF(TITLE_NAME_OR_PR="","",TITLE_NAME_OR_PR),TITLE_NAME_OR_PR_CHANGE)</f>
        <v>Комитет по ценам и тарифам по Московской области</v>
      </c>
      <c r="AE29" s="2520"/>
      <c r="AF29" s="2520"/>
      <c r="AG29" s="2520"/>
      <c r="AH29" s="2520"/>
      <c r="AI29" s="2520"/>
      <c r="AJ29" s="2520"/>
      <c r="AK29" s="687"/>
      <c r="AL29" s="687"/>
      <c r="AM29" s="641"/>
      <c r="AN29" s="729"/>
      <c r="AO29" s="729"/>
      <c r="AP29" s="729"/>
      <c r="AQ29" s="729"/>
      <c r="AR29" s="729"/>
    </row>
    <row s="19160" customFormat="1" customHeight="1" ht="18.75">
      <c r="A30" s="1734"/>
      <c r="B30" s="1734"/>
      <c r="C30" s="1734"/>
      <c r="D30" s="1734"/>
      <c r="E30" s="1734"/>
      <c r="F30" s="1734"/>
      <c r="G30" s="1734"/>
      <c r="H30" s="1734"/>
      <c r="I30" s="1734"/>
      <c r="J30" s="1734"/>
      <c r="K30" s="1734"/>
      <c r="L30" s="1735"/>
      <c r="M30" s="1734"/>
      <c r="N30" s="1734"/>
      <c r="O30" s="1734"/>
      <c r="S30" s="2518" t="s">
        <v>421</v>
      </c>
      <c r="T30" s="2518"/>
      <c r="U30" s="1738"/>
      <c r="V30" s="2519" t="str">
        <f>IF(TITLE_DATE_PR_CHANGE="",IF(TITLE_DATE_PR="","",TITLE_DATE_PR),TITLE_DATE_PR_CHANGE)</f>
        <v>45280.70914351852</v>
      </c>
      <c r="W30" s="2519"/>
      <c r="X30" s="2519"/>
      <c r="Y30" s="2519"/>
      <c r="Z30" s="2519"/>
      <c r="AA30" s="2519"/>
      <c r="AB30" s="2519"/>
      <c r="AC30" s="687"/>
      <c r="AD30" s="2519" t="str">
        <f>IF(TITLE_DATE_PR_CHANGE="",IF(TITLE_DATE_PR="","",TITLE_DATE_PR),TITLE_DATE_PR_CHANGE)</f>
        <v>45280.70914351852</v>
      </c>
      <c r="AE30" s="2519"/>
      <c r="AF30" s="2519"/>
      <c r="AG30" s="2519"/>
      <c r="AH30" s="2519"/>
      <c r="AI30" s="2519"/>
      <c r="AJ30" s="2519"/>
      <c r="AK30" s="687"/>
      <c r="AL30" s="687"/>
      <c r="AM30" s="641"/>
      <c r="AN30" s="729"/>
      <c r="AO30" s="729"/>
      <c r="AP30" s="729"/>
      <c r="AQ30" s="729"/>
      <c r="AR30" s="729"/>
    </row>
    <row s="19160" customFormat="1" customHeight="1" ht="18.75">
      <c r="A31" s="1734"/>
      <c r="B31" s="1734"/>
      <c r="C31" s="1734"/>
      <c r="D31" s="1734"/>
      <c r="E31" s="1734"/>
      <c r="F31" s="1734"/>
      <c r="G31" s="1734"/>
      <c r="H31" s="1734"/>
      <c r="I31" s="1734"/>
      <c r="J31" s="1734"/>
      <c r="K31" s="1734"/>
      <c r="L31" s="1735"/>
      <c r="M31" s="1734"/>
      <c r="N31" s="1734"/>
      <c r="O31" s="1734"/>
      <c r="S31" s="2518" t="s">
        <v>422</v>
      </c>
      <c r="T31" s="2518"/>
      <c r="U31" s="1738"/>
      <c r="V31" s="2520" t="str">
        <f>IF(TITLE_NUMBER_PR_CHANGE="",IF(TITLE_NUMBER_PR="","",TITLE_NUMBER_PR),TITLE_NUMBER_PR_CHANGE)</f>
        <v>317-Р</v>
      </c>
      <c r="W31" s="2520"/>
      <c r="X31" s="2520"/>
      <c r="Y31" s="2520"/>
      <c r="Z31" s="2520"/>
      <c r="AA31" s="2520"/>
      <c r="AB31" s="2520"/>
      <c r="AC31" s="687"/>
      <c r="AD31" s="2520" t="str">
        <f>IF(TITLE_NUMBER_PR_CHANGE="",IF(TITLE_NUMBER_PR="","",TITLE_NUMBER_PR),TITLE_NUMBER_PR_CHANGE)</f>
        <v>317-Р</v>
      </c>
      <c r="AE31" s="2520"/>
      <c r="AF31" s="2520"/>
      <c r="AG31" s="2520"/>
      <c r="AH31" s="2520"/>
      <c r="AI31" s="2520"/>
      <c r="AJ31" s="2520"/>
      <c r="AK31" s="687"/>
      <c r="AL31" s="687"/>
      <c r="AM31" s="641"/>
      <c r="AN31" s="729"/>
      <c r="AO31" s="729"/>
      <c r="AP31" s="729"/>
      <c r="AQ31" s="729"/>
      <c r="AR31" s="729"/>
    </row>
    <row s="19160" customFormat="1" customHeight="1" ht="18.75">
      <c r="A32" s="1734"/>
      <c r="B32" s="1734"/>
      <c r="C32" s="1734"/>
      <c r="D32" s="1734"/>
      <c r="E32" s="1734"/>
      <c r="F32" s="1734"/>
      <c r="G32" s="1734"/>
      <c r="H32" s="1734"/>
      <c r="I32" s="1734"/>
      <c r="J32" s="1734"/>
      <c r="K32" s="1734"/>
      <c r="L32" s="1735"/>
      <c r="M32" s="1734"/>
      <c r="N32" s="1734"/>
      <c r="O32" s="1734"/>
      <c r="S32" s="2518" t="s">
        <v>40</v>
      </c>
      <c r="T32" s="2518"/>
      <c r="U32" s="1738"/>
      <c r="V32"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520"/>
      <c r="X32" s="2520"/>
      <c r="Y32" s="2520"/>
      <c r="Z32" s="2520"/>
      <c r="AA32" s="2520"/>
      <c r="AB32" s="2520"/>
      <c r="AC32" s="687"/>
      <c r="AD32"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520"/>
      <c r="AF32" s="2520"/>
      <c r="AG32" s="2520"/>
      <c r="AH32" s="2520"/>
      <c r="AI32" s="2520"/>
      <c r="AJ32" s="2520"/>
      <c r="AK32" s="687"/>
      <c r="AL32" s="687"/>
      <c r="AM32" s="641"/>
      <c r="AN32" s="729"/>
      <c r="AO32" s="729"/>
      <c r="AP32" s="729"/>
      <c r="AQ32" s="729"/>
      <c r="AR32" s="729"/>
    </row>
    <row customHeight="1" ht="14.25" hidden="1">
      <c r="Q33" s="737"/>
      <c r="R33" s="737"/>
      <c r="S33" s="1641"/>
      <c r="T33" s="724"/>
      <c r="U33" s="724"/>
      <c r="V33" s="683"/>
      <c r="W33" s="683"/>
      <c r="X33" s="683"/>
      <c r="Y33" s="683"/>
      <c r="Z33" s="683"/>
      <c r="AA33" s="683"/>
      <c r="AB33" s="683"/>
      <c r="AC33" s="683"/>
      <c r="AD33" s="683"/>
      <c r="AE33" s="683"/>
      <c r="AF33" s="683"/>
      <c r="AG33" s="683"/>
      <c r="AH33" s="683"/>
      <c r="AI33" s="683"/>
      <c r="AJ33" s="683"/>
      <c r="AK33" s="683"/>
      <c r="AL33" s="870"/>
    </row>
    <row s="19160" customFormat="1" customHeight="1" ht="18.75" hidden="1">
      <c r="A34" s="1734"/>
      <c r="B34" s="1734"/>
      <c r="C34" s="1734"/>
      <c r="D34" s="1734"/>
      <c r="E34" s="1734"/>
      <c r="F34" s="1734"/>
      <c r="G34" s="1734"/>
      <c r="H34" s="1734"/>
      <c r="I34" s="1734"/>
      <c r="J34" s="1734"/>
      <c r="K34" s="1734"/>
      <c r="L34" s="1735"/>
      <c r="M34" s="1734"/>
      <c r="N34" s="1734"/>
      <c r="O34" s="1734"/>
      <c r="S34" s="2518" t="s">
        <v>423</v>
      </c>
      <c r="T34" s="2518"/>
      <c r="U34" s="1738"/>
      <c r="V34" s="2519" t="str">
        <f>IF(TITLE_DATE_PR_CHANGE="",IF(TITLE_DATE_PR="","",TITLE_DATE_PR),TITLE_DATE_PR_CHANGE)</f>
        <v>45280.70914351852</v>
      </c>
      <c r="W34" s="2519"/>
      <c r="X34" s="2519"/>
      <c r="Y34" s="2519"/>
      <c r="Z34" s="2519"/>
      <c r="AA34" s="2519"/>
      <c r="AB34" s="2519"/>
      <c r="AC34" s="687"/>
      <c r="AD34" s="2519" t="str">
        <f>IF(TITLE_DATE_PR_CHANGE="",IF(TITLE_DATE_PR="","",TITLE_DATE_PR),TITLE_DATE_PR_CHANGE)</f>
        <v>45280.70914351852</v>
      </c>
      <c r="AE34" s="2519"/>
      <c r="AF34" s="2519"/>
      <c r="AG34" s="2519"/>
      <c r="AH34" s="2519"/>
      <c r="AI34" s="2519"/>
      <c r="AJ34" s="2519"/>
      <c r="AK34" s="687"/>
      <c r="AL34" s="687"/>
      <c r="AM34" s="641"/>
      <c r="AN34" s="729"/>
      <c r="AO34" s="729"/>
      <c r="AP34" s="729"/>
      <c r="AQ34" s="729"/>
      <c r="AR34" s="729"/>
    </row>
    <row s="19160" customFormat="1" customHeight="1" ht="18.75" hidden="1">
      <c r="A35" s="1734"/>
      <c r="B35" s="1734"/>
      <c r="C35" s="1734"/>
      <c r="D35" s="1734"/>
      <c r="E35" s="1734"/>
      <c r="F35" s="1734"/>
      <c r="G35" s="1734"/>
      <c r="H35" s="1734"/>
      <c r="I35" s="1734"/>
      <c r="J35" s="1734"/>
      <c r="K35" s="1734"/>
      <c r="L35" s="1735"/>
      <c r="M35" s="1734"/>
      <c r="N35" s="1734"/>
      <c r="O35" s="1734"/>
      <c r="S35" s="2518" t="s">
        <v>424</v>
      </c>
      <c r="T35" s="2518"/>
      <c r="U35" s="1738"/>
      <c r="V35" s="2520" t="str">
        <f>IF(TITLE_NUMBER_PR_CHANGE="",IF(TITLE_NUMBER_PR="","",TITLE_NUMBER_PR),TITLE_NUMBER_PR_CHANGE)</f>
        <v>317-Р</v>
      </c>
      <c r="W35" s="2520"/>
      <c r="X35" s="2520"/>
      <c r="Y35" s="2520"/>
      <c r="Z35" s="2520"/>
      <c r="AA35" s="2520"/>
      <c r="AB35" s="2520"/>
      <c r="AC35" s="687"/>
      <c r="AD35" s="2520" t="str">
        <f>IF(TITLE_NUMBER_PR_CHANGE="",IF(TITLE_NUMBER_PR="","",TITLE_NUMBER_PR),TITLE_NUMBER_PR_CHANGE)</f>
        <v>317-Р</v>
      </c>
      <c r="AE35" s="2520"/>
      <c r="AF35" s="2520"/>
      <c r="AG35" s="2520"/>
      <c r="AH35" s="2520"/>
      <c r="AI35" s="2520"/>
      <c r="AJ35" s="2520"/>
      <c r="AK35" s="687"/>
      <c r="AL35" s="687"/>
      <c r="AM35" s="641"/>
      <c r="AN35" s="729"/>
      <c r="AO35" s="729"/>
      <c r="AP35" s="729"/>
      <c r="AQ35" s="729"/>
      <c r="AR35" s="729"/>
    </row>
    <row s="19160" customFormat="1" customHeight="1" ht="0">
      <c r="A36" s="1734"/>
      <c r="B36" s="1734"/>
      <c r="C36" s="1734"/>
      <c r="D36" s="1734"/>
      <c r="E36" s="1734"/>
      <c r="F36" s="1734"/>
      <c r="G36" s="1734"/>
      <c r="H36" s="1734"/>
      <c r="I36" s="1734"/>
      <c r="J36" s="1734"/>
      <c r="K36" s="1734"/>
      <c r="L36" s="1735"/>
      <c r="M36" s="1734"/>
      <c r="N36" s="1734"/>
      <c r="O36" s="1734"/>
      <c r="S36" s="684"/>
      <c r="T36" s="684"/>
      <c r="U36" s="1706"/>
      <c r="V36" s="687"/>
      <c r="W36" s="687"/>
      <c r="X36" s="687"/>
      <c r="Y36" s="687"/>
      <c r="Z36" s="687"/>
      <c r="AA36" s="687"/>
      <c r="AB36" s="687"/>
      <c r="AC36" s="639" t="s">
        <v>425</v>
      </c>
      <c r="AD36" s="687"/>
      <c r="AE36" s="687"/>
      <c r="AF36" s="687"/>
      <c r="AG36" s="687"/>
      <c r="AH36" s="687"/>
      <c r="AI36" s="687"/>
      <c r="AJ36" s="687"/>
      <c r="AK36" s="639" t="s">
        <v>425</v>
      </c>
      <c r="AN36" s="729"/>
      <c r="AO36" s="729"/>
      <c r="AP36" s="729"/>
      <c r="AQ36" s="729"/>
      <c r="AR36" s="729"/>
    </row>
    <row customHeight="1" ht="14.25">
      <c r="Q37" s="737"/>
      <c r="R37" s="737"/>
      <c r="S37" s="1641"/>
      <c r="T37" s="724"/>
      <c r="U37" s="1609"/>
      <c r="V37" s="2544"/>
      <c r="W37" s="2544"/>
      <c r="X37" s="2544"/>
      <c r="Y37" s="2544"/>
      <c r="Z37" s="2544"/>
      <c r="AA37" s="2544"/>
      <c r="AB37" s="2544"/>
      <c r="AC37" s="2544"/>
      <c r="AD37" s="2544"/>
      <c r="AE37" s="2544"/>
      <c r="AF37" s="2544"/>
      <c r="AG37" s="2544"/>
      <c r="AH37" s="2544"/>
      <c r="AI37" s="2544"/>
      <c r="AJ37" s="2544"/>
      <c r="AK37" s="2544"/>
    </row>
    <row customHeight="1" ht="14.25">
      <c r="Q38" s="737"/>
      <c r="R38" s="737"/>
      <c r="S38" s="2392" t="s">
        <v>300</v>
      </c>
      <c r="T38" s="2392"/>
      <c r="U38" s="2392"/>
      <c r="V38" s="2392"/>
      <c r="W38" s="2392"/>
      <c r="X38" s="2392"/>
      <c r="Y38" s="2392"/>
      <c r="Z38" s="2392"/>
      <c r="AA38" s="2392"/>
      <c r="AB38" s="2392"/>
      <c r="AC38" s="2392"/>
      <c r="AD38" s="2392"/>
      <c r="AE38" s="2392"/>
      <c r="AF38" s="2392"/>
      <c r="AG38" s="2392"/>
      <c r="AH38" s="2392"/>
      <c r="AI38" s="2392"/>
      <c r="AJ38" s="2392"/>
      <c r="AK38" s="2392"/>
      <c r="AL38" s="2392"/>
      <c r="AM38" s="2392" t="s">
        <v>301</v>
      </c>
    </row>
    <row customHeight="1" ht="14.25">
      <c r="Q39" s="737"/>
      <c r="R39" s="737"/>
      <c r="S39" s="2545" t="s">
        <v>85</v>
      </c>
      <c r="T39" s="2482" t="s">
        <v>426</v>
      </c>
      <c r="U39" s="662"/>
      <c r="V39" s="2546" t="s">
        <v>427</v>
      </c>
      <c r="W39" s="2547"/>
      <c r="X39" s="2547"/>
      <c r="Y39" s="2547"/>
      <c r="Z39" s="2547"/>
      <c r="AA39" s="2547"/>
      <c r="AB39" s="2548"/>
      <c r="AC39" s="2549" t="s">
        <v>428</v>
      </c>
      <c r="AD39" s="2546" t="s">
        <v>427</v>
      </c>
      <c r="AE39" s="2547"/>
      <c r="AF39" s="2547"/>
      <c r="AG39" s="2547"/>
      <c r="AH39" s="2547"/>
      <c r="AI39" s="2547"/>
      <c r="AJ39" s="2548"/>
      <c r="AK39" s="2549" t="s">
        <v>429</v>
      </c>
      <c r="AL39" s="2552" t="s">
        <v>430</v>
      </c>
      <c r="AM39" s="2392"/>
    </row>
    <row customHeight="1" ht="33.75">
      <c r="Q40" s="737"/>
      <c r="R40" s="737"/>
      <c r="S40" s="2545"/>
      <c r="T40" s="2482"/>
      <c r="U40" s="1393"/>
      <c r="V40" s="2555" t="s">
        <v>431</v>
      </c>
      <c r="W40" s="2536"/>
      <c r="X40" s="2538" t="s">
        <v>433</v>
      </c>
      <c r="Y40" s="2540"/>
      <c r="Z40" s="2538" t="s">
        <v>434</v>
      </c>
      <c r="AA40" s="2539"/>
      <c r="AB40" s="2540"/>
      <c r="AC40" s="2550"/>
      <c r="AD40" s="2555" t="s">
        <v>447</v>
      </c>
      <c r="AE40" s="2536"/>
      <c r="AF40" s="2538" t="s">
        <v>433</v>
      </c>
      <c r="AG40" s="2540"/>
      <c r="AH40" s="2538" t="s">
        <v>434</v>
      </c>
      <c r="AI40" s="2539"/>
      <c r="AJ40" s="2540"/>
      <c r="AK40" s="2550"/>
      <c r="AL40" s="2553"/>
      <c r="AM40" s="2392"/>
    </row>
    <row customHeight="1" ht="33.75">
      <c r="A41" s="1736"/>
      <c r="B41" s="1736" t="s">
        <v>132</v>
      </c>
      <c r="C41" s="1736" t="s">
        <v>133</v>
      </c>
      <c r="D41" s="1736" t="s">
        <v>134</v>
      </c>
      <c r="E41" s="1730" t="s">
        <v>435</v>
      </c>
      <c r="F41" s="1730" t="s">
        <v>436</v>
      </c>
      <c r="G41" s="1730" t="s">
        <v>437</v>
      </c>
      <c r="H41" s="1730" t="s">
        <v>438</v>
      </c>
      <c r="I41" s="1730" t="s">
        <v>439</v>
      </c>
      <c r="J41" s="1730" t="s">
        <v>440</v>
      </c>
      <c r="K41" s="1730" t="s">
        <v>441</v>
      </c>
      <c r="L41" s="1730" t="s">
        <v>416</v>
      </c>
      <c r="Q41" s="737"/>
      <c r="R41" s="737"/>
      <c r="S41" s="2545"/>
      <c r="T41" s="2482"/>
      <c r="U41" s="663"/>
      <c r="V41" s="2556"/>
      <c r="W41" s="2537"/>
      <c r="X41" s="1587" t="s">
        <v>442</v>
      </c>
      <c r="Y41" s="1587" t="s">
        <v>443</v>
      </c>
      <c r="Z41" s="1704" t="s">
        <v>444</v>
      </c>
      <c r="AA41" s="2541" t="s">
        <v>445</v>
      </c>
      <c r="AB41" s="2542"/>
      <c r="AC41" s="2551"/>
      <c r="AD41" s="2556"/>
      <c r="AE41" s="2537"/>
      <c r="AF41" s="1587" t="s">
        <v>442</v>
      </c>
      <c r="AG41" s="1587" t="s">
        <v>443</v>
      </c>
      <c r="AH41" s="1704" t="s">
        <v>444</v>
      </c>
      <c r="AI41" s="2541" t="s">
        <v>445</v>
      </c>
      <c r="AJ41" s="2542"/>
      <c r="AK41" s="2551"/>
      <c r="AL41" s="2554"/>
      <c r="AM41" s="2392"/>
    </row>
    <row s="18977" customFormat="1" customHeight="1" ht="11.25" hidden="1">
      <c r="A42" s="1736"/>
      <c r="B42" s="1736"/>
      <c r="C42" s="1736"/>
      <c r="D42" s="1736"/>
      <c r="E42" s="1736"/>
      <c r="F42" s="1736"/>
      <c r="G42" s="1736"/>
      <c r="H42" s="1736"/>
      <c r="I42" s="1736"/>
      <c r="J42" s="1736"/>
      <c r="K42" s="1736"/>
      <c r="L42" s="1730"/>
      <c r="M42" s="1728"/>
      <c r="N42" s="1728"/>
      <c r="O42" s="1728"/>
      <c r="P42" s="1611"/>
      <c r="Q42" s="1612"/>
      <c r="R42" s="1619">
        <v>1</v>
      </c>
      <c r="S42" s="1643" t="s">
        <v>106</v>
      </c>
      <c r="T42" s="1620" t="s">
        <v>107</v>
      </c>
      <c r="U42" s="1610" t="str">
        <f>OFFSET(U42,0,-1)</f>
        <v>2</v>
      </c>
      <c r="V42" s="1701">
        <f>OFFSET(V42,0,-1)+1</f>
        <v>3</v>
      </c>
      <c r="W42" s="1701"/>
      <c r="X42" s="1701">
        <f>OFFSET(X42,0,-1)+1</f>
        <v>1</v>
      </c>
      <c r="Y42" s="1701">
        <f>OFFSET(Y42,0,-1)+1</f>
        <v>2</v>
      </c>
      <c r="Z42" s="1701">
        <f>OFFSET(Z42,0,-1)+1</f>
        <v>3</v>
      </c>
      <c r="AA42" s="2543">
        <f>OFFSET(AA42,0,-1)+1</f>
        <v>4</v>
      </c>
      <c r="AB42" s="2543"/>
      <c r="AC42" s="1701">
        <f>OFFSET(AC42,0,-2)+1</f>
        <v>5</v>
      </c>
      <c r="AD42" s="1701">
        <f>OFFSET(AD42,0,-1)+1</f>
        <v>6</v>
      </c>
      <c r="AE42" s="1701"/>
      <c r="AF42" s="1701">
        <f>OFFSET(AF42,0,-1)+1</f>
        <v>1</v>
      </c>
      <c r="AG42" s="1701">
        <f>OFFSET(AG42,0,-1)+1</f>
        <v>2</v>
      </c>
      <c r="AH42" s="1701">
        <f>OFFSET(AH42,0,-1)+1</f>
        <v>3</v>
      </c>
      <c r="AI42" s="2543">
        <f>OFFSET(AI42,0,-1)+1</f>
        <v>4</v>
      </c>
      <c r="AJ42" s="2543"/>
      <c r="AK42" s="1701">
        <f>OFFSET(AK42,0,-2)+1</f>
        <v>5</v>
      </c>
      <c r="AL42" s="1610">
        <f>OFFSET(AL42,0,-1)</f>
        <v>5</v>
      </c>
      <c r="AM42" s="1701">
        <f>OFFSET(AM42,0,-1)+1</f>
        <v>6</v>
      </c>
      <c r="AN42" s="872"/>
      <c r="AO42" s="872"/>
      <c r="AP42" s="872"/>
      <c r="AQ42" s="872"/>
      <c r="AR42" s="872"/>
    </row>
    <row customHeight="1" ht="21">
      <c r="A43" s="1729" t="s">
        <v>177</v>
      </c>
      <c r="B43" s="1729"/>
      <c r="C43" s="1729"/>
      <c r="D43" s="1729"/>
      <c r="E43" s="2527">
        <v>1</v>
      </c>
      <c r="F43" s="1729"/>
      <c r="G43" s="1729"/>
      <c r="H43" s="1729"/>
      <c r="I43" s="1729"/>
      <c r="J43" s="1729"/>
      <c r="K43" s="1729"/>
      <c r="L43" s="1730"/>
      <c r="M43" s="1731"/>
      <c r="N43" s="1731"/>
      <c r="O43" s="1731"/>
      <c r="P43" s="722"/>
      <c r="Q43" s="721"/>
      <c r="R43" s="716"/>
      <c r="S43" s="1702">
        <f>INDEX(PT_DIFFERENTIATION_NUM_NTAR,MATCH(A43,PT_DIFFERENTIATION_NTAR_ID,0))</f>
        <v>0</v>
      </c>
      <c r="T43" s="659" t="s">
        <v>120</v>
      </c>
      <c r="U43" s="661"/>
      <c r="V43" s="2521"/>
      <c r="W43" s="2522"/>
      <c r="X43" s="2522"/>
      <c r="Y43" s="2522"/>
      <c r="Z43" s="2522"/>
      <c r="AA43" s="2522"/>
      <c r="AB43" s="2522"/>
      <c r="AC43" s="2523"/>
      <c r="AD43" s="2521" t="str">
        <f>INDEX(PT_DIFFERENTIATION_NTAR,MATCH(A43,PT_DIFFERENTIATION_NTAR_ID,0))</f>
        <v/>
      </c>
      <c r="AE43" s="2522"/>
      <c r="AF43" s="2522"/>
      <c r="AG43" s="2522"/>
      <c r="AH43" s="2522"/>
      <c r="AI43" s="2522"/>
      <c r="AJ43" s="2522"/>
      <c r="AK43" s="2522"/>
      <c r="AL43" s="2523"/>
      <c r="AM43" s="162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861"/>
      <c r="AP43" s="861" t="str">
        <f>IF(T43="","",T43)</f>
        <v>Наименование тарифа</v>
      </c>
      <c r="AQ43" s="861"/>
      <c r="AR43" s="861"/>
    </row>
    <row customHeight="1" ht="21">
      <c r="A44" s="1729" t="s">
        <v>177</v>
      </c>
      <c r="B44" s="1729" t="s">
        <v>178</v>
      </c>
      <c r="C44" s="1729"/>
      <c r="D44" s="1729"/>
      <c r="E44" s="2528"/>
      <c r="F44" s="2527">
        <v>1</v>
      </c>
      <c r="G44" s="1729"/>
      <c r="H44" s="1729"/>
      <c r="I44" s="1729"/>
      <c r="J44" s="1729"/>
      <c r="K44" s="1729"/>
      <c r="L44" s="1730"/>
      <c r="M44" s="1731"/>
      <c r="N44" s="1731"/>
      <c r="O44" s="1731"/>
      <c r="P44" s="1698"/>
      <c r="Q44" s="713"/>
      <c r="R44" s="714"/>
      <c r="S44" s="1702" t="str">
        <f>INDEX(PT_DIFFERENTIATION_NUM_TER,MATCH(B44,PT_DIFFERENTIATION_TER_ID,0))</f>
        <v>.</v>
      </c>
      <c r="T44" s="669" t="s">
        <v>397</v>
      </c>
      <c r="U44" s="661"/>
      <c r="V44" s="2521"/>
      <c r="W44" s="2522"/>
      <c r="X44" s="2522"/>
      <c r="Y44" s="2522"/>
      <c r="Z44" s="2522"/>
      <c r="AA44" s="2522"/>
      <c r="AB44" s="2522"/>
      <c r="AC44" s="2523"/>
      <c r="AD44" s="2521" t="str">
        <f>INDEX(PT_DIFFERENTIATION_TER,MATCH(B44,PT_DIFFERENTIATION_TER_ID,0))</f>
        <v/>
      </c>
      <c r="AE44" s="2522"/>
      <c r="AF44" s="2522"/>
      <c r="AG44" s="2522"/>
      <c r="AH44" s="2522"/>
      <c r="AI44" s="2522"/>
      <c r="AJ44" s="2522"/>
      <c r="AK44" s="2522"/>
      <c r="AL44" s="2523"/>
      <c r="AM44" s="1623" t="s">
        <v>398</v>
      </c>
      <c r="AO44" s="861"/>
      <c r="AP44" s="861" t="str">
        <f>IF(T44="","",T44)</f>
        <v>Территория действия тарифа</v>
      </c>
      <c r="AQ44" s="861"/>
      <c r="AR44" s="861"/>
    </row>
    <row customHeight="1" ht="23.25">
      <c r="A45" s="1729" t="s">
        <v>177</v>
      </c>
      <c r="B45" s="1729" t="s">
        <v>178</v>
      </c>
      <c r="C45" s="1729" t="s">
        <v>179</v>
      </c>
      <c r="D45" s="1729"/>
      <c r="E45" s="2528"/>
      <c r="F45" s="2528"/>
      <c r="G45" s="2527">
        <v>1</v>
      </c>
      <c r="H45" s="1729"/>
      <c r="I45" s="1729"/>
      <c r="J45" s="1729"/>
      <c r="K45" s="1729"/>
      <c r="L45" s="1730"/>
      <c r="M45" s="1731"/>
      <c r="N45" s="1731"/>
      <c r="O45" s="1731"/>
      <c r="P45" s="715"/>
      <c r="Q45" s="713"/>
      <c r="R45" s="714"/>
      <c r="S45" s="1702" t="str">
        <f>INDEX(PT_DIFFERENTIATION_NUM_CS,MATCH(C45,PT_DIFFERENTIATION_CS_ID,0))</f>
        <v>..</v>
      </c>
      <c r="T45" s="670" t="s">
        <v>399</v>
      </c>
      <c r="U45" s="661"/>
      <c r="V45" s="2521"/>
      <c r="W45" s="2522"/>
      <c r="X45" s="2522"/>
      <c r="Y45" s="2522"/>
      <c r="Z45" s="2522"/>
      <c r="AA45" s="2522"/>
      <c r="AB45" s="2522"/>
      <c r="AC45" s="2523"/>
      <c r="AD45" s="2521" t="str">
        <f>INDEX(PT_DIFFERENTIATION_CS,MATCH(C45,PT_DIFFERENTIATION_CS_ID,0))</f>
        <v/>
      </c>
      <c r="AE45" s="2522"/>
      <c r="AF45" s="2522"/>
      <c r="AG45" s="2522"/>
      <c r="AH45" s="2522"/>
      <c r="AI45" s="2522"/>
      <c r="AJ45" s="2522"/>
      <c r="AK45" s="2522"/>
      <c r="AL45" s="2523"/>
      <c r="AM45" s="1623" t="s">
        <v>400</v>
      </c>
      <c r="AO45" s="861"/>
      <c r="AP45" s="861" t="str">
        <f>IF(T45="","",T45)</f>
        <v>Наименование системы теплоснабжения </v>
      </c>
      <c r="AQ45" s="861"/>
      <c r="AR45" s="861"/>
    </row>
    <row customHeight="1" ht="21">
      <c r="A46" s="1729" t="s">
        <v>177</v>
      </c>
      <c r="B46" s="1729" t="s">
        <v>178</v>
      </c>
      <c r="C46" s="1729" t="s">
        <v>179</v>
      </c>
      <c r="D46" s="1729" t="s">
        <v>180</v>
      </c>
      <c r="E46" s="2528"/>
      <c r="F46" s="2528"/>
      <c r="G46" s="2528"/>
      <c r="H46" s="2527">
        <v>1</v>
      </c>
      <c r="I46" s="1729"/>
      <c r="J46" s="1729"/>
      <c r="K46" s="1729"/>
      <c r="L46" s="1730"/>
      <c r="M46" s="1731"/>
      <c r="N46" s="1731"/>
      <c r="O46" s="1731"/>
      <c r="P46" s="715"/>
      <c r="Q46" s="713"/>
      <c r="R46" s="714"/>
      <c r="S46" s="1702" t="str">
        <f>INDEX(PT_DIFFERENTIATION_NUM_IST_TE,MATCH(D46,PT_DIFFERENTIATION_IST_TE_ID,0))</f>
        <v>...</v>
      </c>
      <c r="T46" s="671" t="s">
        <v>401</v>
      </c>
      <c r="U46" s="661"/>
      <c r="V46" s="2521"/>
      <c r="W46" s="2522"/>
      <c r="X46" s="2522"/>
      <c r="Y46" s="2522"/>
      <c r="Z46" s="2522"/>
      <c r="AA46" s="2522"/>
      <c r="AB46" s="2522"/>
      <c r="AC46" s="2523"/>
      <c r="AD46" s="2521" t="str">
        <f>INDEX(PT_DIFFERENTIATION_IST_TE,MATCH(D46,PT_DIFFERENTIATION_IST_TE_ID,0))</f>
        <v/>
      </c>
      <c r="AE46" s="2522"/>
      <c r="AF46" s="2522"/>
      <c r="AG46" s="2522"/>
      <c r="AH46" s="2522"/>
      <c r="AI46" s="2522"/>
      <c r="AJ46" s="2522"/>
      <c r="AK46" s="2522"/>
      <c r="AL46" s="2523"/>
      <c r="AM46" s="1623" t="s">
        <v>402</v>
      </c>
      <c r="AO46" s="861"/>
      <c r="AP46" s="861" t="str">
        <f>IF(T46="","",T46)</f>
        <v>Источник тепловой энергии  </v>
      </c>
      <c r="AQ46" s="861"/>
      <c r="AR46" s="861"/>
    </row>
    <row s="19219" customFormat="1" customHeight="1" ht="0">
      <c r="A47" s="1709" t="s">
        <v>177</v>
      </c>
      <c r="B47" s="1709" t="s">
        <v>178</v>
      </c>
      <c r="C47" s="1709" t="s">
        <v>179</v>
      </c>
      <c r="D47" s="1709" t="s">
        <v>180</v>
      </c>
      <c r="E47" s="2528"/>
      <c r="F47" s="2528"/>
      <c r="G47" s="2528"/>
      <c r="H47" s="2528"/>
      <c r="I47" s="2529" t="str">
        <f>S46&amp;".1"</f>
        <v>....1</v>
      </c>
      <c r="J47" s="1709"/>
      <c r="K47" s="1709"/>
      <c r="L47" s="1712" t="s">
        <v>403</v>
      </c>
      <c r="M47" s="871"/>
      <c r="N47" s="871"/>
      <c r="O47" s="871"/>
      <c r="P47" s="2531">
        <v>1</v>
      </c>
      <c r="Q47" s="1697"/>
      <c r="R47" s="717"/>
      <c r="S47" s="1404"/>
      <c r="T47" s="1749"/>
      <c r="U47" s="1750"/>
      <c r="V47" s="2569"/>
      <c r="W47" s="2570"/>
      <c r="X47" s="2570"/>
      <c r="Y47" s="2570"/>
      <c r="Z47" s="2570"/>
      <c r="AA47" s="2570"/>
      <c r="AB47" s="2570"/>
      <c r="AC47" s="2571"/>
      <c r="AD47" s="2569"/>
      <c r="AE47" s="2570"/>
      <c r="AF47" s="2570"/>
      <c r="AG47" s="2570"/>
      <c r="AH47" s="2570"/>
      <c r="AI47" s="2570"/>
      <c r="AJ47" s="2570"/>
      <c r="AK47" s="2570"/>
      <c r="AL47" s="2571"/>
      <c r="AM47" s="1751"/>
      <c r="AO47" s="861"/>
      <c r="AP47" s="861" t="str">
        <f>IF(T47="","",T47)</f>
        <v/>
      </c>
      <c r="AQ47" s="861"/>
      <c r="AR47" s="861"/>
    </row>
    <row customHeight="1" ht="21">
      <c r="A48" s="1729" t="s">
        <v>177</v>
      </c>
      <c r="B48" s="1729" t="s">
        <v>178</v>
      </c>
      <c r="C48" s="1729" t="s">
        <v>179</v>
      </c>
      <c r="D48" s="1729" t="s">
        <v>180</v>
      </c>
      <c r="E48" s="2528"/>
      <c r="F48" s="2528"/>
      <c r="G48" s="2528"/>
      <c r="H48" s="2528"/>
      <c r="I48" s="2530"/>
      <c r="J48" s="2529" t="str">
        <f>S46&amp;".1"</f>
        <v>....1</v>
      </c>
      <c r="K48" s="1729"/>
      <c r="L48" s="1730" t="s">
        <v>406</v>
      </c>
      <c r="P48" s="2531"/>
      <c r="Q48" s="2531">
        <v>1</v>
      </c>
      <c r="R48" s="718"/>
      <c r="S48" s="1702" t="str">
        <f>$J48</f>
        <v>....1</v>
      </c>
      <c r="T48" s="647" t="s">
        <v>407</v>
      </c>
      <c r="U48" s="661"/>
      <c r="V48" s="2515"/>
      <c r="W48" s="2516"/>
      <c r="X48" s="2516"/>
      <c r="Y48" s="2516"/>
      <c r="Z48" s="2516"/>
      <c r="AA48" s="2516"/>
      <c r="AB48" s="2516"/>
      <c r="AC48" s="2517"/>
      <c r="AD48" s="2515"/>
      <c r="AE48" s="2516"/>
      <c r="AF48" s="2516"/>
      <c r="AG48" s="2516"/>
      <c r="AH48" s="2516"/>
      <c r="AI48" s="2516"/>
      <c r="AJ48" s="2516"/>
      <c r="AK48" s="2516"/>
      <c r="AL48" s="2517"/>
      <c r="AM48" s="1623" t="s">
        <v>408</v>
      </c>
      <c r="AO48" s="861"/>
      <c r="AP48" s="861" t="str">
        <f>IF(T48="","",T48)</f>
        <v>Группа потребителей</v>
      </c>
      <c r="AQ48" s="861"/>
      <c r="AR48" s="861"/>
    </row>
    <row customHeight="1" ht="21">
      <c r="A49" s="1729" t="s">
        <v>177</v>
      </c>
      <c r="B49" s="1729" t="s">
        <v>178</v>
      </c>
      <c r="C49" s="1729" t="s">
        <v>179</v>
      </c>
      <c r="D49" s="1729" t="s">
        <v>180</v>
      </c>
      <c r="E49" s="2528"/>
      <c r="F49" s="2528"/>
      <c r="G49" s="2528"/>
      <c r="H49" s="2528"/>
      <c r="I49" s="2530"/>
      <c r="J49" s="2530"/>
      <c r="K49" s="2529" t="str">
        <f>J48&amp;".1"</f>
        <v>....1.1</v>
      </c>
      <c r="L49" s="1730" t="s">
        <v>409</v>
      </c>
      <c r="P49" s="2531"/>
      <c r="Q49" s="2531"/>
      <c r="R49" s="718">
        <v>1</v>
      </c>
      <c r="S49" s="1702" t="str">
        <f>$K49</f>
        <v>....1.1</v>
      </c>
      <c r="T49" s="1713"/>
      <c r="U49" s="661"/>
      <c r="V49" s="1112"/>
      <c r="W49" s="686"/>
      <c r="X49" s="1112"/>
      <c r="Y49" s="1622"/>
      <c r="Z49" s="2532"/>
      <c r="AA49" s="2402" t="s">
        <v>59</v>
      </c>
      <c r="AB49" s="2532"/>
      <c r="AC49" s="2402" t="s">
        <v>59</v>
      </c>
      <c r="AD49" s="1112"/>
      <c r="AE49" s="686"/>
      <c r="AF49" s="1112"/>
      <c r="AG49" s="1622"/>
      <c r="AH49" s="2532"/>
      <c r="AI49" s="2402" t="s">
        <v>59</v>
      </c>
      <c r="AJ49" s="2534"/>
      <c r="AK49" s="2402" t="s">
        <v>59</v>
      </c>
      <c r="AL49" s="1714"/>
      <c r="AM49" s="2557" t="s">
        <v>448</v>
      </c>
      <c r="AN49" s="872">
        <f>STRCHECKDATE(V50:AL50)</f>
      </c>
      <c r="AO49" s="861"/>
      <c r="AP49" s="861" t="str">
        <f>IF(T49="","",T49)</f>
        <v/>
      </c>
      <c r="AQ49" s="861"/>
      <c r="AR49" s="861"/>
    </row>
    <row customHeight="1" ht="0.75">
      <c r="A50" s="1729" t="s">
        <v>177</v>
      </c>
      <c r="B50" s="1729" t="s">
        <v>178</v>
      </c>
      <c r="C50" s="1729" t="s">
        <v>179</v>
      </c>
      <c r="D50" s="1729" t="s">
        <v>180</v>
      </c>
      <c r="E50" s="2528"/>
      <c r="F50" s="2528"/>
      <c r="G50" s="2528"/>
      <c r="H50" s="2528"/>
      <c r="I50" s="2530"/>
      <c r="J50" s="2530"/>
      <c r="K50" s="2529"/>
      <c r="L50" s="1730"/>
      <c r="P50" s="2531"/>
      <c r="Q50" s="2531"/>
      <c r="R50" s="718"/>
      <c r="S50" s="1708"/>
      <c r="T50" s="661"/>
      <c r="U50" s="661"/>
      <c r="V50" s="686"/>
      <c r="W50" s="686"/>
      <c r="X50" s="686"/>
      <c r="Y50" s="689" t="str">
        <f>Z49&amp;"-"&amp;AB49</f>
        <v>-</v>
      </c>
      <c r="Z50" s="2533"/>
      <c r="AA50" s="2402"/>
      <c r="AB50" s="2533"/>
      <c r="AC50" s="2402"/>
      <c r="AD50" s="686"/>
      <c r="AE50" s="686"/>
      <c r="AF50" s="686"/>
      <c r="AG50" s="689" t="str">
        <f>AH49&amp;"-"&amp;AJ49</f>
        <v>-</v>
      </c>
      <c r="AH50" s="2533"/>
      <c r="AI50" s="2402"/>
      <c r="AJ50" s="2535"/>
      <c r="AK50" s="2402"/>
      <c r="AL50" s="1715"/>
      <c r="AM50" s="2558"/>
      <c r="AO50" s="861"/>
      <c r="AP50" s="861" t="str">
        <f>IF(T50="","",T50)</f>
        <v/>
      </c>
      <c r="AQ50" s="861"/>
      <c r="AR50" s="861"/>
    </row>
    <row customHeight="1" ht="11.25">
      <c r="A51" s="1729" t="s">
        <v>177</v>
      </c>
      <c r="B51" s="1729" t="s">
        <v>178</v>
      </c>
      <c r="C51" s="1729" t="s">
        <v>179</v>
      </c>
      <c r="D51" s="1729" t="s">
        <v>180</v>
      </c>
      <c r="E51" s="2528"/>
      <c r="F51" s="2528"/>
      <c r="G51" s="2528"/>
      <c r="H51" s="2528"/>
      <c r="I51" s="2530"/>
      <c r="J51" s="2529"/>
      <c r="K51" s="1729"/>
      <c r="L51" s="1730"/>
      <c r="P51" s="2531"/>
      <c r="Q51" s="2531"/>
      <c r="R51" s="717"/>
      <c r="S51" s="1644"/>
      <c r="T51" s="648" t="s">
        <v>411</v>
      </c>
      <c r="U51" s="728"/>
      <c r="V51" s="728"/>
      <c r="W51" s="728"/>
      <c r="X51" s="728"/>
      <c r="Y51" s="728"/>
      <c r="Z51" s="728"/>
      <c r="AA51" s="728"/>
      <c r="AB51" s="728"/>
      <c r="AC51" s="728"/>
      <c r="AD51" s="728"/>
      <c r="AE51" s="728"/>
      <c r="AF51" s="728"/>
      <c r="AG51" s="728"/>
      <c r="AH51" s="728"/>
      <c r="AI51" s="728"/>
      <c r="AJ51" s="728"/>
      <c r="AK51" s="728"/>
      <c r="AL51" s="685"/>
      <c r="AM51" s="2559"/>
      <c r="AO51" s="861"/>
      <c r="AP51" s="861" t="str">
        <f>IF(T51="","",T51)</f>
        <v>Добавить вид теплоносителя (параметры теплоносителя)</v>
      </c>
      <c r="AQ51" s="861"/>
      <c r="AR51" s="861"/>
    </row>
    <row customHeight="1" ht="11.25">
      <c r="A52" s="1729" t="s">
        <v>177</v>
      </c>
      <c r="B52" s="1729" t="s">
        <v>178</v>
      </c>
      <c r="C52" s="1729" t="s">
        <v>179</v>
      </c>
      <c r="D52" s="1729" t="s">
        <v>180</v>
      </c>
      <c r="E52" s="2528"/>
      <c r="F52" s="2528"/>
      <c r="G52" s="2528"/>
      <c r="H52" s="2528"/>
      <c r="I52" s="2529"/>
      <c r="J52" s="1729"/>
      <c r="K52" s="1729"/>
      <c r="L52" s="1730"/>
      <c r="P52" s="2531"/>
      <c r="Q52" s="1697"/>
      <c r="R52" s="717"/>
      <c r="S52" s="1644"/>
      <c r="T52" s="726" t="s">
        <v>412</v>
      </c>
      <c r="U52" s="728"/>
      <c r="V52" s="728"/>
      <c r="W52" s="728"/>
      <c r="X52" s="728"/>
      <c r="Y52" s="728"/>
      <c r="Z52" s="728"/>
      <c r="AA52" s="728"/>
      <c r="AB52" s="728"/>
      <c r="AC52" s="727"/>
      <c r="AD52" s="728"/>
      <c r="AE52" s="728"/>
      <c r="AF52" s="728"/>
      <c r="AG52" s="728"/>
      <c r="AH52" s="728"/>
      <c r="AI52" s="728"/>
      <c r="AJ52" s="728"/>
      <c r="AK52" s="727"/>
      <c r="AL52" s="728"/>
      <c r="AM52" s="664"/>
      <c r="AO52" s="861"/>
      <c r="AP52" s="861" t="str">
        <f>IF(T52="","",T52)</f>
        <v>Добавить группу потребителей</v>
      </c>
      <c r="AQ52" s="861"/>
      <c r="AR52" s="861"/>
    </row>
    <row customHeight="1" ht="0">
      <c r="A53" s="1729" t="s">
        <v>177</v>
      </c>
      <c r="B53" s="1729" t="s">
        <v>178</v>
      </c>
      <c r="C53" s="1729" t="s">
        <v>179</v>
      </c>
      <c r="D53" s="1729" t="s">
        <v>180</v>
      </c>
      <c r="E53" s="2528"/>
      <c r="F53" s="2528"/>
      <c r="G53" s="2528"/>
      <c r="H53" s="2527"/>
      <c r="I53" s="1729"/>
      <c r="J53" s="1729"/>
      <c r="K53" s="1729"/>
      <c r="L53" s="1730"/>
      <c r="M53" s="1731"/>
      <c r="N53" s="1731"/>
      <c r="O53" s="898"/>
      <c r="P53" s="721"/>
      <c r="Q53" s="736"/>
      <c r="R53" s="716"/>
      <c r="S53" s="1752"/>
      <c r="T53" s="1753"/>
      <c r="U53" s="1754"/>
      <c r="V53" s="1754"/>
      <c r="W53" s="1754"/>
      <c r="X53" s="1754"/>
      <c r="Y53" s="1754"/>
      <c r="Z53" s="1754"/>
      <c r="AA53" s="1754"/>
      <c r="AB53" s="1754"/>
      <c r="AC53" s="1754"/>
      <c r="AD53" s="1754"/>
      <c r="AE53" s="1754"/>
      <c r="AF53" s="1754"/>
      <c r="AG53" s="1754"/>
      <c r="AH53" s="1754"/>
      <c r="AI53" s="1754"/>
      <c r="AJ53" s="1754"/>
      <c r="AK53" s="1754"/>
      <c r="AL53" s="1754"/>
      <c r="AM53" s="1755"/>
      <c r="AO53" s="861"/>
      <c r="AP53" s="861" t="str">
        <f>IF(T53="","",T53)</f>
        <v/>
      </c>
      <c r="AQ53" s="861"/>
      <c r="AR53" s="861"/>
    </row>
    <row s="19127" customFormat="1" customHeight="1" ht="0.75">
      <c r="A54" s="1709" t="s">
        <v>177</v>
      </c>
      <c r="B54" s="1709" t="s">
        <v>178</v>
      </c>
      <c r="C54" s="1709" t="s">
        <v>179</v>
      </c>
      <c r="D54" s="1680"/>
      <c r="E54" s="2528"/>
      <c r="F54" s="2528"/>
      <c r="G54" s="2527"/>
      <c r="H54" s="1680"/>
      <c r="I54" s="1680"/>
      <c r="J54" s="1680"/>
      <c r="K54" s="1680"/>
      <c r="L54" s="1705"/>
      <c r="M54" s="1681"/>
      <c r="N54" s="1681"/>
      <c r="P54" s="1682"/>
      <c r="Q54" s="1683"/>
      <c r="R54" s="1682"/>
      <c r="S54" s="1688"/>
      <c r="T54" s="1691" t="s">
        <v>414</v>
      </c>
      <c r="U54" s="1690"/>
      <c r="V54" s="1690"/>
      <c r="W54" s="1690"/>
      <c r="X54" s="1690"/>
      <c r="Y54" s="1690"/>
      <c r="Z54" s="1690"/>
      <c r="AA54" s="1690"/>
      <c r="AB54" s="1690"/>
      <c r="AC54" s="1690"/>
      <c r="AD54" s="1690"/>
      <c r="AE54" s="1690"/>
      <c r="AF54" s="1690"/>
      <c r="AG54" s="1690"/>
      <c r="AH54" s="1690"/>
      <c r="AI54" s="1690"/>
      <c r="AJ54" s="1690"/>
      <c r="AK54" s="1690"/>
      <c r="AL54" s="1690"/>
      <c r="AM54" s="1690"/>
      <c r="AO54" s="1150"/>
      <c r="AP54" s="1150" t="str">
        <f>IF(T54="","",T54)</f>
        <v>Добавить источник для дифференциации</v>
      </c>
      <c r="AQ54" s="1150"/>
      <c r="AR54" s="1150"/>
    </row>
    <row s="19127" customFormat="1" customHeight="1" ht="0.75">
      <c r="A55" s="1709" t="s">
        <v>177</v>
      </c>
      <c r="B55" s="1709" t="s">
        <v>178</v>
      </c>
      <c r="C55" s="1680"/>
      <c r="D55" s="1680"/>
      <c r="E55" s="2528"/>
      <c r="F55" s="2527"/>
      <c r="G55" s="1680"/>
      <c r="H55" s="1680"/>
      <c r="I55" s="1680"/>
      <c r="J55" s="1680"/>
      <c r="K55" s="1680"/>
      <c r="L55" s="1705"/>
      <c r="M55" s="1687"/>
      <c r="N55" s="1687"/>
      <c r="P55" s="1682"/>
      <c r="Q55" s="1683"/>
      <c r="R55" s="1682"/>
      <c r="S55" s="1688"/>
      <c r="T55" s="1691" t="s">
        <v>251</v>
      </c>
      <c r="U55" s="1690"/>
      <c r="V55" s="1690"/>
      <c r="W55" s="1690"/>
      <c r="X55" s="1690"/>
      <c r="Y55" s="1690"/>
      <c r="Z55" s="1690"/>
      <c r="AA55" s="1690"/>
      <c r="AB55" s="1690"/>
      <c r="AC55" s="1690"/>
      <c r="AD55" s="1690"/>
      <c r="AE55" s="1690"/>
      <c r="AF55" s="1690"/>
      <c r="AG55" s="1690"/>
      <c r="AH55" s="1690"/>
      <c r="AI55" s="1690"/>
      <c r="AJ55" s="1690"/>
      <c r="AK55" s="1690"/>
      <c r="AL55" s="1690"/>
      <c r="AM55" s="1690"/>
      <c r="AO55" s="1150"/>
      <c r="AP55" s="1150" t="str">
        <f>IF(T55="","",T55)</f>
        <v>Добавить централизованную систему для дифференциации</v>
      </c>
      <c r="AQ55" s="1150"/>
      <c r="AR55" s="1150"/>
    </row>
    <row s="19219" customFormat="1" customHeight="1" ht="0.75">
      <c r="A56" s="1709" t="s">
        <v>177</v>
      </c>
      <c r="B56" s="1709"/>
      <c r="C56" s="1709"/>
      <c r="D56" s="1709"/>
      <c r="E56" s="2527"/>
      <c r="F56" s="1709"/>
      <c r="G56" s="1709"/>
      <c r="H56" s="1709"/>
      <c r="I56" s="1709"/>
      <c r="J56" s="1709"/>
      <c r="K56" s="1709"/>
      <c r="L56" s="1712"/>
      <c r="M56" s="1687"/>
      <c r="N56" s="1687"/>
      <c r="O56" s="879"/>
      <c r="P56" s="741"/>
      <c r="Q56" s="1710"/>
      <c r="R56" s="741"/>
      <c r="S56" s="1688"/>
      <c r="T56" s="1691" t="s">
        <v>252</v>
      </c>
      <c r="U56" s="1690"/>
      <c r="V56" s="1690"/>
      <c r="W56" s="1690"/>
      <c r="X56" s="1690"/>
      <c r="Y56" s="1690"/>
      <c r="Z56" s="1690"/>
      <c r="AA56" s="1690"/>
      <c r="AB56" s="1690"/>
      <c r="AC56" s="1690"/>
      <c r="AD56" s="1690"/>
      <c r="AE56" s="1690"/>
      <c r="AF56" s="1690"/>
      <c r="AG56" s="1690"/>
      <c r="AH56" s="1690"/>
      <c r="AI56" s="1690"/>
      <c r="AJ56" s="1690"/>
      <c r="AK56" s="1690"/>
      <c r="AL56" s="1690"/>
      <c r="AM56" s="1690"/>
      <c r="AO56" s="861"/>
      <c r="AP56" s="861" t="str">
        <f>IF(T56="","",T56)</f>
        <v>Добавить территорию для дифференциации</v>
      </c>
      <c r="AQ56" s="861"/>
      <c r="AR56" s="861"/>
    </row>
    <row s="19127" customFormat="1" customHeight="1" ht="0.75">
      <c r="A57" s="1680"/>
      <c r="B57" s="1680"/>
      <c r="C57" s="1680"/>
      <c r="D57" s="1680"/>
      <c r="E57" s="1709"/>
      <c r="F57" s="1680"/>
      <c r="G57" s="1680"/>
      <c r="H57" s="1680"/>
      <c r="I57" s="1680"/>
      <c r="J57" s="1680"/>
      <c r="K57" s="1680"/>
      <c r="L57" s="1705"/>
      <c r="M57" s="1687"/>
      <c r="N57" s="1687"/>
      <c r="P57" s="1682"/>
      <c r="Q57" s="1683"/>
      <c r="R57" s="1682"/>
      <c r="S57" s="1688"/>
      <c r="T57" s="1691" t="s">
        <v>253</v>
      </c>
      <c r="U57" s="1690"/>
      <c r="V57" s="1690"/>
      <c r="W57" s="1690"/>
      <c r="X57" s="1690"/>
      <c r="Y57" s="1690"/>
      <c r="Z57" s="1690"/>
      <c r="AA57" s="1690"/>
      <c r="AB57" s="1690"/>
      <c r="AC57" s="1690"/>
      <c r="AD57" s="1690"/>
      <c r="AE57" s="1690"/>
      <c r="AF57" s="1690"/>
      <c r="AG57" s="1690"/>
      <c r="AH57" s="1690"/>
      <c r="AI57" s="1690"/>
      <c r="AJ57" s="1690"/>
      <c r="AK57" s="1690"/>
      <c r="AL57" s="1690"/>
      <c r="AM57" s="1690"/>
      <c r="AO57" s="1150"/>
      <c r="AP57" s="1150" t="str">
        <f>IF(T57="","",T57)</f>
        <v>Добавить наименование тарифа</v>
      </c>
      <c r="AQ57" s="1150"/>
      <c r="AR57" s="1150"/>
    </row>
    <row customHeight="1" ht="11.25">
      <c r="M58" s="1523"/>
      <c r="N58" s="1523"/>
      <c r="O58" s="898"/>
      <c r="P58" s="1518"/>
      <c r="Q58" s="1518"/>
      <c r="R58" s="1518"/>
      <c r="S58" s="1518"/>
      <c r="AN58" s="1518"/>
      <c r="AO58" s="1518"/>
      <c r="AP58" s="1518"/>
      <c r="AQ58" s="1518"/>
      <c r="AR58" s="1518"/>
    </row>
    <row customHeight="1" ht="21.75">
      <c r="O59" s="898"/>
      <c r="S59" s="1618"/>
      <c r="T59" s="2526"/>
      <c r="U59" s="2526"/>
      <c r="V59" s="2526"/>
      <c r="W59" s="2526"/>
      <c r="X59" s="2526"/>
      <c r="Y59" s="2526"/>
      <c r="Z59" s="2526"/>
      <c r="AA59" s="2526"/>
      <c r="AB59" s="2526"/>
      <c r="AC59" s="2526"/>
      <c r="AD59" s="2526"/>
      <c r="AE59" s="2526"/>
      <c r="AF59" s="2526"/>
      <c r="AG59" s="2526"/>
      <c r="AH59" s="2526"/>
      <c r="AI59" s="2526"/>
      <c r="AJ59" s="2526"/>
      <c r="AK59" s="2526"/>
      <c r="AL59" s="2526"/>
      <c r="AM59" s="2526"/>
    </row>
    <row customHeight="1" ht="29.25">
      <c r="O60" s="898"/>
      <c r="T60" s="2526"/>
      <c r="U60" s="2526"/>
      <c r="V60" s="2526"/>
      <c r="W60" s="2526"/>
      <c r="X60" s="2526"/>
      <c r="Y60" s="2526"/>
      <c r="Z60" s="2526"/>
      <c r="AA60" s="2526"/>
      <c r="AB60" s="2526"/>
      <c r="AC60" s="2526"/>
      <c r="AD60" s="2526"/>
      <c r="AE60" s="2526"/>
      <c r="AF60" s="2526"/>
      <c r="AG60" s="2526"/>
      <c r="AH60" s="2526"/>
      <c r="AI60" s="2526"/>
      <c r="AJ60" s="2526"/>
      <c r="AK60" s="2526"/>
      <c r="AL60" s="2526"/>
      <c r="AM60" s="2526"/>
    </row>
    <row customHeight="1" ht="39.75">
      <c r="O61" s="898"/>
      <c r="T61" s="2526"/>
      <c r="U61" s="2526"/>
      <c r="V61" s="2526"/>
      <c r="W61" s="2526"/>
      <c r="X61" s="2526"/>
      <c r="Y61" s="2526"/>
      <c r="Z61" s="2526"/>
      <c r="AA61" s="2526"/>
      <c r="AB61" s="2526"/>
      <c r="AC61" s="2526"/>
      <c r="AD61" s="2526"/>
      <c r="AE61" s="2526"/>
      <c r="AF61" s="2526"/>
      <c r="AG61" s="2526"/>
      <c r="AH61" s="2526"/>
      <c r="AI61" s="2526"/>
      <c r="AJ61" s="2526"/>
      <c r="AK61" s="2526"/>
      <c r="AL61" s="2526"/>
      <c r="AM61" s="2526"/>
    </row>
    <row customHeight="1" ht="14.25">
      <c r="O62" s="898"/>
    </row>
    <row customHeight="1" ht="19.5">
      <c r="O63" s="898"/>
      <c r="S63" s="1618"/>
      <c r="T63" s="2572"/>
      <c r="U63" s="2526"/>
      <c r="V63" s="2526"/>
      <c r="W63" s="2526"/>
      <c r="X63" s="2526"/>
      <c r="Y63" s="2526"/>
      <c r="Z63" s="2526"/>
      <c r="AA63" s="2526"/>
      <c r="AB63" s="2526"/>
      <c r="AC63" s="2526"/>
      <c r="AD63" s="2526"/>
      <c r="AE63" s="2526"/>
      <c r="AF63" s="2526"/>
      <c r="AG63" s="2526"/>
      <c r="AH63" s="2526"/>
      <c r="AI63" s="2526"/>
      <c r="AJ63" s="2526"/>
      <c r="AK63" s="2526"/>
      <c r="AL63" s="2526"/>
      <c r="AM63" s="2526"/>
    </row>
    <row customHeight="1" ht="27.75">
      <c r="O64" s="898"/>
      <c r="T64" s="2526"/>
      <c r="U64" s="2526"/>
      <c r="V64" s="2526"/>
      <c r="W64" s="2526"/>
      <c r="X64" s="2526"/>
      <c r="Y64" s="2526"/>
      <c r="Z64" s="2526"/>
      <c r="AA64" s="2526"/>
      <c r="AB64" s="2526"/>
      <c r="AC64" s="2526"/>
      <c r="AD64" s="2526"/>
      <c r="AE64" s="2526"/>
      <c r="AF64" s="2526"/>
      <c r="AG64" s="2526"/>
      <c r="AH64" s="2526"/>
      <c r="AI64" s="2526"/>
      <c r="AJ64" s="2526"/>
      <c r="AK64" s="2526"/>
      <c r="AL64" s="2526"/>
      <c r="AM64" s="2526"/>
    </row>
    <row customHeight="1" ht="33.75">
      <c r="T65" s="2526"/>
      <c r="U65" s="2526"/>
      <c r="V65" s="2526"/>
      <c r="W65" s="2526"/>
      <c r="X65" s="2526"/>
      <c r="Y65" s="2526"/>
      <c r="Z65" s="2526"/>
      <c r="AA65" s="2526"/>
      <c r="AB65" s="2526"/>
      <c r="AC65" s="2526"/>
      <c r="AD65" s="2526"/>
      <c r="AE65" s="2526"/>
      <c r="AF65" s="2526"/>
      <c r="AG65" s="2526"/>
      <c r="AH65" s="2526"/>
      <c r="AI65" s="2526"/>
      <c r="AJ65" s="2526"/>
      <c r="AK65" s="2526"/>
      <c r="AL65" s="2526"/>
      <c r="AM65" s="2526"/>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D99233-CE1B-40F3-C475-8ADA334C91B7}"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19146" width="10.57421875" hidden="1"/>
    <col min="2" max="2" style="19146" width="11.00390625" hidden="1" customWidth="1"/>
    <col min="3" max="3" style="19146" width="10.57421875" hidden="1"/>
    <col min="4" max="4" style="19146" width="11.8515625" hidden="1" customWidth="1"/>
    <col min="5" max="5" style="19146" width="10.00390625" hidden="1" customWidth="1"/>
    <col min="6" max="6" style="19146" width="8.7109375" hidden="1" customWidth="1"/>
    <col min="7" max="7" style="19146" width="7.57421875" hidden="1" customWidth="1"/>
    <col min="8" max="8" style="19146" width="11.421875" hidden="1" customWidth="1"/>
    <col min="9" max="9" style="19146" width="12.00390625" hidden="1" customWidth="1"/>
    <col min="10" max="10" style="19146" width="9.8515625" hidden="1" customWidth="1"/>
    <col min="11" max="11" style="19146" width="11.421875" hidden="1" customWidth="1"/>
    <col min="12" max="12" style="19227" width="19.140625" hidden="1" customWidth="1"/>
    <col min="13" max="14" style="19228" width="12.28125" hidden="1" customWidth="1"/>
    <col min="15" max="15" style="19228" width="23.421875" hidden="1" customWidth="1"/>
    <col min="16" max="16" style="19240" width="3.7109375" hidden="1" customWidth="1"/>
    <col min="17" max="18" style="19230" width="3.7109375" customWidth="1"/>
    <col min="19" max="19" style="19231" width="12.7109375" customWidth="1"/>
    <col min="20" max="20" style="19232" width="32.00390625" customWidth="1"/>
    <col min="21" max="21" style="19232" width="0.140625" customWidth="1"/>
    <col min="22" max="22" style="19232" width="24.7109375" hidden="1" customWidth="1"/>
    <col min="23" max="23" style="19232" width="0.140625" hidden="1" customWidth="1"/>
    <col min="24" max="25" style="19232" width="24.7109375" hidden="1" customWidth="1"/>
    <col min="26" max="26" style="19232" width="11.7109375" hidden="1" customWidth="1"/>
    <col min="27" max="27" style="19232" width="3.7109375" hidden="1" customWidth="1"/>
    <col min="28" max="28" style="19232" width="11.7109375" hidden="1" customWidth="1"/>
    <col min="29" max="29" style="19232" width="8.57421875" hidden="1" customWidth="1"/>
    <col min="30" max="30" style="19232" width="24.7109375" customWidth="1"/>
    <col min="31" max="31" style="19232" width="0.140625" customWidth="1"/>
    <col min="32" max="33" style="19232" width="24.7109375" customWidth="1"/>
    <col min="34" max="34" style="19232" width="11.7109375" customWidth="1"/>
    <col min="35" max="35" style="19232" width="3.7109375" customWidth="1"/>
    <col min="36" max="36" style="19232" width="11.7109375" customWidth="1"/>
    <col min="37" max="37" style="19232" width="8.57421875" hidden="1" customWidth="1"/>
    <col min="38" max="38" style="19232" width="4.7109375" customWidth="1"/>
    <col min="39" max="39" style="19232" width="115.7109375" customWidth="1"/>
    <col min="40" max="41" style="19219" width="10.57421875"/>
    <col min="42" max="42" style="19219" width="11.140625" customWidth="1"/>
    <col min="43" max="44" style="19219" width="10.57421875"/>
  </cols>
  <sheetData>
    <row customHeight="1" ht="14.25" hidden="1">
      <c r="Y1" s="688"/>
      <c r="Z1" s="688"/>
      <c r="AG1" s="688"/>
      <c r="AH1" s="688"/>
    </row>
    <row customHeight="1" ht="21" hidden="1">
      <c r="A2" s="1729"/>
      <c r="B2" s="1729"/>
      <c r="C2" s="1729"/>
      <c r="D2" s="1729"/>
      <c r="E2" s="2527">
        <v>1</v>
      </c>
      <c r="F2" s="1729"/>
      <c r="G2" s="1729"/>
      <c r="H2" s="1729"/>
      <c r="I2" s="1729"/>
      <c r="J2" s="1729"/>
      <c r="K2" s="1729"/>
      <c r="L2" s="1730"/>
      <c r="M2" s="1731"/>
      <c r="N2" s="1731"/>
      <c r="O2" s="1731"/>
      <c r="P2" s="722"/>
      <c r="Q2" s="721"/>
      <c r="R2" s="716"/>
      <c r="S2" s="1702">
        <f>INDEX(PT_DIFFERENTIATION_NUM_NTAR,MATCH(A2,PT_DIFFERENTIATION_NTAR_ID,0))</f>
      </c>
      <c r="T2" s="659" t="s">
        <v>120</v>
      </c>
      <c r="U2" s="661"/>
      <c r="V2" s="2521"/>
      <c r="W2" s="2522"/>
      <c r="X2" s="2522"/>
      <c r="Y2" s="2522"/>
      <c r="Z2" s="2522"/>
      <c r="AA2" s="2522"/>
      <c r="AB2" s="2522"/>
      <c r="AC2" s="2523"/>
      <c r="AD2" s="2521">
        <f>INDEX(PT_DIFFERENTIATION_NTAR,MATCH(A2,PT_DIFFERENTIATION_NTAR_ID,0))</f>
      </c>
      <c r="AE2" s="2522"/>
      <c r="AF2" s="2522"/>
      <c r="AG2" s="2522"/>
      <c r="AH2" s="2522"/>
      <c r="AI2" s="2522"/>
      <c r="AJ2" s="2522"/>
      <c r="AK2" s="2522"/>
      <c r="AL2" s="2523"/>
      <c r="AM2" s="1623" t="s">
        <v>396</v>
      </c>
      <c r="AO2" s="861"/>
      <c r="AP2" s="861" t="str">
        <f>IF(T2="","",T2)</f>
        <v>Наименование тарифа</v>
      </c>
      <c r="AQ2" s="861"/>
      <c r="AR2" s="861"/>
    </row>
    <row customHeight="1" ht="21" hidden="1">
      <c r="A3" s="1729"/>
      <c r="B3" s="1729"/>
      <c r="C3" s="1729"/>
      <c r="D3" s="1729"/>
      <c r="E3" s="2528"/>
      <c r="F3" s="2527">
        <v>1</v>
      </c>
      <c r="G3" s="1729"/>
      <c r="H3" s="1729"/>
      <c r="I3" s="1729"/>
      <c r="J3" s="1729"/>
      <c r="K3" s="1729"/>
      <c r="L3" s="1730"/>
      <c r="M3" s="1731"/>
      <c r="N3" s="1731"/>
      <c r="O3" s="1731"/>
      <c r="P3" s="1698"/>
      <c r="Q3" s="713"/>
      <c r="R3" s="714"/>
      <c r="S3" s="1702">
        <f>INDEX(PT_DIFFERENTIATION_NUM_TER,MATCH(B3,PT_DIFFERENTIATION_TER_ID,0))</f>
      </c>
      <c r="T3" s="669" t="s">
        <v>397</v>
      </c>
      <c r="U3" s="661"/>
      <c r="V3" s="2521"/>
      <c r="W3" s="2522"/>
      <c r="X3" s="2522"/>
      <c r="Y3" s="2522"/>
      <c r="Z3" s="2522"/>
      <c r="AA3" s="2522"/>
      <c r="AB3" s="2522"/>
      <c r="AC3" s="2523"/>
      <c r="AD3" s="2521">
        <f>INDEX(PT_DIFFERENTIATION_TER,MATCH(B3,PT_DIFFERENTIATION_TER_ID,0))</f>
      </c>
      <c r="AE3" s="2522"/>
      <c r="AF3" s="2522"/>
      <c r="AG3" s="2522"/>
      <c r="AH3" s="2522"/>
      <c r="AI3" s="2522"/>
      <c r="AJ3" s="2522"/>
      <c r="AK3" s="2522"/>
      <c r="AL3" s="2523"/>
      <c r="AM3" s="1623" t="s">
        <v>398</v>
      </c>
      <c r="AO3" s="861"/>
      <c r="AP3" s="861" t="str">
        <f>IF(T3="","",T3)</f>
        <v>Территория действия тарифа</v>
      </c>
      <c r="AQ3" s="861"/>
      <c r="AR3" s="861"/>
    </row>
    <row customHeight="1" ht="23.25" hidden="1">
      <c r="A4" s="1729"/>
      <c r="B4" s="1729"/>
      <c r="C4" s="1729"/>
      <c r="D4" s="1729"/>
      <c r="E4" s="2528"/>
      <c r="F4" s="2528"/>
      <c r="G4" s="2527">
        <v>1</v>
      </c>
      <c r="H4" s="1729"/>
      <c r="I4" s="1729"/>
      <c r="J4" s="1729"/>
      <c r="K4" s="1729"/>
      <c r="L4" s="1730"/>
      <c r="M4" s="1731"/>
      <c r="N4" s="1731"/>
      <c r="O4" s="1731"/>
      <c r="P4" s="715"/>
      <c r="Q4" s="713"/>
      <c r="R4" s="714"/>
      <c r="S4" s="1702">
        <f>INDEX(PT_DIFFERENTIATION_NUM_CS,MATCH(C4,PT_DIFFERENTIATION_CS_ID,0))</f>
      </c>
      <c r="T4" s="670" t="s">
        <v>399</v>
      </c>
      <c r="U4" s="661"/>
      <c r="V4" s="2521"/>
      <c r="W4" s="2522"/>
      <c r="X4" s="2522"/>
      <c r="Y4" s="2522"/>
      <c r="Z4" s="2522"/>
      <c r="AA4" s="2522"/>
      <c r="AB4" s="2522"/>
      <c r="AC4" s="2523"/>
      <c r="AD4" s="2521">
        <f>INDEX(PT_DIFFERENTIATION_CS,MATCH(C4,PT_DIFFERENTIATION_CS_ID,0))</f>
      </c>
      <c r="AE4" s="2522"/>
      <c r="AF4" s="2522"/>
      <c r="AG4" s="2522"/>
      <c r="AH4" s="2522"/>
      <c r="AI4" s="2522"/>
      <c r="AJ4" s="2522"/>
      <c r="AK4" s="2522"/>
      <c r="AL4" s="2523"/>
      <c r="AM4" s="1623" t="s">
        <v>400</v>
      </c>
      <c r="AO4" s="861"/>
      <c r="AP4" s="861" t="str">
        <f>IF(T4="","",T4)</f>
        <v>Наименование системы теплоснабжения </v>
      </c>
      <c r="AQ4" s="861"/>
      <c r="AR4" s="861"/>
    </row>
    <row customHeight="1" ht="21" hidden="1">
      <c r="A5" s="1729"/>
      <c r="B5" s="1729"/>
      <c r="C5" s="1729"/>
      <c r="D5" s="1729"/>
      <c r="E5" s="2528"/>
      <c r="F5" s="2528"/>
      <c r="G5" s="2528"/>
      <c r="H5" s="2527">
        <v>1</v>
      </c>
      <c r="I5" s="1729"/>
      <c r="J5" s="1729"/>
      <c r="K5" s="1729"/>
      <c r="L5" s="1730"/>
      <c r="M5" s="1731"/>
      <c r="N5" s="1731"/>
      <c r="O5" s="1731"/>
      <c r="P5" s="715"/>
      <c r="Q5" s="713"/>
      <c r="R5" s="714"/>
      <c r="S5" s="1702">
        <f>INDEX(PT_DIFFERENTIATION_NUM_IST_TE,MATCH(D5,PT_DIFFERENTIATION_IST_TE_ID,0))</f>
      </c>
      <c r="T5" s="671" t="s">
        <v>401</v>
      </c>
      <c r="U5" s="661"/>
      <c r="V5" s="2521"/>
      <c r="W5" s="2522"/>
      <c r="X5" s="2522"/>
      <c r="Y5" s="2522"/>
      <c r="Z5" s="2522"/>
      <c r="AA5" s="2522"/>
      <c r="AB5" s="2522"/>
      <c r="AC5" s="2523"/>
      <c r="AD5" s="2521">
        <f>INDEX(PT_DIFFERENTIATION_IST_TE,MATCH(D5,PT_DIFFERENTIATION_IST_TE_ID,0))</f>
      </c>
      <c r="AE5" s="2522"/>
      <c r="AF5" s="2522"/>
      <c r="AG5" s="2522"/>
      <c r="AH5" s="2522"/>
      <c r="AI5" s="2522"/>
      <c r="AJ5" s="2522"/>
      <c r="AK5" s="2522"/>
      <c r="AL5" s="2523"/>
      <c r="AM5" s="1623" t="s">
        <v>402</v>
      </c>
      <c r="AO5" s="861"/>
      <c r="AP5" s="861" t="str">
        <f>IF(T5="","",T5)</f>
        <v>Источник тепловой энергии  </v>
      </c>
      <c r="AQ5" s="861"/>
      <c r="AR5" s="861"/>
    </row>
    <row customHeight="1" ht="14.25" hidden="1">
      <c r="A6" s="1729"/>
      <c r="B6" s="1729"/>
      <c r="C6" s="1729"/>
      <c r="D6" s="1729"/>
      <c r="E6" s="2528"/>
      <c r="F6" s="2528"/>
      <c r="G6" s="2528"/>
      <c r="H6" s="2528"/>
      <c r="I6" s="2529">
        <f>S5&amp;".1"</f>
      </c>
      <c r="J6" s="1729"/>
      <c r="K6" s="1729"/>
      <c r="L6" s="1730" t="s">
        <v>403</v>
      </c>
      <c r="M6" s="898"/>
      <c r="P6" s="2531">
        <v>1</v>
      </c>
      <c r="Q6" s="1697"/>
      <c r="R6" s="717"/>
      <c r="S6" s="1404"/>
      <c r="T6" s="1749"/>
      <c r="U6" s="1750"/>
      <c r="V6" s="2569"/>
      <c r="W6" s="2570"/>
      <c r="X6" s="2570"/>
      <c r="Y6" s="2570"/>
      <c r="Z6" s="2570"/>
      <c r="AA6" s="2570"/>
      <c r="AB6" s="2570"/>
      <c r="AC6" s="2571"/>
      <c r="AD6" s="2569"/>
      <c r="AE6" s="2570"/>
      <c r="AF6" s="2570"/>
      <c r="AG6" s="2570"/>
      <c r="AH6" s="2570"/>
      <c r="AI6" s="2570"/>
      <c r="AJ6" s="2570"/>
      <c r="AK6" s="2570"/>
      <c r="AL6" s="2571"/>
      <c r="AM6" s="1751"/>
      <c r="AO6" s="861"/>
      <c r="AP6" s="861" t="str">
        <f>IF(T6="","",T6)</f>
        <v/>
      </c>
      <c r="AQ6" s="861"/>
      <c r="AR6" s="861"/>
    </row>
    <row customHeight="1" ht="21" hidden="1">
      <c r="A7" s="1729"/>
      <c r="B7" s="1729"/>
      <c r="C7" s="1729"/>
      <c r="D7" s="1729"/>
      <c r="E7" s="2528"/>
      <c r="F7" s="2528"/>
      <c r="G7" s="2528"/>
      <c r="H7" s="2528"/>
      <c r="I7" s="2530"/>
      <c r="J7" s="2529">
        <f>I6&amp;".1"</f>
      </c>
      <c r="K7" s="1729"/>
      <c r="L7" s="1730" t="s">
        <v>406</v>
      </c>
      <c r="M7" s="898"/>
      <c r="N7" s="1732"/>
      <c r="P7" s="2531"/>
      <c r="Q7" s="2531">
        <v>1</v>
      </c>
      <c r="R7" s="718"/>
      <c r="S7" s="1702">
        <f>$J7</f>
      </c>
      <c r="T7" s="647" t="s">
        <v>407</v>
      </c>
      <c r="U7" s="661"/>
      <c r="V7" s="2515"/>
      <c r="W7" s="2516"/>
      <c r="X7" s="2516"/>
      <c r="Y7" s="2516"/>
      <c r="Z7" s="2516"/>
      <c r="AA7" s="2516"/>
      <c r="AB7" s="2516"/>
      <c r="AC7" s="2517"/>
      <c r="AD7" s="2515"/>
      <c r="AE7" s="2516"/>
      <c r="AF7" s="2516"/>
      <c r="AG7" s="2516"/>
      <c r="AH7" s="2516"/>
      <c r="AI7" s="2516"/>
      <c r="AJ7" s="2516"/>
      <c r="AK7" s="2516"/>
      <c r="AL7" s="2517"/>
      <c r="AM7" s="1623" t="s">
        <v>408</v>
      </c>
      <c r="AO7" s="861"/>
      <c r="AP7" s="861" t="str">
        <f>IF(T7="","",T7)</f>
        <v>Группа потребителей</v>
      </c>
      <c r="AQ7" s="861"/>
      <c r="AR7" s="861"/>
    </row>
    <row customHeight="1" ht="21" hidden="1">
      <c r="A8" s="1729"/>
      <c r="B8" s="1729"/>
      <c r="C8" s="1729"/>
      <c r="D8" s="1729"/>
      <c r="E8" s="2528"/>
      <c r="F8" s="2528"/>
      <c r="G8" s="2528"/>
      <c r="H8" s="2528"/>
      <c r="I8" s="2530"/>
      <c r="J8" s="2530"/>
      <c r="K8" s="2529">
        <f>J7&amp;".1"</f>
      </c>
      <c r="L8" s="1730" t="s">
        <v>409</v>
      </c>
      <c r="M8" s="898"/>
      <c r="N8" s="1732"/>
      <c r="O8" s="1732"/>
      <c r="P8" s="2531"/>
      <c r="Q8" s="2531"/>
      <c r="R8" s="718">
        <v>1</v>
      </c>
      <c r="S8" s="1702">
        <f>$K8</f>
      </c>
      <c r="T8" s="1713"/>
      <c r="U8" s="661"/>
      <c r="V8" s="1112"/>
      <c r="W8" s="686"/>
      <c r="X8" s="1112"/>
      <c r="Y8" s="1622"/>
      <c r="Z8" s="2532"/>
      <c r="AA8" s="2402" t="s">
        <v>59</v>
      </c>
      <c r="AB8" s="2532"/>
      <c r="AC8" s="2402" t="s">
        <v>59</v>
      </c>
      <c r="AD8" s="1112"/>
      <c r="AE8" s="686"/>
      <c r="AF8" s="1112"/>
      <c r="AG8" s="1622"/>
      <c r="AH8" s="2532"/>
      <c r="AI8" s="2402" t="s">
        <v>59</v>
      </c>
      <c r="AJ8" s="2532"/>
      <c r="AK8" s="2402" t="s">
        <v>59</v>
      </c>
      <c r="AL8" s="686"/>
      <c r="AM8" s="2557" t="s">
        <v>410</v>
      </c>
      <c r="AN8" s="872">
        <f>STRCHECKDATE(V9:AL9)</f>
      </c>
      <c r="AO8" s="861"/>
      <c r="AP8" s="861" t="str">
        <f>IF(T8="","",T8)</f>
        <v/>
      </c>
      <c r="AQ8" s="861"/>
      <c r="AR8" s="861"/>
    </row>
    <row customHeight="1" ht="14.25" hidden="1">
      <c r="A9" s="1729"/>
      <c r="B9" s="1729"/>
      <c r="C9" s="1729"/>
      <c r="D9" s="1729"/>
      <c r="E9" s="2528"/>
      <c r="F9" s="2528"/>
      <c r="G9" s="2528"/>
      <c r="H9" s="2528"/>
      <c r="I9" s="2530"/>
      <c r="J9" s="2530"/>
      <c r="K9" s="2529"/>
      <c r="L9" s="1730"/>
      <c r="M9" s="898"/>
      <c r="N9" s="1732"/>
      <c r="O9" s="1732"/>
      <c r="P9" s="2531"/>
      <c r="Q9" s="2531"/>
      <c r="R9" s="718"/>
      <c r="S9" s="1708"/>
      <c r="T9" s="661"/>
      <c r="U9" s="661"/>
      <c r="V9" s="686"/>
      <c r="W9" s="686"/>
      <c r="X9" s="686"/>
      <c r="Y9" s="689" t="str">
        <f>Z8&amp;"-"&amp;AB8</f>
        <v>-</v>
      </c>
      <c r="Z9" s="2533"/>
      <c r="AA9" s="2402"/>
      <c r="AB9" s="2533"/>
      <c r="AC9" s="2402"/>
      <c r="AD9" s="686"/>
      <c r="AE9" s="686"/>
      <c r="AF9" s="686"/>
      <c r="AG9" s="689" t="str">
        <f>AH8&amp;"-"&amp;AJ8</f>
        <v>-</v>
      </c>
      <c r="AH9" s="2533"/>
      <c r="AI9" s="2402"/>
      <c r="AJ9" s="2533"/>
      <c r="AK9" s="2402"/>
      <c r="AL9" s="686"/>
      <c r="AM9" s="2558"/>
      <c r="AO9" s="861"/>
      <c r="AP9" s="861" t="str">
        <f>IF(T9="","",T9)</f>
        <v/>
      </c>
      <c r="AQ9" s="861"/>
      <c r="AR9" s="861"/>
    </row>
    <row customHeight="1" ht="15" hidden="1">
      <c r="A10" s="1729"/>
      <c r="B10" s="1729"/>
      <c r="C10" s="1729"/>
      <c r="D10" s="1729"/>
      <c r="E10" s="2528"/>
      <c r="F10" s="2528"/>
      <c r="G10" s="2528"/>
      <c r="H10" s="2528"/>
      <c r="I10" s="2530"/>
      <c r="J10" s="2529"/>
      <c r="K10" s="1729"/>
      <c r="L10" s="1730"/>
      <c r="M10" s="898"/>
      <c r="N10" s="1732"/>
      <c r="P10" s="2531"/>
      <c r="Q10" s="2531"/>
      <c r="R10" s="717"/>
      <c r="S10" s="1644"/>
      <c r="T10" s="648" t="s">
        <v>411</v>
      </c>
      <c r="U10" s="728"/>
      <c r="V10" s="728"/>
      <c r="W10" s="728"/>
      <c r="X10" s="728"/>
      <c r="Y10" s="728"/>
      <c r="Z10" s="728"/>
      <c r="AA10" s="728"/>
      <c r="AB10" s="728"/>
      <c r="AC10" s="728"/>
      <c r="AD10" s="728"/>
      <c r="AE10" s="728"/>
      <c r="AF10" s="728"/>
      <c r="AG10" s="728"/>
      <c r="AH10" s="728"/>
      <c r="AI10" s="728"/>
      <c r="AJ10" s="728"/>
      <c r="AK10" s="728"/>
      <c r="AL10" s="685"/>
      <c r="AM10" s="2559"/>
      <c r="AO10" s="861"/>
      <c r="AP10" s="861" t="str">
        <f>IF(T10="","",T10)</f>
        <v>Добавить вид теплоносителя (параметры теплоносителя)</v>
      </c>
      <c r="AQ10" s="861"/>
      <c r="AR10" s="861"/>
    </row>
    <row customHeight="1" ht="11.25" hidden="1">
      <c r="A11" s="1729"/>
      <c r="B11" s="1729"/>
      <c r="C11" s="1729"/>
      <c r="D11" s="1729"/>
      <c r="E11" s="2528"/>
      <c r="F11" s="2528"/>
      <c r="G11" s="2528"/>
      <c r="H11" s="2528"/>
      <c r="I11" s="2529"/>
      <c r="J11" s="1729"/>
      <c r="K11" s="1729"/>
      <c r="L11" s="1730"/>
      <c r="M11" s="898"/>
      <c r="P11" s="2531"/>
      <c r="Q11" s="1697"/>
      <c r="R11" s="717"/>
      <c r="S11" s="1644"/>
      <c r="T11" s="726" t="s">
        <v>412</v>
      </c>
      <c r="U11" s="728"/>
      <c r="V11" s="728"/>
      <c r="W11" s="728"/>
      <c r="X11" s="728"/>
      <c r="Y11" s="728"/>
      <c r="Z11" s="728"/>
      <c r="AA11" s="728"/>
      <c r="AB11" s="728"/>
      <c r="AC11" s="727"/>
      <c r="AD11" s="728"/>
      <c r="AE11" s="728"/>
      <c r="AF11" s="728"/>
      <c r="AG11" s="728"/>
      <c r="AH11" s="728"/>
      <c r="AI11" s="728"/>
      <c r="AJ11" s="728"/>
      <c r="AK11" s="727"/>
      <c r="AL11" s="728"/>
      <c r="AM11" s="664"/>
      <c r="AO11" s="861"/>
      <c r="AP11" s="861" t="str">
        <f>IF(T11="","",T11)</f>
        <v>Добавить группу потребителей</v>
      </c>
      <c r="AQ11" s="861"/>
      <c r="AR11" s="861"/>
    </row>
    <row customHeight="1" ht="14.25" hidden="1">
      <c r="A12" s="1729"/>
      <c r="B12" s="1729"/>
      <c r="C12" s="1729"/>
      <c r="D12" s="1729"/>
      <c r="E12" s="2528"/>
      <c r="F12" s="2528"/>
      <c r="G12" s="2528"/>
      <c r="H12" s="2527"/>
      <c r="I12" s="1729"/>
      <c r="J12" s="1729"/>
      <c r="K12" s="1729"/>
      <c r="L12" s="1730"/>
      <c r="M12" s="1731"/>
      <c r="N12" s="1731"/>
      <c r="O12" s="898"/>
      <c r="P12" s="721"/>
      <c r="Q12" s="736"/>
      <c r="R12" s="716"/>
      <c r="S12" s="1752"/>
      <c r="T12" s="1753"/>
      <c r="U12" s="1754"/>
      <c r="V12" s="1754"/>
      <c r="W12" s="1754"/>
      <c r="X12" s="1754"/>
      <c r="Y12" s="1754"/>
      <c r="Z12" s="1754"/>
      <c r="AA12" s="1754"/>
      <c r="AB12" s="1754"/>
      <c r="AC12" s="1754"/>
      <c r="AD12" s="1754"/>
      <c r="AE12" s="1754"/>
      <c r="AF12" s="1754"/>
      <c r="AG12" s="1754"/>
      <c r="AH12" s="1754"/>
      <c r="AI12" s="1754"/>
      <c r="AJ12" s="1754"/>
      <c r="AK12" s="1754"/>
      <c r="AL12" s="1754"/>
      <c r="AM12" s="1755"/>
      <c r="AO12" s="861"/>
      <c r="AP12" s="861" t="str">
        <f>IF(T12="","",T12)</f>
        <v/>
      </c>
      <c r="AQ12" s="861"/>
      <c r="AR12" s="861"/>
    </row>
    <row s="19127" customFormat="1" customHeight="1" ht="14.25" hidden="1">
      <c r="A13" s="1680"/>
      <c r="B13" s="1680"/>
      <c r="C13" s="1680"/>
      <c r="D13" s="1680"/>
      <c r="E13" s="2528"/>
      <c r="F13" s="2528"/>
      <c r="G13" s="2527"/>
      <c r="H13" s="1680"/>
      <c r="I13" s="1680"/>
      <c r="J13" s="1680"/>
      <c r="K13" s="1680"/>
      <c r="L13" s="1705"/>
      <c r="M13" s="1681"/>
      <c r="N13" s="1681"/>
      <c r="P13" s="1682"/>
      <c r="Q13" s="1683"/>
      <c r="R13" s="1682"/>
      <c r="S13" s="1684"/>
      <c r="T13" s="1685" t="s">
        <v>414</v>
      </c>
      <c r="U13" s="1686"/>
      <c r="V13" s="1686"/>
      <c r="W13" s="1686"/>
      <c r="X13" s="1686"/>
      <c r="Y13" s="1686"/>
      <c r="Z13" s="1686"/>
      <c r="AA13" s="1686"/>
      <c r="AB13" s="1686"/>
      <c r="AC13" s="1686"/>
      <c r="AD13" s="1686"/>
      <c r="AE13" s="1686"/>
      <c r="AF13" s="1686"/>
      <c r="AG13" s="1686"/>
      <c r="AH13" s="1686"/>
      <c r="AI13" s="1686"/>
      <c r="AJ13" s="1686"/>
      <c r="AK13" s="1686"/>
      <c r="AL13" s="1686"/>
      <c r="AM13" s="1686"/>
      <c r="AO13" s="1150"/>
      <c r="AP13" s="1150" t="str">
        <f>IF(T13="","",T13)</f>
        <v>Добавить источник для дифференциации</v>
      </c>
      <c r="AQ13" s="1150"/>
      <c r="AR13" s="1150"/>
    </row>
    <row s="19127" customFormat="1" customHeight="1" ht="14.25" hidden="1">
      <c r="A14" s="1680"/>
      <c r="B14" s="1680"/>
      <c r="C14" s="1680"/>
      <c r="D14" s="1680"/>
      <c r="E14" s="2528"/>
      <c r="F14" s="2527"/>
      <c r="G14" s="1680"/>
      <c r="H14" s="1680"/>
      <c r="I14" s="1680"/>
      <c r="J14" s="1680"/>
      <c r="K14" s="1680"/>
      <c r="L14" s="1705"/>
      <c r="M14" s="1687"/>
      <c r="N14" s="1687"/>
      <c r="P14" s="1682"/>
      <c r="Q14" s="1683"/>
      <c r="R14" s="1682"/>
      <c r="S14" s="1688"/>
      <c r="T14" s="1689" t="s">
        <v>251</v>
      </c>
      <c r="U14" s="1690"/>
      <c r="V14" s="1690"/>
      <c r="W14" s="1690"/>
      <c r="X14" s="1690"/>
      <c r="Y14" s="1690"/>
      <c r="Z14" s="1690"/>
      <c r="AA14" s="1690"/>
      <c r="AB14" s="1690"/>
      <c r="AC14" s="1690"/>
      <c r="AD14" s="1690"/>
      <c r="AE14" s="1690"/>
      <c r="AF14" s="1690"/>
      <c r="AG14" s="1690"/>
      <c r="AH14" s="1690"/>
      <c r="AI14" s="1690"/>
      <c r="AJ14" s="1690"/>
      <c r="AK14" s="1690"/>
      <c r="AL14" s="1690"/>
      <c r="AM14" s="1690"/>
      <c r="AO14" s="1150"/>
      <c r="AP14" s="1150" t="str">
        <f>IF(T14="","",T14)</f>
        <v>Добавить централизованную систему для дифференциации</v>
      </c>
      <c r="AQ14" s="1150"/>
      <c r="AR14" s="1150"/>
    </row>
    <row s="19127" customFormat="1" customHeight="1" ht="14.25" hidden="1">
      <c r="A15" s="1680"/>
      <c r="B15" s="1680"/>
      <c r="C15" s="1680"/>
      <c r="D15" s="1680"/>
      <c r="E15" s="2527"/>
      <c r="F15" s="1680"/>
      <c r="G15" s="1680"/>
      <c r="H15" s="1680"/>
      <c r="I15" s="1680"/>
      <c r="J15" s="1680"/>
      <c r="K15" s="1680"/>
      <c r="L15" s="1705"/>
      <c r="M15" s="1687"/>
      <c r="N15" s="1687"/>
      <c r="P15" s="1682"/>
      <c r="Q15" s="1683"/>
      <c r="R15" s="1682"/>
      <c r="S15" s="1688"/>
      <c r="T15" s="1691" t="s">
        <v>252</v>
      </c>
      <c r="U15" s="1690"/>
      <c r="V15" s="1690"/>
      <c r="W15" s="1690"/>
      <c r="X15" s="1690"/>
      <c r="Y15" s="1690"/>
      <c r="Z15" s="1690"/>
      <c r="AA15" s="1690"/>
      <c r="AB15" s="1690"/>
      <c r="AC15" s="1690"/>
      <c r="AD15" s="1690"/>
      <c r="AE15" s="1690"/>
      <c r="AF15" s="1690"/>
      <c r="AG15" s="1690"/>
      <c r="AH15" s="1690"/>
      <c r="AI15" s="1690"/>
      <c r="AJ15" s="1690"/>
      <c r="AK15" s="1690"/>
      <c r="AL15" s="1690"/>
      <c r="AM15" s="1690"/>
      <c r="AO15" s="1150"/>
      <c r="AP15" s="1150" t="str">
        <f>IF(T15="","",T15)</f>
        <v>Добавить территорию для дифференциации</v>
      </c>
      <c r="AQ15" s="1150"/>
      <c r="AR15" s="1150"/>
    </row>
    <row customHeight="1" ht="14.25" hidden="1">
      <c r="AC16" s="688"/>
      <c r="AK16" s="688"/>
    </row>
    <row customHeight="1" ht="14.25" hidden="1">
      <c r="AD17" s="1726"/>
      <c r="AE17" s="1726"/>
      <c r="AF17" s="1726"/>
      <c r="AG17" s="1727"/>
      <c r="AH17" s="2525"/>
      <c r="AI17" s="2524" t="s">
        <v>59</v>
      </c>
      <c r="AJ17" s="2525"/>
      <c r="AK17" s="2524" t="s">
        <v>59</v>
      </c>
    </row>
    <row customHeight="1" ht="14.25" hidden="1">
      <c r="AD18" s="1726"/>
      <c r="AE18" s="1726"/>
      <c r="AF18" s="1726"/>
      <c r="AG18" s="689" t="str">
        <f>AH17&amp;"-"&amp;AJ17</f>
        <v>-</v>
      </c>
      <c r="AH18" s="2524"/>
      <c r="AI18" s="2524"/>
      <c r="AJ18" s="2524"/>
      <c r="AK18" s="2524"/>
    </row>
    <row customHeight="1" ht="14.25" hidden="1">
      <c r="AK19" s="688"/>
    </row>
    <row s="19146" customFormat="1" customHeight="1" ht="22.5" hidden="1">
      <c r="L20" s="1695"/>
      <c r="M20" s="1728"/>
      <c r="N20" s="1728"/>
      <c r="O20" s="1733" t="s">
        <v>415</v>
      </c>
      <c r="P20" s="1728"/>
      <c r="Q20" s="1737"/>
      <c r="R20" s="1737"/>
      <c r="S20" s="1090"/>
      <c r="Z20" s="1733"/>
      <c r="AB20" s="1733"/>
      <c r="AC20" s="1732"/>
      <c r="AH20" s="1733"/>
      <c r="AJ20" s="1733"/>
      <c r="AK20" s="1732"/>
      <c r="AN20" s="872"/>
      <c r="AO20" s="872"/>
      <c r="AP20" s="872"/>
      <c r="AQ20" s="872"/>
      <c r="AR20" s="872"/>
    </row>
    <row s="19146" customFormat="1" customHeight="1" ht="14.25" hidden="1">
      <c r="L21" s="1695"/>
      <c r="M21" s="1728"/>
      <c r="N21" s="1728"/>
      <c r="O21" s="1728"/>
      <c r="P21" s="1728"/>
      <c r="Q21" s="1737"/>
      <c r="R21" s="1737"/>
      <c r="S21" s="1090"/>
      <c r="AC21" s="1732"/>
      <c r="AK21" s="1732"/>
      <c r="AN21" s="872"/>
      <c r="AO21" s="872"/>
      <c r="AP21" s="872"/>
      <c r="AQ21" s="872"/>
      <c r="AR21" s="872"/>
    </row>
    <row s="19146" customFormat="1" customHeight="1" ht="14.25" hidden="1">
      <c r="L22" s="1695"/>
      <c r="M22" s="1728"/>
      <c r="N22" s="1728"/>
      <c r="O22" s="1730" t="s">
        <v>416</v>
      </c>
      <c r="P22" s="1728"/>
      <c r="Q22" s="1737"/>
      <c r="R22" s="1737"/>
      <c r="S22" s="1090"/>
      <c r="T22" s="1523" t="s">
        <v>417</v>
      </c>
      <c r="AA22" s="547" t="s">
        <v>418</v>
      </c>
      <c r="AC22" s="547" t="s">
        <v>419</v>
      </c>
      <c r="AD22" s="1523" t="s">
        <v>417</v>
      </c>
      <c r="AI22" s="547" t="s">
        <v>420</v>
      </c>
      <c r="AK22" s="547" t="s">
        <v>419</v>
      </c>
      <c r="AN22" s="872"/>
      <c r="AO22" s="872"/>
      <c r="AP22" s="872"/>
      <c r="AQ22" s="872"/>
      <c r="AR22" s="872"/>
    </row>
    <row customHeight="1" ht="14.25" hidden="1">
      <c r="O23" s="1730"/>
    </row>
    <row customHeight="1" ht="14.25" hidden="1">
      <c r="O24" s="1730"/>
    </row>
    <row customHeight="1" ht="14.25">
      <c r="Q25" s="737"/>
      <c r="R25" s="737"/>
      <c r="S25" s="1641"/>
      <c r="T25" s="724"/>
      <c r="U25" s="724"/>
      <c r="V25" s="870"/>
      <c r="W25" s="870"/>
      <c r="X25" s="870"/>
      <c r="Y25" s="870"/>
      <c r="Z25" s="870"/>
      <c r="AA25" s="870"/>
      <c r="AB25" s="870"/>
      <c r="AC25" s="870"/>
      <c r="AD25" s="870"/>
      <c r="AE25" s="870"/>
      <c r="AF25" s="870"/>
      <c r="AG25" s="870"/>
      <c r="AH25" s="870"/>
      <c r="AI25" s="870"/>
      <c r="AJ25" s="870"/>
      <c r="AK25" s="870"/>
    </row>
    <row customHeight="1" ht="51">
      <c r="Q26" s="737"/>
      <c r="R26" s="737"/>
      <c r="S26" s="256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60"/>
      <c r="U26" s="2560"/>
      <c r="V26" s="2560"/>
      <c r="W26" s="2560"/>
      <c r="X26" s="2560"/>
      <c r="Y26" s="2560"/>
      <c r="Z26" s="2560"/>
      <c r="AA26" s="2560"/>
      <c r="AB26" s="2560"/>
      <c r="AC26" s="2560"/>
      <c r="AD26" s="2560"/>
      <c r="AE26" s="2560"/>
      <c r="AF26" s="2560"/>
      <c r="AG26" s="2560"/>
      <c r="AH26" s="2560"/>
      <c r="AI26" s="2560"/>
      <c r="AJ26" s="2560"/>
      <c r="AK26" s="1608"/>
    </row>
    <row customHeight="1" ht="14.25">
      <c r="Q27" s="737"/>
      <c r="R27" s="737"/>
      <c r="S27" s="2561" t="str">
        <f>IF(org=0,"Не определено",org)</f>
        <v>Филиал "Шатурская ГРЭС" ПАО "Юнипро"</v>
      </c>
      <c r="T27" s="2561"/>
      <c r="U27" s="2561"/>
      <c r="V27" s="2561"/>
      <c r="W27" s="2561"/>
      <c r="X27" s="2561"/>
      <c r="Y27" s="2561"/>
      <c r="Z27" s="2561"/>
      <c r="AA27" s="2561"/>
      <c r="AB27" s="2561"/>
      <c r="AC27" s="2561"/>
      <c r="AD27" s="2561"/>
      <c r="AE27" s="2561"/>
      <c r="AF27" s="2561"/>
      <c r="AG27" s="2561"/>
      <c r="AH27" s="2561"/>
      <c r="AI27" s="2561"/>
      <c r="AJ27" s="2561"/>
      <c r="AK27" s="1608"/>
    </row>
    <row customHeight="1" ht="14.25">
      <c r="Q28" s="737"/>
      <c r="R28" s="737"/>
      <c r="S28" s="1641"/>
      <c r="T28" s="724"/>
      <c r="U28" s="724"/>
      <c r="V28" s="683"/>
      <c r="W28" s="683"/>
      <c r="X28" s="683"/>
      <c r="Y28" s="683"/>
      <c r="Z28" s="683"/>
      <c r="AA28" s="683"/>
      <c r="AB28" s="683"/>
      <c r="AC28" s="683"/>
      <c r="AD28" s="683"/>
      <c r="AE28" s="683"/>
      <c r="AF28" s="683"/>
      <c r="AG28" s="683"/>
      <c r="AH28" s="683"/>
      <c r="AI28" s="683"/>
      <c r="AJ28" s="683"/>
      <c r="AK28" s="683"/>
      <c r="AL28" s="870"/>
    </row>
    <row s="19160" customFormat="1" customHeight="1" ht="25.5">
      <c r="A29" s="1734"/>
      <c r="B29" s="1734"/>
      <c r="C29" s="1734"/>
      <c r="D29" s="1734"/>
      <c r="E29" s="1734"/>
      <c r="F29" s="1734"/>
      <c r="G29" s="1734"/>
      <c r="H29" s="1734"/>
      <c r="I29" s="1734"/>
      <c r="J29" s="1734"/>
      <c r="K29" s="1734"/>
      <c r="L29" s="1735"/>
      <c r="M29" s="1734"/>
      <c r="N29" s="1734"/>
      <c r="O29" s="1734"/>
      <c r="S29" s="2518" t="s">
        <v>38</v>
      </c>
      <c r="T29" s="2518"/>
      <c r="U29" s="1738"/>
      <c r="V29" s="2520" t="str">
        <f>IF(TITLE_NAME_OR_PR_CHANGE="",IF(TITLE_NAME_OR_PR="","",TITLE_NAME_OR_PR),TITLE_NAME_OR_PR_CHANGE)</f>
        <v>Комитет по ценам и тарифам по Московской области</v>
      </c>
      <c r="W29" s="2520"/>
      <c r="X29" s="2520"/>
      <c r="Y29" s="2520"/>
      <c r="Z29" s="2520"/>
      <c r="AA29" s="2520"/>
      <c r="AB29" s="2520"/>
      <c r="AC29" s="687"/>
      <c r="AD29" s="2520" t="str">
        <f>IF(TITLE_NAME_OR_PR_CHANGE="",IF(TITLE_NAME_OR_PR="","",TITLE_NAME_OR_PR),TITLE_NAME_OR_PR_CHANGE)</f>
        <v>Комитет по ценам и тарифам по Московской области</v>
      </c>
      <c r="AE29" s="2520"/>
      <c r="AF29" s="2520"/>
      <c r="AG29" s="2520"/>
      <c r="AH29" s="2520"/>
      <c r="AI29" s="2520"/>
      <c r="AJ29" s="2520"/>
      <c r="AK29" s="687"/>
      <c r="AL29" s="687"/>
      <c r="AM29" s="641"/>
      <c r="AN29" s="729"/>
      <c r="AO29" s="729"/>
      <c r="AP29" s="729"/>
      <c r="AQ29" s="729"/>
      <c r="AR29" s="729"/>
    </row>
    <row s="19160" customFormat="1" customHeight="1" ht="18.75">
      <c r="A30" s="1734"/>
      <c r="B30" s="1734"/>
      <c r="C30" s="1734"/>
      <c r="D30" s="1734"/>
      <c r="E30" s="1734"/>
      <c r="F30" s="1734"/>
      <c r="G30" s="1734"/>
      <c r="H30" s="1734"/>
      <c r="I30" s="1734"/>
      <c r="J30" s="1734"/>
      <c r="K30" s="1734"/>
      <c r="L30" s="1735"/>
      <c r="M30" s="1734"/>
      <c r="N30" s="1734"/>
      <c r="O30" s="1734"/>
      <c r="S30" s="2518" t="s">
        <v>421</v>
      </c>
      <c r="T30" s="2518"/>
      <c r="U30" s="1738"/>
      <c r="V30" s="2519" t="str">
        <f>IF(TITLE_DATE_PR_CHANGE="",IF(TITLE_DATE_PR="","",TITLE_DATE_PR),TITLE_DATE_PR_CHANGE)</f>
        <v>45280.70914351852</v>
      </c>
      <c r="W30" s="2519"/>
      <c r="X30" s="2519"/>
      <c r="Y30" s="2519"/>
      <c r="Z30" s="2519"/>
      <c r="AA30" s="2519"/>
      <c r="AB30" s="2519"/>
      <c r="AC30" s="687"/>
      <c r="AD30" s="2519" t="str">
        <f>IF(TITLE_DATE_PR_CHANGE="",IF(TITLE_DATE_PR="","",TITLE_DATE_PR),TITLE_DATE_PR_CHANGE)</f>
        <v>45280.70914351852</v>
      </c>
      <c r="AE30" s="2519"/>
      <c r="AF30" s="2519"/>
      <c r="AG30" s="2519"/>
      <c r="AH30" s="2519"/>
      <c r="AI30" s="2519"/>
      <c r="AJ30" s="2519"/>
      <c r="AK30" s="687"/>
      <c r="AL30" s="687"/>
      <c r="AM30" s="641"/>
      <c r="AN30" s="729"/>
      <c r="AO30" s="729"/>
      <c r="AP30" s="729"/>
      <c r="AQ30" s="729"/>
      <c r="AR30" s="729"/>
    </row>
    <row s="19160" customFormat="1" customHeight="1" ht="18.75">
      <c r="A31" s="1734"/>
      <c r="B31" s="1734"/>
      <c r="C31" s="1734"/>
      <c r="D31" s="1734"/>
      <c r="E31" s="1734"/>
      <c r="F31" s="1734"/>
      <c r="G31" s="1734"/>
      <c r="H31" s="1734"/>
      <c r="I31" s="1734"/>
      <c r="J31" s="1734"/>
      <c r="K31" s="1734"/>
      <c r="L31" s="1735"/>
      <c r="M31" s="1734"/>
      <c r="N31" s="1734"/>
      <c r="O31" s="1734"/>
      <c r="S31" s="2518" t="s">
        <v>422</v>
      </c>
      <c r="T31" s="2518"/>
      <c r="U31" s="1738"/>
      <c r="V31" s="2520" t="str">
        <f>IF(TITLE_NUMBER_PR_CHANGE="",IF(TITLE_NUMBER_PR="","",TITLE_NUMBER_PR),TITLE_NUMBER_PR_CHANGE)</f>
        <v>317-Р</v>
      </c>
      <c r="W31" s="2520"/>
      <c r="X31" s="2520"/>
      <c r="Y31" s="2520"/>
      <c r="Z31" s="2520"/>
      <c r="AA31" s="2520"/>
      <c r="AB31" s="2520"/>
      <c r="AC31" s="687"/>
      <c r="AD31" s="2520" t="str">
        <f>IF(TITLE_NUMBER_PR_CHANGE="",IF(TITLE_NUMBER_PR="","",TITLE_NUMBER_PR),TITLE_NUMBER_PR_CHANGE)</f>
        <v>317-Р</v>
      </c>
      <c r="AE31" s="2520"/>
      <c r="AF31" s="2520"/>
      <c r="AG31" s="2520"/>
      <c r="AH31" s="2520"/>
      <c r="AI31" s="2520"/>
      <c r="AJ31" s="2520"/>
      <c r="AK31" s="687"/>
      <c r="AL31" s="687"/>
      <c r="AM31" s="641"/>
      <c r="AN31" s="729"/>
      <c r="AO31" s="729"/>
      <c r="AP31" s="729"/>
      <c r="AQ31" s="729"/>
      <c r="AR31" s="729"/>
    </row>
    <row s="19160" customFormat="1" customHeight="1" ht="18.75">
      <c r="A32" s="1734"/>
      <c r="B32" s="1734"/>
      <c r="C32" s="1734"/>
      <c r="D32" s="1734"/>
      <c r="E32" s="1734"/>
      <c r="F32" s="1734"/>
      <c r="G32" s="1734"/>
      <c r="H32" s="1734"/>
      <c r="I32" s="1734"/>
      <c r="J32" s="1734"/>
      <c r="K32" s="1734"/>
      <c r="L32" s="1735"/>
      <c r="M32" s="1734"/>
      <c r="N32" s="1734"/>
      <c r="O32" s="1734"/>
      <c r="S32" s="2518" t="s">
        <v>40</v>
      </c>
      <c r="T32" s="2518"/>
      <c r="U32" s="1738"/>
      <c r="V32"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520"/>
      <c r="X32" s="2520"/>
      <c r="Y32" s="2520"/>
      <c r="Z32" s="2520"/>
      <c r="AA32" s="2520"/>
      <c r="AB32" s="2520"/>
      <c r="AC32" s="687"/>
      <c r="AD32"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520"/>
      <c r="AF32" s="2520"/>
      <c r="AG32" s="2520"/>
      <c r="AH32" s="2520"/>
      <c r="AI32" s="2520"/>
      <c r="AJ32" s="2520"/>
      <c r="AK32" s="687"/>
      <c r="AL32" s="687"/>
      <c r="AM32" s="641"/>
      <c r="AN32" s="729"/>
      <c r="AO32" s="729"/>
      <c r="AP32" s="729"/>
      <c r="AQ32" s="729"/>
      <c r="AR32" s="729"/>
    </row>
    <row customHeight="1" ht="14.25" hidden="1">
      <c r="Q33" s="737"/>
      <c r="R33" s="737"/>
      <c r="S33" s="1641"/>
      <c r="T33" s="724"/>
      <c r="U33" s="724"/>
      <c r="V33" s="683"/>
      <c r="W33" s="683"/>
      <c r="X33" s="683"/>
      <c r="Y33" s="683"/>
      <c r="Z33" s="683"/>
      <c r="AA33" s="683"/>
      <c r="AB33" s="683"/>
      <c r="AC33" s="683"/>
      <c r="AD33" s="683"/>
      <c r="AE33" s="683"/>
      <c r="AF33" s="683"/>
      <c r="AG33" s="683"/>
      <c r="AH33" s="683"/>
      <c r="AI33" s="683"/>
      <c r="AJ33" s="683"/>
      <c r="AK33" s="683"/>
      <c r="AL33" s="870"/>
    </row>
    <row s="19160" customFormat="1" customHeight="1" ht="18.75" hidden="1">
      <c r="A34" s="1734"/>
      <c r="B34" s="1734"/>
      <c r="C34" s="1734"/>
      <c r="D34" s="1734"/>
      <c r="E34" s="1734"/>
      <c r="F34" s="1734"/>
      <c r="G34" s="1734"/>
      <c r="H34" s="1734"/>
      <c r="I34" s="1734"/>
      <c r="J34" s="1734"/>
      <c r="K34" s="1734"/>
      <c r="L34" s="1735"/>
      <c r="M34" s="1734"/>
      <c r="N34" s="1734"/>
      <c r="O34" s="1734"/>
      <c r="S34" s="2518" t="s">
        <v>423</v>
      </c>
      <c r="T34" s="2518"/>
      <c r="U34" s="1738"/>
      <c r="V34" s="2519" t="str">
        <f>IF(TITLE_DATE_PR_CHANGE="",IF(TITLE_DATE_PR="","",TITLE_DATE_PR),TITLE_DATE_PR_CHANGE)</f>
        <v>45280.70914351852</v>
      </c>
      <c r="W34" s="2519"/>
      <c r="X34" s="2519"/>
      <c r="Y34" s="2519"/>
      <c r="Z34" s="2519"/>
      <c r="AA34" s="2519"/>
      <c r="AB34" s="2519"/>
      <c r="AC34" s="687"/>
      <c r="AD34" s="2519" t="str">
        <f>IF(TITLE_DATE_PR_CHANGE="",IF(TITLE_DATE_PR="","",TITLE_DATE_PR),TITLE_DATE_PR_CHANGE)</f>
        <v>45280.70914351852</v>
      </c>
      <c r="AE34" s="2519"/>
      <c r="AF34" s="2519"/>
      <c r="AG34" s="2519"/>
      <c r="AH34" s="2519"/>
      <c r="AI34" s="2519"/>
      <c r="AJ34" s="2519"/>
      <c r="AK34" s="687"/>
      <c r="AL34" s="687"/>
      <c r="AM34" s="641"/>
      <c r="AN34" s="729"/>
      <c r="AO34" s="729"/>
      <c r="AP34" s="729"/>
      <c r="AQ34" s="729"/>
      <c r="AR34" s="729"/>
    </row>
    <row s="19160" customFormat="1" customHeight="1" ht="25.5" hidden="1">
      <c r="A35" s="1734"/>
      <c r="B35" s="1734"/>
      <c r="C35" s="1734"/>
      <c r="D35" s="1734"/>
      <c r="E35" s="1734"/>
      <c r="F35" s="1734"/>
      <c r="G35" s="1734"/>
      <c r="H35" s="1734"/>
      <c r="I35" s="1734"/>
      <c r="J35" s="1734"/>
      <c r="K35" s="1734"/>
      <c r="L35" s="1735"/>
      <c r="M35" s="1734"/>
      <c r="N35" s="1734"/>
      <c r="O35" s="1734"/>
      <c r="S35" s="2518" t="s">
        <v>424</v>
      </c>
      <c r="T35" s="2518"/>
      <c r="U35" s="1738"/>
      <c r="V35" s="2520" t="str">
        <f>IF(TITLE_NUMBER_PR_CHANGE="",IF(TITLE_NUMBER_PR="","",TITLE_NUMBER_PR),TITLE_NUMBER_PR_CHANGE)</f>
        <v>317-Р</v>
      </c>
      <c r="W35" s="2520"/>
      <c r="X35" s="2520"/>
      <c r="Y35" s="2520"/>
      <c r="Z35" s="2520"/>
      <c r="AA35" s="2520"/>
      <c r="AB35" s="2520"/>
      <c r="AC35" s="687"/>
      <c r="AD35" s="2520" t="str">
        <f>IF(TITLE_NUMBER_PR_CHANGE="",IF(TITLE_NUMBER_PR="","",TITLE_NUMBER_PR),TITLE_NUMBER_PR_CHANGE)</f>
        <v>317-Р</v>
      </c>
      <c r="AE35" s="2520"/>
      <c r="AF35" s="2520"/>
      <c r="AG35" s="2520"/>
      <c r="AH35" s="2520"/>
      <c r="AI35" s="2520"/>
      <c r="AJ35" s="2520"/>
      <c r="AK35" s="687"/>
      <c r="AL35" s="687"/>
      <c r="AM35" s="641"/>
      <c r="AN35" s="729"/>
      <c r="AO35" s="729"/>
      <c r="AP35" s="729"/>
      <c r="AQ35" s="729"/>
      <c r="AR35" s="729"/>
    </row>
    <row s="19160" customFormat="1" customHeight="1" ht="0">
      <c r="A36" s="1734"/>
      <c r="B36" s="1734"/>
      <c r="C36" s="1734"/>
      <c r="D36" s="1734"/>
      <c r="E36" s="1734"/>
      <c r="F36" s="1734"/>
      <c r="G36" s="1734"/>
      <c r="H36" s="1734"/>
      <c r="I36" s="1734"/>
      <c r="J36" s="1734"/>
      <c r="K36" s="1734"/>
      <c r="L36" s="1735"/>
      <c r="M36" s="1734"/>
      <c r="N36" s="1734"/>
      <c r="O36" s="1734"/>
      <c r="S36" s="684"/>
      <c r="T36" s="684"/>
      <c r="U36" s="1706"/>
      <c r="V36" s="687"/>
      <c r="W36" s="687"/>
      <c r="X36" s="687"/>
      <c r="Y36" s="687"/>
      <c r="Z36" s="687"/>
      <c r="AA36" s="687"/>
      <c r="AB36" s="687"/>
      <c r="AC36" s="639" t="s">
        <v>425</v>
      </c>
      <c r="AD36" s="687"/>
      <c r="AE36" s="687"/>
      <c r="AF36" s="687"/>
      <c r="AG36" s="687"/>
      <c r="AH36" s="687"/>
      <c r="AI36" s="687"/>
      <c r="AJ36" s="687"/>
      <c r="AK36" s="639" t="s">
        <v>425</v>
      </c>
      <c r="AN36" s="729"/>
      <c r="AO36" s="729"/>
      <c r="AP36" s="729"/>
      <c r="AQ36" s="729"/>
      <c r="AR36" s="729"/>
    </row>
    <row customHeight="1" ht="14.25">
      <c r="Q37" s="737"/>
      <c r="R37" s="737"/>
      <c r="S37" s="1641"/>
      <c r="T37" s="724"/>
      <c r="U37" s="1609"/>
      <c r="V37" s="2544"/>
      <c r="W37" s="2544"/>
      <c r="X37" s="2544"/>
      <c r="Y37" s="2544"/>
      <c r="Z37" s="2544"/>
      <c r="AA37" s="2544"/>
      <c r="AB37" s="2544"/>
      <c r="AC37" s="2544"/>
      <c r="AD37" s="2544"/>
      <c r="AE37" s="2544"/>
      <c r="AF37" s="2544"/>
      <c r="AG37" s="2544"/>
      <c r="AH37" s="2544"/>
      <c r="AI37" s="2544"/>
      <c r="AJ37" s="2544"/>
      <c r="AK37" s="2544"/>
    </row>
    <row customHeight="1" ht="14.25">
      <c r="Q38" s="737"/>
      <c r="R38" s="737"/>
      <c r="S38" s="2392" t="s">
        <v>300</v>
      </c>
      <c r="T38" s="2392"/>
      <c r="U38" s="2392"/>
      <c r="V38" s="2392"/>
      <c r="W38" s="2392"/>
      <c r="X38" s="2392"/>
      <c r="Y38" s="2392"/>
      <c r="Z38" s="2392"/>
      <c r="AA38" s="2392"/>
      <c r="AB38" s="2392"/>
      <c r="AC38" s="2392"/>
      <c r="AD38" s="2392"/>
      <c r="AE38" s="2392"/>
      <c r="AF38" s="2392"/>
      <c r="AG38" s="2392"/>
      <c r="AH38" s="2392"/>
      <c r="AI38" s="2392"/>
      <c r="AJ38" s="2392"/>
      <c r="AK38" s="2392"/>
      <c r="AL38" s="2392"/>
      <c r="AM38" s="2392" t="s">
        <v>301</v>
      </c>
    </row>
    <row customHeight="1" ht="14.25">
      <c r="Q39" s="737"/>
      <c r="R39" s="737"/>
      <c r="S39" s="2545" t="s">
        <v>85</v>
      </c>
      <c r="T39" s="2482" t="s">
        <v>426</v>
      </c>
      <c r="U39" s="662"/>
      <c r="V39" s="2546" t="s">
        <v>427</v>
      </c>
      <c r="W39" s="2547"/>
      <c r="X39" s="2547"/>
      <c r="Y39" s="2547"/>
      <c r="Z39" s="2547"/>
      <c r="AA39" s="2547"/>
      <c r="AB39" s="2548"/>
      <c r="AC39" s="2549" t="s">
        <v>428</v>
      </c>
      <c r="AD39" s="2546" t="s">
        <v>427</v>
      </c>
      <c r="AE39" s="2547"/>
      <c r="AF39" s="2547"/>
      <c r="AG39" s="2547"/>
      <c r="AH39" s="2547"/>
      <c r="AI39" s="2547"/>
      <c r="AJ39" s="2548"/>
      <c r="AK39" s="2549" t="s">
        <v>429</v>
      </c>
      <c r="AL39" s="2552" t="s">
        <v>430</v>
      </c>
      <c r="AM39" s="2392"/>
    </row>
    <row customHeight="1" ht="33.75">
      <c r="Q40" s="737"/>
      <c r="R40" s="737"/>
      <c r="S40" s="2545"/>
      <c r="T40" s="2482"/>
      <c r="U40" s="1393"/>
      <c r="V40" s="2555" t="s">
        <v>431</v>
      </c>
      <c r="W40" s="2536"/>
      <c r="X40" s="2538" t="s">
        <v>433</v>
      </c>
      <c r="Y40" s="2540"/>
      <c r="Z40" s="2538" t="s">
        <v>434</v>
      </c>
      <c r="AA40" s="2539"/>
      <c r="AB40" s="2540"/>
      <c r="AC40" s="2550"/>
      <c r="AD40" s="2555" t="s">
        <v>447</v>
      </c>
      <c r="AE40" s="2536"/>
      <c r="AF40" s="2538" t="s">
        <v>433</v>
      </c>
      <c r="AG40" s="2540"/>
      <c r="AH40" s="2538" t="s">
        <v>434</v>
      </c>
      <c r="AI40" s="2539"/>
      <c r="AJ40" s="2540"/>
      <c r="AK40" s="2550"/>
      <c r="AL40" s="2553"/>
      <c r="AM40" s="2392"/>
    </row>
    <row customHeight="1" ht="33.75">
      <c r="A41" s="1736"/>
      <c r="B41" s="1736" t="s">
        <v>132</v>
      </c>
      <c r="C41" s="1736" t="s">
        <v>133</v>
      </c>
      <c r="D41" s="1736" t="s">
        <v>134</v>
      </c>
      <c r="E41" s="1730" t="s">
        <v>435</v>
      </c>
      <c r="F41" s="1730" t="s">
        <v>436</v>
      </c>
      <c r="G41" s="1730" t="s">
        <v>437</v>
      </c>
      <c r="H41" s="1730" t="s">
        <v>438</v>
      </c>
      <c r="I41" s="1730" t="s">
        <v>439</v>
      </c>
      <c r="J41" s="1730" t="s">
        <v>440</v>
      </c>
      <c r="K41" s="1730" t="s">
        <v>441</v>
      </c>
      <c r="L41" s="1730" t="s">
        <v>416</v>
      </c>
      <c r="Q41" s="737"/>
      <c r="R41" s="737"/>
      <c r="S41" s="2545"/>
      <c r="T41" s="2482"/>
      <c r="U41" s="663"/>
      <c r="V41" s="2556"/>
      <c r="W41" s="2537"/>
      <c r="X41" s="1587" t="s">
        <v>442</v>
      </c>
      <c r="Y41" s="1587" t="s">
        <v>443</v>
      </c>
      <c r="Z41" s="1704" t="s">
        <v>444</v>
      </c>
      <c r="AA41" s="2541" t="s">
        <v>445</v>
      </c>
      <c r="AB41" s="2542"/>
      <c r="AC41" s="2551"/>
      <c r="AD41" s="2556"/>
      <c r="AE41" s="2537"/>
      <c r="AF41" s="1587" t="s">
        <v>442</v>
      </c>
      <c r="AG41" s="1587" t="s">
        <v>443</v>
      </c>
      <c r="AH41" s="1704" t="s">
        <v>444</v>
      </c>
      <c r="AI41" s="2541" t="s">
        <v>445</v>
      </c>
      <c r="AJ41" s="2542"/>
      <c r="AK41" s="2551"/>
      <c r="AL41" s="2554"/>
      <c r="AM41" s="2392"/>
    </row>
    <row s="18977" customFormat="1" customHeight="1" ht="11.25" hidden="1">
      <c r="A42" s="1736"/>
      <c r="B42" s="1736"/>
      <c r="C42" s="1736"/>
      <c r="D42" s="1736"/>
      <c r="E42" s="1736"/>
      <c r="F42" s="1736"/>
      <c r="G42" s="1736"/>
      <c r="H42" s="1736"/>
      <c r="I42" s="1736"/>
      <c r="J42" s="1736"/>
      <c r="K42" s="1736"/>
      <c r="L42" s="1730"/>
      <c r="M42" s="1728"/>
      <c r="N42" s="1728"/>
      <c r="O42" s="1728"/>
      <c r="P42" s="1611"/>
      <c r="Q42" s="1612"/>
      <c r="R42" s="1619">
        <v>1</v>
      </c>
      <c r="S42" s="1643" t="s">
        <v>106</v>
      </c>
      <c r="T42" s="1620" t="s">
        <v>107</v>
      </c>
      <c r="U42" s="1610" t="str">
        <f>OFFSET(U42,0,-1)</f>
        <v>2</v>
      </c>
      <c r="V42" s="1701">
        <f>OFFSET(V42,0,-1)+1</f>
        <v>3</v>
      </c>
      <c r="W42" s="1701"/>
      <c r="X42" s="1701">
        <f>OFFSET(X42,0,-1)+1</f>
        <v>1</v>
      </c>
      <c r="Y42" s="1701">
        <f>OFFSET(Y42,0,-1)+1</f>
        <v>2</v>
      </c>
      <c r="Z42" s="1701">
        <f>OFFSET(Z42,0,-1)+1</f>
        <v>3</v>
      </c>
      <c r="AA42" s="2543">
        <f>OFFSET(AA42,0,-1)+1</f>
        <v>4</v>
      </c>
      <c r="AB42" s="2543"/>
      <c r="AC42" s="1701">
        <f>OFFSET(AC42,0,-2)+1</f>
        <v>5</v>
      </c>
      <c r="AD42" s="1701">
        <f>OFFSET(AD42,0,-1)+1</f>
        <v>6</v>
      </c>
      <c r="AE42" s="1701"/>
      <c r="AF42" s="1701">
        <f>OFFSET(AF42,0,-1)+1</f>
        <v>1</v>
      </c>
      <c r="AG42" s="1701">
        <f>OFFSET(AG42,0,-1)+1</f>
        <v>2</v>
      </c>
      <c r="AH42" s="1701">
        <f>OFFSET(AH42,0,-1)+1</f>
        <v>3</v>
      </c>
      <c r="AI42" s="2543">
        <f>OFFSET(AI42,0,-1)+1</f>
        <v>4</v>
      </c>
      <c r="AJ42" s="2543"/>
      <c r="AK42" s="1701">
        <f>OFFSET(AK42,0,-2)+1</f>
        <v>5</v>
      </c>
      <c r="AL42" s="1610">
        <f>OFFSET(AL42,0,-1)</f>
        <v>5</v>
      </c>
      <c r="AM42" s="1701">
        <f>OFFSET(AM42,0,-1)+1</f>
        <v>6</v>
      </c>
      <c r="AN42" s="872"/>
      <c r="AO42" s="872"/>
      <c r="AP42" s="872"/>
      <c r="AQ42" s="872"/>
      <c r="AR42" s="872"/>
    </row>
    <row customHeight="1" ht="21">
      <c r="A43" s="1729" t="s">
        <v>183</v>
      </c>
      <c r="B43" s="1729"/>
      <c r="C43" s="1729"/>
      <c r="D43" s="1729"/>
      <c r="E43" s="2527">
        <v>1</v>
      </c>
      <c r="F43" s="1729"/>
      <c r="G43" s="1729"/>
      <c r="H43" s="1729"/>
      <c r="I43" s="1729"/>
      <c r="J43" s="1729"/>
      <c r="K43" s="1729"/>
      <c r="L43" s="1730"/>
      <c r="M43" s="1731"/>
      <c r="N43" s="1731"/>
      <c r="O43" s="1731"/>
      <c r="P43" s="722"/>
      <c r="Q43" s="721"/>
      <c r="R43" s="716"/>
      <c r="S43" s="1702">
        <f>INDEX(PT_DIFFERENTIATION_NUM_NTAR,MATCH(A43,PT_DIFFERENTIATION_NTAR_ID,0))</f>
        <v>0</v>
      </c>
      <c r="T43" s="659" t="s">
        <v>120</v>
      </c>
      <c r="U43" s="661"/>
      <c r="V43" s="2521"/>
      <c r="W43" s="2522"/>
      <c r="X43" s="2522"/>
      <c r="Y43" s="2522"/>
      <c r="Z43" s="2522"/>
      <c r="AA43" s="2522"/>
      <c r="AB43" s="2522"/>
      <c r="AC43" s="2523"/>
      <c r="AD43" s="2521" t="str">
        <f>INDEX(PT_DIFFERENTIATION_NTAR,MATCH(A43,PT_DIFFERENTIATION_NTAR_ID,0))</f>
        <v/>
      </c>
      <c r="AE43" s="2522"/>
      <c r="AF43" s="2522"/>
      <c r="AG43" s="2522"/>
      <c r="AH43" s="2522"/>
      <c r="AI43" s="2522"/>
      <c r="AJ43" s="2522"/>
      <c r="AK43" s="2522"/>
      <c r="AL43" s="2523"/>
      <c r="AM43" s="162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861"/>
      <c r="AP43" s="861" t="str">
        <f>IF(T43="","",T43)</f>
        <v>Наименование тарифа</v>
      </c>
      <c r="AQ43" s="861"/>
      <c r="AR43" s="861"/>
    </row>
    <row customHeight="1" ht="21">
      <c r="A44" s="1729" t="s">
        <v>183</v>
      </c>
      <c r="B44" s="1729" t="s">
        <v>184</v>
      </c>
      <c r="C44" s="1729"/>
      <c r="D44" s="1729"/>
      <c r="E44" s="2528"/>
      <c r="F44" s="2527">
        <v>1</v>
      </c>
      <c r="G44" s="1729"/>
      <c r="H44" s="1729"/>
      <c r="I44" s="1729"/>
      <c r="J44" s="1729"/>
      <c r="K44" s="1729"/>
      <c r="L44" s="1730"/>
      <c r="M44" s="1731"/>
      <c r="N44" s="1731"/>
      <c r="O44" s="1731"/>
      <c r="P44" s="1698"/>
      <c r="Q44" s="713"/>
      <c r="R44" s="714"/>
      <c r="S44" s="1702" t="str">
        <f>INDEX(PT_DIFFERENTIATION_NUM_TER,MATCH(B44,PT_DIFFERENTIATION_TER_ID,0))</f>
        <v>.</v>
      </c>
      <c r="T44" s="669" t="s">
        <v>397</v>
      </c>
      <c r="U44" s="661"/>
      <c r="V44" s="2521"/>
      <c r="W44" s="2522"/>
      <c r="X44" s="2522"/>
      <c r="Y44" s="2522"/>
      <c r="Z44" s="2522"/>
      <c r="AA44" s="2522"/>
      <c r="AB44" s="2522"/>
      <c r="AC44" s="2523"/>
      <c r="AD44" s="2521" t="str">
        <f>INDEX(PT_DIFFERENTIATION_TER,MATCH(B44,PT_DIFFERENTIATION_TER_ID,0))</f>
        <v/>
      </c>
      <c r="AE44" s="2522"/>
      <c r="AF44" s="2522"/>
      <c r="AG44" s="2522"/>
      <c r="AH44" s="2522"/>
      <c r="AI44" s="2522"/>
      <c r="AJ44" s="2522"/>
      <c r="AK44" s="2522"/>
      <c r="AL44" s="2523"/>
      <c r="AM44" s="1623" t="s">
        <v>398</v>
      </c>
      <c r="AO44" s="861"/>
      <c r="AP44" s="861" t="str">
        <f>IF(T44="","",T44)</f>
        <v>Территория действия тарифа</v>
      </c>
      <c r="AQ44" s="861"/>
      <c r="AR44" s="861"/>
    </row>
    <row customHeight="1" ht="23.25">
      <c r="A45" s="1729" t="s">
        <v>183</v>
      </c>
      <c r="B45" s="1729" t="s">
        <v>184</v>
      </c>
      <c r="C45" s="1729" t="s">
        <v>185</v>
      </c>
      <c r="D45" s="1729"/>
      <c r="E45" s="2528"/>
      <c r="F45" s="2528"/>
      <c r="G45" s="2527">
        <v>1</v>
      </c>
      <c r="H45" s="1729"/>
      <c r="I45" s="1729"/>
      <c r="J45" s="1729"/>
      <c r="K45" s="1729"/>
      <c r="L45" s="1730"/>
      <c r="M45" s="1731"/>
      <c r="N45" s="1731"/>
      <c r="O45" s="1731"/>
      <c r="P45" s="715"/>
      <c r="Q45" s="713"/>
      <c r="R45" s="714"/>
      <c r="S45" s="1702" t="str">
        <f>INDEX(PT_DIFFERENTIATION_NUM_CS,MATCH(C45,PT_DIFFERENTIATION_CS_ID,0))</f>
        <v>..</v>
      </c>
      <c r="T45" s="670" t="s">
        <v>399</v>
      </c>
      <c r="U45" s="661"/>
      <c r="V45" s="2521"/>
      <c r="W45" s="2522"/>
      <c r="X45" s="2522"/>
      <c r="Y45" s="2522"/>
      <c r="Z45" s="2522"/>
      <c r="AA45" s="2522"/>
      <c r="AB45" s="2522"/>
      <c r="AC45" s="2523"/>
      <c r="AD45" s="2521" t="str">
        <f>INDEX(PT_DIFFERENTIATION_CS,MATCH(C45,PT_DIFFERENTIATION_CS_ID,0))</f>
        <v/>
      </c>
      <c r="AE45" s="2522"/>
      <c r="AF45" s="2522"/>
      <c r="AG45" s="2522"/>
      <c r="AH45" s="2522"/>
      <c r="AI45" s="2522"/>
      <c r="AJ45" s="2522"/>
      <c r="AK45" s="2522"/>
      <c r="AL45" s="2523"/>
      <c r="AM45" s="1623" t="s">
        <v>400</v>
      </c>
      <c r="AO45" s="861"/>
      <c r="AP45" s="861" t="str">
        <f>IF(T45="","",T45)</f>
        <v>Наименование системы теплоснабжения </v>
      </c>
      <c r="AQ45" s="861"/>
      <c r="AR45" s="861"/>
    </row>
    <row customHeight="1" ht="21">
      <c r="A46" s="1729" t="s">
        <v>183</v>
      </c>
      <c r="B46" s="1729" t="s">
        <v>184</v>
      </c>
      <c r="C46" s="1729" t="s">
        <v>185</v>
      </c>
      <c r="D46" s="1729" t="s">
        <v>186</v>
      </c>
      <c r="E46" s="2528"/>
      <c r="F46" s="2528"/>
      <c r="G46" s="2528"/>
      <c r="H46" s="2527">
        <v>1</v>
      </c>
      <c r="I46" s="1729"/>
      <c r="J46" s="1729"/>
      <c r="K46" s="1729"/>
      <c r="L46" s="1730"/>
      <c r="M46" s="1731"/>
      <c r="N46" s="1731"/>
      <c r="O46" s="1731"/>
      <c r="P46" s="715"/>
      <c r="Q46" s="713"/>
      <c r="R46" s="714"/>
      <c r="S46" s="1702" t="str">
        <f>INDEX(PT_DIFFERENTIATION_NUM_IST_TE,MATCH(D46,PT_DIFFERENTIATION_IST_TE_ID,0))</f>
        <v>...</v>
      </c>
      <c r="T46" s="671" t="s">
        <v>401</v>
      </c>
      <c r="U46" s="661"/>
      <c r="V46" s="2521"/>
      <c r="W46" s="2522"/>
      <c r="X46" s="2522"/>
      <c r="Y46" s="2522"/>
      <c r="Z46" s="2522"/>
      <c r="AA46" s="2522"/>
      <c r="AB46" s="2522"/>
      <c r="AC46" s="2523"/>
      <c r="AD46" s="2521" t="str">
        <f>INDEX(PT_DIFFERENTIATION_IST_TE,MATCH(D46,PT_DIFFERENTIATION_IST_TE_ID,0))</f>
        <v/>
      </c>
      <c r="AE46" s="2522"/>
      <c r="AF46" s="2522"/>
      <c r="AG46" s="2522"/>
      <c r="AH46" s="2522"/>
      <c r="AI46" s="2522"/>
      <c r="AJ46" s="2522"/>
      <c r="AK46" s="2522"/>
      <c r="AL46" s="2523"/>
      <c r="AM46" s="1623" t="s">
        <v>402</v>
      </c>
      <c r="AO46" s="861"/>
      <c r="AP46" s="861" t="str">
        <f>IF(T46="","",T46)</f>
        <v>Источник тепловой энергии  </v>
      </c>
      <c r="AQ46" s="861"/>
      <c r="AR46" s="861"/>
    </row>
    <row s="19219" customFormat="1" customHeight="1" ht="0">
      <c r="A47" s="1709" t="s">
        <v>183</v>
      </c>
      <c r="B47" s="1709" t="s">
        <v>184</v>
      </c>
      <c r="C47" s="1709" t="s">
        <v>185</v>
      </c>
      <c r="D47" s="1709" t="s">
        <v>186</v>
      </c>
      <c r="E47" s="2528"/>
      <c r="F47" s="2528"/>
      <c r="G47" s="2528"/>
      <c r="H47" s="2528"/>
      <c r="I47" s="2529" t="str">
        <f>S46&amp;".1"</f>
        <v>....1</v>
      </c>
      <c r="J47" s="1709"/>
      <c r="K47" s="1709"/>
      <c r="L47" s="1712" t="s">
        <v>403</v>
      </c>
      <c r="M47" s="871"/>
      <c r="N47" s="871"/>
      <c r="O47" s="871"/>
      <c r="P47" s="2531">
        <v>1</v>
      </c>
      <c r="Q47" s="1697"/>
      <c r="R47" s="717"/>
      <c r="S47" s="1404"/>
      <c r="T47" s="1749"/>
      <c r="U47" s="1750"/>
      <c r="V47" s="2569"/>
      <c r="W47" s="2570"/>
      <c r="X47" s="2570"/>
      <c r="Y47" s="2570"/>
      <c r="Z47" s="2570"/>
      <c r="AA47" s="2570"/>
      <c r="AB47" s="2570"/>
      <c r="AC47" s="2571"/>
      <c r="AD47" s="2569"/>
      <c r="AE47" s="2570"/>
      <c r="AF47" s="2570"/>
      <c r="AG47" s="2570"/>
      <c r="AH47" s="2570"/>
      <c r="AI47" s="2570"/>
      <c r="AJ47" s="2570"/>
      <c r="AK47" s="2570"/>
      <c r="AL47" s="2571"/>
      <c r="AM47" s="1751"/>
      <c r="AO47" s="861"/>
      <c r="AP47" s="861" t="str">
        <f>IF(T47="","",T47)</f>
        <v/>
      </c>
      <c r="AQ47" s="861"/>
      <c r="AR47" s="861"/>
    </row>
    <row customHeight="1" ht="21">
      <c r="A48" s="1729" t="s">
        <v>183</v>
      </c>
      <c r="B48" s="1729" t="s">
        <v>184</v>
      </c>
      <c r="C48" s="1729" t="s">
        <v>185</v>
      </c>
      <c r="D48" s="1729" t="s">
        <v>186</v>
      </c>
      <c r="E48" s="2528"/>
      <c r="F48" s="2528"/>
      <c r="G48" s="2528"/>
      <c r="H48" s="2528"/>
      <c r="I48" s="2530"/>
      <c r="J48" s="2529" t="str">
        <f>S46&amp;".1"</f>
        <v>....1</v>
      </c>
      <c r="K48" s="1729"/>
      <c r="L48" s="1730" t="s">
        <v>406</v>
      </c>
      <c r="P48" s="2531"/>
      <c r="Q48" s="2531">
        <v>1</v>
      </c>
      <c r="R48" s="718"/>
      <c r="S48" s="1702" t="str">
        <f>$J48</f>
        <v>....1</v>
      </c>
      <c r="T48" s="647" t="s">
        <v>407</v>
      </c>
      <c r="U48" s="661"/>
      <c r="V48" s="2515"/>
      <c r="W48" s="2516"/>
      <c r="X48" s="2516"/>
      <c r="Y48" s="2516"/>
      <c r="Z48" s="2516"/>
      <c r="AA48" s="2516"/>
      <c r="AB48" s="2516"/>
      <c r="AC48" s="2517"/>
      <c r="AD48" s="2515"/>
      <c r="AE48" s="2516"/>
      <c r="AF48" s="2516"/>
      <c r="AG48" s="2516"/>
      <c r="AH48" s="2516"/>
      <c r="AI48" s="2516"/>
      <c r="AJ48" s="2516"/>
      <c r="AK48" s="2516"/>
      <c r="AL48" s="2517"/>
      <c r="AM48" s="1623" t="s">
        <v>408</v>
      </c>
      <c r="AO48" s="861"/>
      <c r="AP48" s="861" t="str">
        <f>IF(T48="","",T48)</f>
        <v>Группа потребителей</v>
      </c>
      <c r="AQ48" s="861"/>
      <c r="AR48" s="861"/>
    </row>
    <row customHeight="1" ht="21">
      <c r="A49" s="1729" t="s">
        <v>183</v>
      </c>
      <c r="B49" s="1729" t="s">
        <v>184</v>
      </c>
      <c r="C49" s="1729" t="s">
        <v>185</v>
      </c>
      <c r="D49" s="1729" t="s">
        <v>186</v>
      </c>
      <c r="E49" s="2528"/>
      <c r="F49" s="2528"/>
      <c r="G49" s="2528"/>
      <c r="H49" s="2528"/>
      <c r="I49" s="2530"/>
      <c r="J49" s="2530"/>
      <c r="K49" s="2529" t="str">
        <f>J48&amp;".1"</f>
        <v>....1.1</v>
      </c>
      <c r="L49" s="1730" t="s">
        <v>409</v>
      </c>
      <c r="P49" s="2531"/>
      <c r="Q49" s="2531"/>
      <c r="R49" s="718">
        <v>1</v>
      </c>
      <c r="S49" s="1702" t="str">
        <f>$K49</f>
        <v>....1.1</v>
      </c>
      <c r="T49" s="1713"/>
      <c r="U49" s="661"/>
      <c r="V49" s="1112"/>
      <c r="W49" s="686"/>
      <c r="X49" s="1112"/>
      <c r="Y49" s="1622"/>
      <c r="Z49" s="2532"/>
      <c r="AA49" s="2402" t="s">
        <v>59</v>
      </c>
      <c r="AB49" s="2532"/>
      <c r="AC49" s="2402" t="s">
        <v>59</v>
      </c>
      <c r="AD49" s="1112"/>
      <c r="AE49" s="686"/>
      <c r="AF49" s="1112"/>
      <c r="AG49" s="1622"/>
      <c r="AH49" s="2532"/>
      <c r="AI49" s="2402" t="s">
        <v>59</v>
      </c>
      <c r="AJ49" s="2534"/>
      <c r="AK49" s="2402" t="s">
        <v>59</v>
      </c>
      <c r="AL49" s="1714"/>
      <c r="AM49" s="2557" t="s">
        <v>448</v>
      </c>
      <c r="AN49" s="872">
        <f>STRCHECKDATE(V50:AL50)</f>
      </c>
      <c r="AO49" s="861"/>
      <c r="AP49" s="861" t="str">
        <f>IF(T49="","",T49)</f>
        <v/>
      </c>
      <c r="AQ49" s="861"/>
      <c r="AR49" s="861"/>
    </row>
    <row customHeight="1" ht="0">
      <c r="A50" s="1729" t="s">
        <v>183</v>
      </c>
      <c r="B50" s="1729" t="s">
        <v>184</v>
      </c>
      <c r="C50" s="1729" t="s">
        <v>185</v>
      </c>
      <c r="D50" s="1729" t="s">
        <v>186</v>
      </c>
      <c r="E50" s="2528"/>
      <c r="F50" s="2528"/>
      <c r="G50" s="2528"/>
      <c r="H50" s="2528"/>
      <c r="I50" s="2530"/>
      <c r="J50" s="2530"/>
      <c r="K50" s="2529"/>
      <c r="L50" s="1730"/>
      <c r="P50" s="2531"/>
      <c r="Q50" s="2531"/>
      <c r="R50" s="718"/>
      <c r="S50" s="1708"/>
      <c r="T50" s="661"/>
      <c r="U50" s="661"/>
      <c r="V50" s="686"/>
      <c r="W50" s="686"/>
      <c r="X50" s="686"/>
      <c r="Y50" s="689" t="str">
        <f>Z49&amp;"-"&amp;AB49</f>
        <v>-</v>
      </c>
      <c r="Z50" s="2533"/>
      <c r="AA50" s="2402"/>
      <c r="AB50" s="2533"/>
      <c r="AC50" s="2402"/>
      <c r="AD50" s="686"/>
      <c r="AE50" s="686"/>
      <c r="AF50" s="686"/>
      <c r="AG50" s="689" t="str">
        <f>AH49&amp;"-"&amp;AJ49</f>
        <v>-</v>
      </c>
      <c r="AH50" s="2533"/>
      <c r="AI50" s="2402"/>
      <c r="AJ50" s="2535"/>
      <c r="AK50" s="2402"/>
      <c r="AL50" s="1715"/>
      <c r="AM50" s="2558"/>
      <c r="AO50" s="861"/>
      <c r="AP50" s="861" t="str">
        <f>IF(T50="","",T50)</f>
        <v/>
      </c>
      <c r="AQ50" s="861"/>
      <c r="AR50" s="861"/>
    </row>
    <row customHeight="1" ht="11.25">
      <c r="A51" s="1729" t="s">
        <v>183</v>
      </c>
      <c r="B51" s="1729" t="s">
        <v>184</v>
      </c>
      <c r="C51" s="1729" t="s">
        <v>185</v>
      </c>
      <c r="D51" s="1729" t="s">
        <v>186</v>
      </c>
      <c r="E51" s="2528"/>
      <c r="F51" s="2528"/>
      <c r="G51" s="2528"/>
      <c r="H51" s="2528"/>
      <c r="I51" s="2530"/>
      <c r="J51" s="2529"/>
      <c r="K51" s="1729"/>
      <c r="L51" s="1730"/>
      <c r="P51" s="2531"/>
      <c r="Q51" s="2531"/>
      <c r="R51" s="717"/>
      <c r="S51" s="1644"/>
      <c r="T51" s="648" t="s">
        <v>411</v>
      </c>
      <c r="U51" s="728"/>
      <c r="V51" s="728"/>
      <c r="W51" s="728"/>
      <c r="X51" s="728"/>
      <c r="Y51" s="728"/>
      <c r="Z51" s="728"/>
      <c r="AA51" s="728"/>
      <c r="AB51" s="728"/>
      <c r="AC51" s="728"/>
      <c r="AD51" s="728"/>
      <c r="AE51" s="728"/>
      <c r="AF51" s="728"/>
      <c r="AG51" s="728"/>
      <c r="AH51" s="728"/>
      <c r="AI51" s="728"/>
      <c r="AJ51" s="728"/>
      <c r="AK51" s="728"/>
      <c r="AL51" s="685"/>
      <c r="AM51" s="2559"/>
      <c r="AO51" s="861"/>
      <c r="AP51" s="861" t="str">
        <f>IF(T51="","",T51)</f>
        <v>Добавить вид теплоносителя (параметры теплоносителя)</v>
      </c>
      <c r="AQ51" s="861"/>
      <c r="AR51" s="861"/>
    </row>
    <row customHeight="1" ht="11.25">
      <c r="A52" s="1729" t="s">
        <v>183</v>
      </c>
      <c r="B52" s="1729" t="s">
        <v>184</v>
      </c>
      <c r="C52" s="1729" t="s">
        <v>185</v>
      </c>
      <c r="D52" s="1729" t="s">
        <v>186</v>
      </c>
      <c r="E52" s="2528"/>
      <c r="F52" s="2528"/>
      <c r="G52" s="2528"/>
      <c r="H52" s="2528"/>
      <c r="I52" s="2529"/>
      <c r="J52" s="1729"/>
      <c r="K52" s="1729"/>
      <c r="L52" s="1730"/>
      <c r="P52" s="2531"/>
      <c r="Q52" s="1697"/>
      <c r="R52" s="717"/>
      <c r="S52" s="1644"/>
      <c r="T52" s="726" t="s">
        <v>412</v>
      </c>
      <c r="U52" s="728"/>
      <c r="V52" s="728"/>
      <c r="W52" s="728"/>
      <c r="X52" s="728"/>
      <c r="Y52" s="728"/>
      <c r="Z52" s="728"/>
      <c r="AA52" s="728"/>
      <c r="AB52" s="728"/>
      <c r="AC52" s="727"/>
      <c r="AD52" s="728"/>
      <c r="AE52" s="728"/>
      <c r="AF52" s="728"/>
      <c r="AG52" s="728"/>
      <c r="AH52" s="728"/>
      <c r="AI52" s="728"/>
      <c r="AJ52" s="728"/>
      <c r="AK52" s="727"/>
      <c r="AL52" s="728"/>
      <c r="AM52" s="664"/>
      <c r="AO52" s="861"/>
      <c r="AP52" s="861" t="str">
        <f>IF(T52="","",T52)</f>
        <v>Добавить группу потребителей</v>
      </c>
      <c r="AQ52" s="861"/>
      <c r="AR52" s="861"/>
    </row>
    <row customHeight="1" ht="0">
      <c r="A53" s="1729" t="s">
        <v>183</v>
      </c>
      <c r="B53" s="1729" t="s">
        <v>184</v>
      </c>
      <c r="C53" s="1729" t="s">
        <v>185</v>
      </c>
      <c r="D53" s="1729" t="s">
        <v>186</v>
      </c>
      <c r="E53" s="2528"/>
      <c r="F53" s="2528"/>
      <c r="G53" s="2528"/>
      <c r="H53" s="2527"/>
      <c r="I53" s="1729"/>
      <c r="J53" s="1729"/>
      <c r="K53" s="1729"/>
      <c r="L53" s="1730"/>
      <c r="M53" s="1731"/>
      <c r="N53" s="1731"/>
      <c r="O53" s="898"/>
      <c r="P53" s="721"/>
      <c r="Q53" s="736"/>
      <c r="R53" s="716"/>
      <c r="S53" s="1752"/>
      <c r="T53" s="1753"/>
      <c r="U53" s="1754"/>
      <c r="V53" s="1754"/>
      <c r="W53" s="1754"/>
      <c r="X53" s="1754"/>
      <c r="Y53" s="1754"/>
      <c r="Z53" s="1754"/>
      <c r="AA53" s="1754"/>
      <c r="AB53" s="1754"/>
      <c r="AC53" s="1754"/>
      <c r="AD53" s="1754"/>
      <c r="AE53" s="1754"/>
      <c r="AF53" s="1754"/>
      <c r="AG53" s="1754"/>
      <c r="AH53" s="1754"/>
      <c r="AI53" s="1754"/>
      <c r="AJ53" s="1754"/>
      <c r="AK53" s="1754"/>
      <c r="AL53" s="1754"/>
      <c r="AM53" s="1755"/>
      <c r="AO53" s="861"/>
      <c r="AP53" s="861" t="str">
        <f>IF(T53="","",T53)</f>
        <v/>
      </c>
      <c r="AQ53" s="861"/>
      <c r="AR53" s="861"/>
    </row>
    <row s="19127" customFormat="1" customHeight="1" ht="0">
      <c r="A54" s="1709" t="s">
        <v>183</v>
      </c>
      <c r="B54" s="1709" t="s">
        <v>184</v>
      </c>
      <c r="C54" s="1709" t="s">
        <v>185</v>
      </c>
      <c r="D54" s="1680"/>
      <c r="E54" s="2528"/>
      <c r="F54" s="2528"/>
      <c r="G54" s="2527"/>
      <c r="H54" s="1680"/>
      <c r="I54" s="1680"/>
      <c r="J54" s="1680"/>
      <c r="K54" s="1680"/>
      <c r="L54" s="1705"/>
      <c r="M54" s="1681"/>
      <c r="N54" s="1681"/>
      <c r="P54" s="1682"/>
      <c r="Q54" s="1683"/>
      <c r="R54" s="1682"/>
      <c r="S54" s="1688"/>
      <c r="T54" s="1691" t="s">
        <v>414</v>
      </c>
      <c r="U54" s="1690"/>
      <c r="V54" s="1690"/>
      <c r="W54" s="1690"/>
      <c r="X54" s="1690"/>
      <c r="Y54" s="1690"/>
      <c r="Z54" s="1690"/>
      <c r="AA54" s="1690"/>
      <c r="AB54" s="1690"/>
      <c r="AC54" s="1690"/>
      <c r="AD54" s="1690"/>
      <c r="AE54" s="1690"/>
      <c r="AF54" s="1690"/>
      <c r="AG54" s="1690"/>
      <c r="AH54" s="1690"/>
      <c r="AI54" s="1690"/>
      <c r="AJ54" s="1690"/>
      <c r="AK54" s="1690"/>
      <c r="AL54" s="1690"/>
      <c r="AM54" s="1690"/>
      <c r="AO54" s="1150"/>
      <c r="AP54" s="1150" t="str">
        <f>IF(T54="","",T54)</f>
        <v>Добавить источник для дифференциации</v>
      </c>
      <c r="AQ54" s="1150"/>
      <c r="AR54" s="1150"/>
    </row>
    <row s="19127" customFormat="1" customHeight="1" ht="0">
      <c r="A55" s="1709" t="s">
        <v>183</v>
      </c>
      <c r="B55" s="1709" t="s">
        <v>184</v>
      </c>
      <c r="C55" s="1680"/>
      <c r="D55" s="1680"/>
      <c r="E55" s="2528"/>
      <c r="F55" s="2527"/>
      <c r="G55" s="1680"/>
      <c r="H55" s="1680"/>
      <c r="I55" s="1680"/>
      <c r="J55" s="1680"/>
      <c r="K55" s="1680"/>
      <c r="L55" s="1705"/>
      <c r="M55" s="1687"/>
      <c r="N55" s="1687"/>
      <c r="P55" s="1682"/>
      <c r="Q55" s="1683"/>
      <c r="R55" s="1682"/>
      <c r="S55" s="1688"/>
      <c r="T55" s="1691" t="s">
        <v>251</v>
      </c>
      <c r="U55" s="1690"/>
      <c r="V55" s="1690"/>
      <c r="W55" s="1690"/>
      <c r="X55" s="1690"/>
      <c r="Y55" s="1690"/>
      <c r="Z55" s="1690"/>
      <c r="AA55" s="1690"/>
      <c r="AB55" s="1690"/>
      <c r="AC55" s="1690"/>
      <c r="AD55" s="1690"/>
      <c r="AE55" s="1690"/>
      <c r="AF55" s="1690"/>
      <c r="AG55" s="1690"/>
      <c r="AH55" s="1690"/>
      <c r="AI55" s="1690"/>
      <c r="AJ55" s="1690"/>
      <c r="AK55" s="1690"/>
      <c r="AL55" s="1690"/>
      <c r="AM55" s="1690"/>
      <c r="AO55" s="1150"/>
      <c r="AP55" s="1150" t="str">
        <f>IF(T55="","",T55)</f>
        <v>Добавить централизованную систему для дифференциации</v>
      </c>
      <c r="AQ55" s="1150"/>
      <c r="AR55" s="1150"/>
    </row>
    <row s="19219" customFormat="1" customHeight="1" ht="0">
      <c r="A56" s="1709" t="s">
        <v>183</v>
      </c>
      <c r="B56" s="1709"/>
      <c r="C56" s="1709"/>
      <c r="D56" s="1709"/>
      <c r="E56" s="2527"/>
      <c r="F56" s="1709"/>
      <c r="G56" s="1709"/>
      <c r="H56" s="1709"/>
      <c r="I56" s="1709"/>
      <c r="J56" s="1709"/>
      <c r="K56" s="1709"/>
      <c r="L56" s="1712"/>
      <c r="M56" s="1687"/>
      <c r="N56" s="1687"/>
      <c r="O56" s="879"/>
      <c r="P56" s="741"/>
      <c r="Q56" s="1710"/>
      <c r="R56" s="741"/>
      <c r="S56" s="1688"/>
      <c r="T56" s="1691" t="s">
        <v>252</v>
      </c>
      <c r="U56" s="1690"/>
      <c r="V56" s="1690"/>
      <c r="W56" s="1690"/>
      <c r="X56" s="1690"/>
      <c r="Y56" s="1690"/>
      <c r="Z56" s="1690"/>
      <c r="AA56" s="1690"/>
      <c r="AB56" s="1690"/>
      <c r="AC56" s="1690"/>
      <c r="AD56" s="1690"/>
      <c r="AE56" s="1690"/>
      <c r="AF56" s="1690"/>
      <c r="AG56" s="1690"/>
      <c r="AH56" s="1690"/>
      <c r="AI56" s="1690"/>
      <c r="AJ56" s="1690"/>
      <c r="AK56" s="1690"/>
      <c r="AL56" s="1690"/>
      <c r="AM56" s="1690"/>
      <c r="AO56" s="861"/>
      <c r="AP56" s="861" t="str">
        <f>IF(T56="","",T56)</f>
        <v>Добавить территорию для дифференциации</v>
      </c>
      <c r="AQ56" s="861"/>
      <c r="AR56" s="861"/>
    </row>
    <row s="19127" customFormat="1" customHeight="1" ht="5.25">
      <c r="A57" s="1680"/>
      <c r="B57" s="1680"/>
      <c r="C57" s="1680"/>
      <c r="D57" s="1680"/>
      <c r="E57" s="1709"/>
      <c r="F57" s="1680"/>
      <c r="G57" s="1680"/>
      <c r="H57" s="1680"/>
      <c r="I57" s="1680"/>
      <c r="J57" s="1680"/>
      <c r="K57" s="1680"/>
      <c r="L57" s="1705"/>
      <c r="M57" s="1687"/>
      <c r="N57" s="1687"/>
      <c r="P57" s="1682"/>
      <c r="Q57" s="1683"/>
      <c r="R57" s="1682"/>
      <c r="S57" s="1688"/>
      <c r="T57" s="1691" t="s">
        <v>253</v>
      </c>
      <c r="U57" s="1690"/>
      <c r="V57" s="1690"/>
      <c r="W57" s="1690"/>
      <c r="X57" s="1690"/>
      <c r="Y57" s="1690"/>
      <c r="Z57" s="1690"/>
      <c r="AA57" s="1690"/>
      <c r="AB57" s="1690"/>
      <c r="AC57" s="1690"/>
      <c r="AD57" s="1690"/>
      <c r="AE57" s="1690"/>
      <c r="AF57" s="1690"/>
      <c r="AG57" s="1690"/>
      <c r="AH57" s="1690"/>
      <c r="AI57" s="1690"/>
      <c r="AJ57" s="1690"/>
      <c r="AK57" s="1690"/>
      <c r="AL57" s="1690"/>
      <c r="AM57" s="1690"/>
      <c r="AO57" s="1150"/>
      <c r="AP57" s="1150" t="str">
        <f>IF(T57="","",T57)</f>
        <v>Добавить наименование тарифа</v>
      </c>
      <c r="AQ57" s="1150"/>
      <c r="AR57" s="1150"/>
    </row>
    <row customHeight="1" ht="11.25">
      <c r="M58" s="1523"/>
      <c r="N58" s="1523"/>
      <c r="O58" s="898"/>
      <c r="P58" s="1518"/>
      <c r="Q58" s="1518"/>
      <c r="R58" s="1518"/>
      <c r="S58" s="1518"/>
      <c r="AN58" s="1518"/>
      <c r="AO58" s="1518"/>
      <c r="AP58" s="1518"/>
      <c r="AQ58" s="1518"/>
      <c r="AR58" s="1518"/>
    </row>
    <row customHeight="1" ht="14.25">
      <c r="O59" s="898"/>
      <c r="S59" s="1618"/>
      <c r="T59" s="2526"/>
      <c r="U59" s="2526"/>
      <c r="V59" s="2526"/>
      <c r="W59" s="2526"/>
      <c r="X59" s="2526"/>
      <c r="Y59" s="2526"/>
      <c r="Z59" s="2526"/>
      <c r="AA59" s="2526"/>
      <c r="AB59" s="2526"/>
      <c r="AC59" s="2526"/>
      <c r="AD59" s="2526"/>
      <c r="AE59" s="2526"/>
      <c r="AF59" s="2526"/>
      <c r="AG59" s="2526"/>
      <c r="AH59" s="2526"/>
      <c r="AI59" s="2526"/>
      <c r="AJ59" s="2526"/>
      <c r="AK59" s="2526"/>
      <c r="AL59" s="2526"/>
      <c r="AM59" s="2526"/>
    </row>
    <row customHeight="1" ht="14.25">
      <c r="O60" s="898"/>
      <c r="T60" s="2526"/>
      <c r="U60" s="2526"/>
      <c r="V60" s="2526"/>
      <c r="W60" s="2526"/>
      <c r="X60" s="2526"/>
      <c r="Y60" s="2526"/>
      <c r="Z60" s="2526"/>
      <c r="AA60" s="2526"/>
      <c r="AB60" s="2526"/>
      <c r="AC60" s="2526"/>
      <c r="AD60" s="2526"/>
      <c r="AE60" s="2526"/>
      <c r="AF60" s="2526"/>
      <c r="AG60" s="2526"/>
      <c r="AH60" s="2526"/>
      <c r="AI60" s="2526"/>
      <c r="AJ60" s="2526"/>
      <c r="AK60" s="2526"/>
      <c r="AL60" s="2526"/>
      <c r="AM60" s="2526"/>
    </row>
    <row customHeight="1" ht="14.25">
      <c r="O61" s="898"/>
      <c r="T61" s="2526"/>
      <c r="U61" s="2526"/>
      <c r="V61" s="2526"/>
      <c r="W61" s="2526"/>
      <c r="X61" s="2526"/>
      <c r="Y61" s="2526"/>
      <c r="Z61" s="2526"/>
      <c r="AA61" s="2526"/>
      <c r="AB61" s="2526"/>
      <c r="AC61" s="2526"/>
      <c r="AD61" s="2526"/>
      <c r="AE61" s="2526"/>
      <c r="AF61" s="2526"/>
      <c r="AG61" s="2526"/>
      <c r="AH61" s="2526"/>
      <c r="AI61" s="2526"/>
      <c r="AJ61" s="2526"/>
      <c r="AK61" s="2526"/>
      <c r="AL61" s="2526"/>
      <c r="AM61" s="2526"/>
    </row>
    <row customHeight="1" ht="14.25">
      <c r="O62" s="898"/>
    </row>
    <row customHeight="1" ht="14.25">
      <c r="O63" s="898"/>
      <c r="S63" s="1618"/>
      <c r="T63" s="2572"/>
      <c r="U63" s="2526"/>
      <c r="V63" s="2526"/>
      <c r="W63" s="2526"/>
      <c r="X63" s="2526"/>
      <c r="Y63" s="2526"/>
      <c r="Z63" s="2526"/>
      <c r="AA63" s="2526"/>
      <c r="AB63" s="2526"/>
      <c r="AC63" s="2526"/>
      <c r="AD63" s="2526"/>
      <c r="AE63" s="2526"/>
      <c r="AF63" s="2526"/>
      <c r="AG63" s="2526"/>
      <c r="AH63" s="2526"/>
      <c r="AI63" s="2526"/>
      <c r="AJ63" s="2526"/>
      <c r="AK63" s="2526"/>
      <c r="AL63" s="2526"/>
      <c r="AM63" s="2526"/>
    </row>
    <row customHeight="1" ht="14.25">
      <c r="O64" s="898"/>
      <c r="T64" s="2526"/>
      <c r="U64" s="2526"/>
      <c r="V64" s="2526"/>
      <c r="W64" s="2526"/>
      <c r="X64" s="2526"/>
      <c r="Y64" s="2526"/>
      <c r="Z64" s="2526"/>
      <c r="AA64" s="2526"/>
      <c r="AB64" s="2526"/>
      <c r="AC64" s="2526"/>
      <c r="AD64" s="2526"/>
      <c r="AE64" s="2526"/>
      <c r="AF64" s="2526"/>
      <c r="AG64" s="2526"/>
      <c r="AH64" s="2526"/>
      <c r="AI64" s="2526"/>
      <c r="AJ64" s="2526"/>
      <c r="AK64" s="2526"/>
      <c r="AL64" s="2526"/>
      <c r="AM64" s="2526"/>
    </row>
    <row customHeight="1" ht="14.25">
      <c r="T65" s="2526"/>
      <c r="U65" s="2526"/>
      <c r="V65" s="2526"/>
      <c r="W65" s="2526"/>
      <c r="X65" s="2526"/>
      <c r="Y65" s="2526"/>
      <c r="Z65" s="2526"/>
      <c r="AA65" s="2526"/>
      <c r="AB65" s="2526"/>
      <c r="AC65" s="2526"/>
      <c r="AD65" s="2526"/>
      <c r="AE65" s="2526"/>
      <c r="AF65" s="2526"/>
      <c r="AG65" s="2526"/>
      <c r="AH65" s="2526"/>
      <c r="AI65" s="2526"/>
      <c r="AJ65" s="2526"/>
      <c r="AK65" s="2526"/>
      <c r="AL65" s="2526"/>
      <c r="AM65" s="2526"/>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D53B88-1065-0053-CAED-20E6B647A1B1}"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19232" width="10.57421875" hidden="1"/>
    <col min="2" max="2" style="19232" width="11.00390625" hidden="1" customWidth="1"/>
    <col min="3" max="3" style="19232" width="10.57421875" hidden="1"/>
    <col min="4" max="4" style="19232" width="11.8515625" hidden="1" customWidth="1"/>
    <col min="5" max="5" style="19232" width="10.00390625" hidden="1" customWidth="1"/>
    <col min="6" max="6" style="19232" width="8.7109375" hidden="1" customWidth="1"/>
    <col min="7" max="7" style="19232" width="7.57421875" hidden="1" customWidth="1"/>
    <col min="8" max="8" style="19232" width="11.421875" hidden="1" customWidth="1"/>
    <col min="9" max="9" style="19232" width="12.00390625" hidden="1" customWidth="1"/>
    <col min="10" max="10" style="19232" width="9.8515625" hidden="1" customWidth="1"/>
    <col min="11" max="12" style="19232" width="11.421875" hidden="1" customWidth="1"/>
    <col min="13" max="13" style="19337" width="19.140625" hidden="1" customWidth="1"/>
    <col min="14" max="15" style="19240" width="12.28125" hidden="1" customWidth="1"/>
    <col min="16" max="16" style="19240" width="23.421875" hidden="1" customWidth="1"/>
    <col min="17" max="17" style="19240" width="3.7109375" hidden="1" customWidth="1"/>
    <col min="18" max="20" style="19230" width="3.7109375" customWidth="1"/>
    <col min="21" max="21" style="19231" width="12.7109375" customWidth="1"/>
    <col min="22" max="22" style="19232" width="32.00390625" customWidth="1"/>
    <col min="23" max="23" style="19232" width="0.140625" customWidth="1"/>
    <col min="24" max="28" style="19232" width="21.7109375" hidden="1" customWidth="1"/>
    <col min="29" max="29" style="19232" width="11.7109375" hidden="1" customWidth="1"/>
    <col min="30" max="30" style="19232" width="3.7109375" hidden="1" customWidth="1"/>
    <col min="31" max="31" style="19232" width="11.7109375" hidden="1" customWidth="1"/>
    <col min="32" max="32" style="19232" width="8.57421875" hidden="1" customWidth="1"/>
    <col min="33" max="37" style="19232" width="21.7109375" customWidth="1"/>
    <col min="38" max="38" style="19232" width="11.7109375" customWidth="1"/>
    <col min="39" max="39" style="19232" width="3.7109375" customWidth="1"/>
    <col min="40" max="40" style="19232" width="11.7109375" customWidth="1"/>
    <col min="41" max="41" style="19232" width="8.57421875" customWidth="1"/>
    <col min="42" max="42" style="19232" width="4.7109375" customWidth="1"/>
    <col min="43" max="43" style="19232" width="115.7109375" customWidth="1"/>
    <col min="44" max="45" style="19219" width="10.57421875"/>
    <col min="46" max="46" style="19219" width="11.140625" customWidth="1"/>
    <col min="47" max="48" style="19219" width="10.57421875"/>
  </cols>
  <sheetData>
    <row customHeight="1" ht="14.25" hidden="1">
      <c r="AB1" s="688"/>
      <c r="AC1" s="688"/>
      <c r="AK1" s="688"/>
      <c r="AL1" s="688"/>
    </row>
    <row customHeight="1" ht="21" hidden="1">
      <c r="A2" s="1633"/>
      <c r="B2" s="1633"/>
      <c r="C2" s="1633"/>
      <c r="D2" s="1633"/>
      <c r="E2" s="2562">
        <v>1</v>
      </c>
      <c r="F2" s="1633"/>
      <c r="G2" s="1633"/>
      <c r="H2" s="1633"/>
      <c r="I2" s="1633"/>
      <c r="J2" s="1633"/>
      <c r="K2" s="1633"/>
      <c r="L2" s="1633"/>
      <c r="M2" s="1676"/>
      <c r="N2" s="1049"/>
      <c r="O2" s="1049"/>
      <c r="P2" s="1049"/>
      <c r="Q2" s="722"/>
      <c r="R2" s="721"/>
      <c r="S2" s="721"/>
      <c r="T2" s="716"/>
      <c r="U2" s="1702">
        <f>INDEX(PT_DIFFERENTIATION_NUM_NTAR,MATCH(A2,PT_DIFFERENTIATION_NTAR_ID,0))</f>
      </c>
      <c r="V2" s="659" t="s">
        <v>120</v>
      </c>
      <c r="W2" s="661"/>
      <c r="X2" s="2521"/>
      <c r="Y2" s="2522"/>
      <c r="Z2" s="2522"/>
      <c r="AA2" s="2522"/>
      <c r="AB2" s="2522"/>
      <c r="AC2" s="2522"/>
      <c r="AD2" s="2522"/>
      <c r="AE2" s="2522"/>
      <c r="AF2" s="2523"/>
      <c r="AG2" s="2521">
        <f>INDEX(PT_DIFFERENTIATION_NTAR,MATCH(A2,PT_DIFFERENTIATION_NTAR_ID,0))</f>
      </c>
      <c r="AH2" s="2522"/>
      <c r="AI2" s="2522"/>
      <c r="AJ2" s="2522"/>
      <c r="AK2" s="2522"/>
      <c r="AL2" s="2522"/>
      <c r="AM2" s="2522"/>
      <c r="AN2" s="2522"/>
      <c r="AO2" s="2522"/>
      <c r="AP2" s="2523"/>
      <c r="AQ2" s="1623" t="s">
        <v>396</v>
      </c>
      <c r="AS2" s="861"/>
      <c r="AT2" s="861" t="str">
        <f>IF(V2="","",V2)</f>
        <v>Наименование тарифа</v>
      </c>
      <c r="AU2" s="861"/>
      <c r="AV2" s="861"/>
    </row>
    <row customHeight="1" ht="21" hidden="1">
      <c r="A3" s="1633"/>
      <c r="B3" s="1633"/>
      <c r="C3" s="1633"/>
      <c r="D3" s="1633"/>
      <c r="E3" s="2563"/>
      <c r="F3" s="2562">
        <v>1</v>
      </c>
      <c r="G3" s="1633"/>
      <c r="H3" s="1633"/>
      <c r="I3" s="1633"/>
      <c r="J3" s="1633"/>
      <c r="K3" s="1633"/>
      <c r="L3" s="1633"/>
      <c r="M3" s="1676"/>
      <c r="N3" s="1049"/>
      <c r="O3" s="1049"/>
      <c r="P3" s="1049"/>
      <c r="Q3" s="1698"/>
      <c r="R3" s="713"/>
      <c r="S3" s="870"/>
      <c r="T3" s="714"/>
      <c r="U3" s="1702">
        <f>INDEX(PT_DIFFERENTIATION_NUM_TER,MATCH(B3,PT_DIFFERENTIATION_TER_ID,0))</f>
      </c>
      <c r="V3" s="669" t="s">
        <v>397</v>
      </c>
      <c r="W3" s="661"/>
      <c r="X3" s="2521"/>
      <c r="Y3" s="2522"/>
      <c r="Z3" s="2522"/>
      <c r="AA3" s="2522"/>
      <c r="AB3" s="2522"/>
      <c r="AC3" s="2522"/>
      <c r="AD3" s="2522"/>
      <c r="AE3" s="2522"/>
      <c r="AF3" s="2523"/>
      <c r="AG3" s="2521">
        <f>INDEX(PT_DIFFERENTIATION_TER,MATCH(B3,PT_DIFFERENTIATION_TER_ID,0))</f>
      </c>
      <c r="AH3" s="2522"/>
      <c r="AI3" s="2522"/>
      <c r="AJ3" s="2522"/>
      <c r="AK3" s="2522"/>
      <c r="AL3" s="2522"/>
      <c r="AM3" s="2522"/>
      <c r="AN3" s="2522"/>
      <c r="AO3" s="2522"/>
      <c r="AP3" s="2523"/>
      <c r="AQ3" s="1623" t="s">
        <v>398</v>
      </c>
      <c r="AS3" s="861"/>
      <c r="AT3" s="861" t="str">
        <f>IF(V3="","",V3)</f>
        <v>Территория действия тарифа</v>
      </c>
      <c r="AU3" s="861"/>
      <c r="AV3" s="861"/>
    </row>
    <row customHeight="1" ht="22.5" hidden="1">
      <c r="A4" s="1633"/>
      <c r="B4" s="1633"/>
      <c r="C4" s="1633"/>
      <c r="D4" s="1633"/>
      <c r="E4" s="2563"/>
      <c r="F4" s="2563"/>
      <c r="G4" s="2562">
        <v>1</v>
      </c>
      <c r="H4" s="1633"/>
      <c r="I4" s="1633"/>
      <c r="J4" s="1633"/>
      <c r="K4" s="1633"/>
      <c r="L4" s="1633"/>
      <c r="M4" s="1676"/>
      <c r="N4" s="1049"/>
      <c r="O4" s="1049"/>
      <c r="P4" s="1049"/>
      <c r="Q4" s="715"/>
      <c r="R4" s="713"/>
      <c r="S4" s="870"/>
      <c r="T4" s="714"/>
      <c r="U4" s="1702">
        <f>INDEX(PT_DIFFERENTIATION_NUM_CS,MATCH(C4,PT_DIFFERENTIATION_CS_ID,0))</f>
      </c>
      <c r="V4" s="670" t="s">
        <v>399</v>
      </c>
      <c r="W4" s="661"/>
      <c r="X4" s="2521"/>
      <c r="Y4" s="2522"/>
      <c r="Z4" s="2522"/>
      <c r="AA4" s="2522"/>
      <c r="AB4" s="2522"/>
      <c r="AC4" s="2522"/>
      <c r="AD4" s="2522"/>
      <c r="AE4" s="2522"/>
      <c r="AF4" s="2523"/>
      <c r="AG4" s="2521">
        <f>INDEX(PT_DIFFERENTIATION_CS,MATCH(C4,PT_DIFFERENTIATION_CS_ID,0))</f>
      </c>
      <c r="AH4" s="2522"/>
      <c r="AI4" s="2522"/>
      <c r="AJ4" s="2522"/>
      <c r="AK4" s="2522"/>
      <c r="AL4" s="2522"/>
      <c r="AM4" s="2522"/>
      <c r="AN4" s="2522"/>
      <c r="AO4" s="2522"/>
      <c r="AP4" s="2523"/>
      <c r="AQ4" s="1623" t="s">
        <v>400</v>
      </c>
      <c r="AS4" s="861"/>
      <c r="AT4" s="861" t="str">
        <f>IF(V4="","",V4)</f>
        <v>Наименование системы теплоснабжения </v>
      </c>
      <c r="AU4" s="861"/>
      <c r="AV4" s="861"/>
    </row>
    <row customHeight="1" ht="21" hidden="1">
      <c r="A5" s="1633"/>
      <c r="B5" s="1633"/>
      <c r="C5" s="1633"/>
      <c r="D5" s="1633"/>
      <c r="E5" s="2563"/>
      <c r="F5" s="2563"/>
      <c r="G5" s="2563"/>
      <c r="H5" s="2562">
        <v>1</v>
      </c>
      <c r="I5" s="1633"/>
      <c r="J5" s="1633"/>
      <c r="K5" s="1633"/>
      <c r="L5" s="1633"/>
      <c r="M5" s="1676"/>
      <c r="N5" s="1049"/>
      <c r="O5" s="1049"/>
      <c r="P5" s="1049"/>
      <c r="Q5" s="715"/>
      <c r="R5" s="713"/>
      <c r="S5" s="870"/>
      <c r="T5" s="714"/>
      <c r="U5" s="1702">
        <f>INDEX(PT_DIFFERENTIATION_NUM_IST_TE,MATCH(D5,PT_DIFFERENTIATION_IST_TE_ID,0))</f>
      </c>
      <c r="V5" s="671" t="s">
        <v>401</v>
      </c>
      <c r="W5" s="661"/>
      <c r="X5" s="2521"/>
      <c r="Y5" s="2522"/>
      <c r="Z5" s="2522"/>
      <c r="AA5" s="2522"/>
      <c r="AB5" s="2522"/>
      <c r="AC5" s="2522"/>
      <c r="AD5" s="2522"/>
      <c r="AE5" s="2522"/>
      <c r="AF5" s="2523"/>
      <c r="AG5" s="2521">
        <f>INDEX(PT_DIFFERENTIATION_IST_TE,MATCH(D5,PT_DIFFERENTIATION_IST_TE_ID,0))</f>
      </c>
      <c r="AH5" s="2522"/>
      <c r="AI5" s="2522"/>
      <c r="AJ5" s="2522"/>
      <c r="AK5" s="2522"/>
      <c r="AL5" s="2522"/>
      <c r="AM5" s="2522"/>
      <c r="AN5" s="2522"/>
      <c r="AO5" s="2522"/>
      <c r="AP5" s="2523"/>
      <c r="AQ5" s="1623" t="s">
        <v>402</v>
      </c>
      <c r="AS5" s="861"/>
      <c r="AT5" s="861" t="str">
        <f>IF(V5="","",V5)</f>
        <v>Источник тепловой энергии  </v>
      </c>
      <c r="AU5" s="861"/>
      <c r="AV5" s="861"/>
    </row>
    <row customHeight="1" ht="14.25" hidden="1">
      <c r="A6" s="1633"/>
      <c r="B6" s="1633"/>
      <c r="C6" s="1633"/>
      <c r="D6" s="1633"/>
      <c r="E6" s="2563"/>
      <c r="F6" s="2563"/>
      <c r="G6" s="2563"/>
      <c r="H6" s="2563"/>
      <c r="I6" s="2392">
        <f>U5&amp;".1"</f>
      </c>
      <c r="J6" s="1633"/>
      <c r="K6" s="1633"/>
      <c r="L6" s="1633"/>
      <c r="M6" s="1676" t="s">
        <v>403</v>
      </c>
      <c r="N6" s="870"/>
      <c r="Q6" s="2531">
        <v>1</v>
      </c>
      <c r="R6" s="1697"/>
      <c r="S6" s="1697"/>
      <c r="T6" s="717"/>
      <c r="U6" s="1404"/>
      <c r="V6" s="1749"/>
      <c r="W6" s="1750"/>
      <c r="X6" s="2569"/>
      <c r="Y6" s="2570"/>
      <c r="Z6" s="2570"/>
      <c r="AA6" s="2570"/>
      <c r="AB6" s="2570"/>
      <c r="AC6" s="2570"/>
      <c r="AD6" s="2570"/>
      <c r="AE6" s="2570"/>
      <c r="AF6" s="2571"/>
      <c r="AG6" s="2569"/>
      <c r="AH6" s="2570"/>
      <c r="AI6" s="2570"/>
      <c r="AJ6" s="2570"/>
      <c r="AK6" s="2570"/>
      <c r="AL6" s="2570"/>
      <c r="AM6" s="2570"/>
      <c r="AN6" s="2570"/>
      <c r="AO6" s="2570"/>
      <c r="AP6" s="2571"/>
      <c r="AQ6" s="1751"/>
      <c r="AS6" s="861"/>
      <c r="AT6" s="861" t="str">
        <f>IF(V6="","",V6)</f>
        <v/>
      </c>
      <c r="AU6" s="861"/>
      <c r="AV6" s="861"/>
    </row>
    <row customHeight="1" ht="21" hidden="1">
      <c r="A7" s="1633"/>
      <c r="B7" s="1633"/>
      <c r="C7" s="1633"/>
      <c r="D7" s="1633"/>
      <c r="E7" s="2563"/>
      <c r="F7" s="2563"/>
      <c r="G7" s="2563"/>
      <c r="H7" s="2563"/>
      <c r="I7" s="2376"/>
      <c r="J7" s="2392">
        <f>I6&amp;".1"</f>
      </c>
      <c r="K7" s="1633"/>
      <c r="L7" s="1633"/>
      <c r="M7" s="1676" t="s">
        <v>406</v>
      </c>
      <c r="N7" s="870"/>
      <c r="O7" s="688"/>
      <c r="Q7" s="2531"/>
      <c r="R7" s="2531">
        <v>1</v>
      </c>
      <c r="S7" s="879"/>
      <c r="T7" s="718"/>
      <c r="U7" s="1702">
        <f>$J7</f>
      </c>
      <c r="V7" s="647" t="s">
        <v>407</v>
      </c>
      <c r="W7" s="661"/>
      <c r="X7" s="2515"/>
      <c r="Y7" s="2516"/>
      <c r="Z7" s="2516"/>
      <c r="AA7" s="2516"/>
      <c r="AB7" s="2516"/>
      <c r="AC7" s="2508"/>
      <c r="AD7" s="2508"/>
      <c r="AE7" s="2508"/>
      <c r="AF7" s="2591"/>
      <c r="AG7" s="2515"/>
      <c r="AH7" s="2516"/>
      <c r="AI7" s="2516"/>
      <c r="AJ7" s="2516"/>
      <c r="AK7" s="2516"/>
      <c r="AL7" s="2516"/>
      <c r="AM7" s="2516"/>
      <c r="AN7" s="2516"/>
      <c r="AO7" s="2516"/>
      <c r="AP7" s="2517"/>
      <c r="AQ7" s="1623" t="s">
        <v>408</v>
      </c>
      <c r="AS7" s="861"/>
      <c r="AT7" s="861" t="str">
        <f>IF(V7="","",V7)</f>
        <v>Группа потребителей</v>
      </c>
      <c r="AU7" s="861"/>
      <c r="AV7" s="861"/>
    </row>
    <row customHeight="1" ht="21" hidden="1">
      <c r="A8" s="1633"/>
      <c r="B8" s="1633"/>
      <c r="C8" s="1633"/>
      <c r="D8" s="1633"/>
      <c r="E8" s="2563"/>
      <c r="F8" s="2563"/>
      <c r="G8" s="2563"/>
      <c r="H8" s="2563"/>
      <c r="I8" s="2376"/>
      <c r="J8" s="2376"/>
      <c r="K8" s="2392">
        <f>J7&amp;".1"</f>
      </c>
      <c r="L8" s="501"/>
      <c r="M8" s="1676" t="s">
        <v>409</v>
      </c>
      <c r="N8" s="870"/>
      <c r="O8" s="688"/>
      <c r="P8" s="688"/>
      <c r="Q8" s="2531"/>
      <c r="R8" s="2531"/>
      <c r="S8" s="2531">
        <v>1</v>
      </c>
      <c r="T8" s="718"/>
      <c r="U8" s="1702">
        <f>$K8</f>
      </c>
      <c r="V8" s="1713"/>
      <c r="W8" s="661"/>
      <c r="X8" s="1112"/>
      <c r="Y8" s="1112"/>
      <c r="Z8" s="1112"/>
      <c r="AA8" s="1112"/>
      <c r="AB8" s="1771"/>
      <c r="AC8" s="2532"/>
      <c r="AD8" s="2402" t="s">
        <v>59</v>
      </c>
      <c r="AE8" s="2532"/>
      <c r="AF8" s="2402" t="s">
        <v>59</v>
      </c>
      <c r="AG8" s="1773"/>
      <c r="AH8" s="1112"/>
      <c r="AI8" s="1112"/>
      <c r="AJ8" s="1112"/>
      <c r="AK8" s="1622"/>
      <c r="AL8" s="2532"/>
      <c r="AM8" s="2402" t="s">
        <v>59</v>
      </c>
      <c r="AN8" s="2532"/>
      <c r="AO8" s="2402" t="s">
        <v>59</v>
      </c>
      <c r="AP8" s="686"/>
      <c r="AQ8" s="1673" t="s">
        <v>449</v>
      </c>
      <c r="AR8" s="872">
        <f>STRCHECKDATE(X10:AP10)</f>
      </c>
      <c r="AS8" s="861"/>
      <c r="AT8" s="861" t="str">
        <f>IF(V8="","",V8)</f>
        <v/>
      </c>
      <c r="AU8" s="861"/>
      <c r="AV8" s="861"/>
    </row>
    <row customHeight="1" ht="21" hidden="1">
      <c r="A9" s="1633"/>
      <c r="B9" s="1633"/>
      <c r="C9" s="1633"/>
      <c r="D9" s="1633"/>
      <c r="E9" s="2563"/>
      <c r="F9" s="2563"/>
      <c r="G9" s="2563"/>
      <c r="H9" s="2563"/>
      <c r="I9" s="2376"/>
      <c r="J9" s="2376"/>
      <c r="K9" s="2376"/>
      <c r="L9" s="2392">
        <f>K8&amp;".1"</f>
      </c>
      <c r="M9" s="1676"/>
      <c r="N9" s="870"/>
      <c r="O9" s="688"/>
      <c r="P9" s="688"/>
      <c r="Q9" s="2531"/>
      <c r="R9" s="2531"/>
      <c r="S9" s="2531"/>
      <c r="T9" s="718"/>
      <c r="U9" s="1702">
        <f>$L9</f>
      </c>
      <c r="V9" s="1757"/>
      <c r="W9" s="661"/>
      <c r="X9" s="686"/>
      <c r="Y9" s="1112"/>
      <c r="Z9" s="1112"/>
      <c r="AA9" s="1112"/>
      <c r="AB9" s="1771"/>
      <c r="AC9" s="2574"/>
      <c r="AD9" s="2402"/>
      <c r="AE9" s="2574"/>
      <c r="AF9" s="2402"/>
      <c r="AG9" s="1773"/>
      <c r="AH9" s="1112"/>
      <c r="AI9" s="1112"/>
      <c r="AJ9" s="1112"/>
      <c r="AK9" s="1622"/>
      <c r="AL9" s="2574"/>
      <c r="AM9" s="2402"/>
      <c r="AN9" s="2574"/>
      <c r="AO9" s="2402"/>
      <c r="AP9" s="686"/>
      <c r="AQ9" s="2557" t="s">
        <v>450</v>
      </c>
      <c r="AS9" s="861"/>
      <c r="AT9" s="861"/>
      <c r="AU9" s="861"/>
      <c r="AV9" s="861"/>
    </row>
    <row customHeight="1" ht="14.25" hidden="1">
      <c r="A10" s="1633"/>
      <c r="B10" s="1633"/>
      <c r="C10" s="1633"/>
      <c r="D10" s="1633"/>
      <c r="E10" s="2563"/>
      <c r="F10" s="2563"/>
      <c r="G10" s="2563"/>
      <c r="H10" s="2563"/>
      <c r="I10" s="2376"/>
      <c r="J10" s="2376"/>
      <c r="K10" s="2376"/>
      <c r="L10" s="2392"/>
      <c r="M10" s="1676"/>
      <c r="N10" s="870"/>
      <c r="O10" s="688"/>
      <c r="P10" s="688"/>
      <c r="Q10" s="2531"/>
      <c r="R10" s="2531"/>
      <c r="S10" s="2531"/>
      <c r="T10" s="718"/>
      <c r="U10" s="1708"/>
      <c r="V10" s="661"/>
      <c r="W10" s="661"/>
      <c r="X10" s="686"/>
      <c r="Y10" s="686"/>
      <c r="Z10" s="686"/>
      <c r="AA10" s="686"/>
      <c r="AB10" s="1772" t="str">
        <f>AC8&amp;"-"&amp;AE8</f>
        <v>-</v>
      </c>
      <c r="AC10" s="2574"/>
      <c r="AD10" s="2402"/>
      <c r="AE10" s="2574"/>
      <c r="AF10" s="2402"/>
      <c r="AG10" s="1748"/>
      <c r="AH10" s="686"/>
      <c r="AI10" s="686"/>
      <c r="AJ10" s="686"/>
      <c r="AK10" s="689" t="str">
        <f>AL8&amp;"-"&amp;AN8</f>
        <v>-</v>
      </c>
      <c r="AL10" s="2574"/>
      <c r="AM10" s="2402"/>
      <c r="AN10" s="2574"/>
      <c r="AO10" s="2402"/>
      <c r="AP10" s="686"/>
      <c r="AQ10" s="2558"/>
      <c r="AS10" s="861"/>
      <c r="AT10" s="861" t="str">
        <f>IF(V10="","",V10)</f>
        <v/>
      </c>
      <c r="AU10" s="861"/>
      <c r="AV10" s="861"/>
    </row>
    <row customHeight="1" ht="11.25" hidden="1">
      <c r="A11" s="1633"/>
      <c r="B11" s="1633"/>
      <c r="C11" s="1633"/>
      <c r="D11" s="1633"/>
      <c r="E11" s="2563"/>
      <c r="F11" s="2563"/>
      <c r="G11" s="2563"/>
      <c r="H11" s="2563"/>
      <c r="I11" s="2376"/>
      <c r="J11" s="2376"/>
      <c r="K11" s="2392"/>
      <c r="L11" s="1633"/>
      <c r="M11" s="1676"/>
      <c r="N11" s="870"/>
      <c r="O11" s="688"/>
      <c r="P11" s="688"/>
      <c r="Q11" s="2531"/>
      <c r="R11" s="2531"/>
      <c r="S11" s="2531"/>
      <c r="T11" s="718"/>
      <c r="U11" s="1644"/>
      <c r="V11" s="649" t="s">
        <v>451</v>
      </c>
      <c r="W11" s="1758"/>
      <c r="X11" s="1759"/>
      <c r="Y11" s="1759"/>
      <c r="Z11" s="1759"/>
      <c r="AA11" s="1759"/>
      <c r="AB11" s="1760"/>
      <c r="AC11" s="2574"/>
      <c r="AD11" s="2402"/>
      <c r="AE11" s="2574"/>
      <c r="AF11" s="2402"/>
      <c r="AG11" s="1759"/>
      <c r="AH11" s="1759"/>
      <c r="AI11" s="1759"/>
      <c r="AJ11" s="1759"/>
      <c r="AK11" s="1760"/>
      <c r="AL11" s="2574"/>
      <c r="AM11" s="2402"/>
      <c r="AN11" s="2574"/>
      <c r="AO11" s="2402"/>
      <c r="AP11" s="1761"/>
      <c r="AQ11" s="2558"/>
      <c r="AS11" s="861"/>
      <c r="AT11" s="861"/>
      <c r="AU11" s="861"/>
      <c r="AV11" s="861"/>
    </row>
    <row customHeight="1" ht="15" hidden="1">
      <c r="A12" s="1633"/>
      <c r="B12" s="1633"/>
      <c r="C12" s="1633"/>
      <c r="D12" s="1633"/>
      <c r="E12" s="2563"/>
      <c r="F12" s="2563"/>
      <c r="G12" s="2563"/>
      <c r="H12" s="2563"/>
      <c r="I12" s="2376"/>
      <c r="J12" s="2392"/>
      <c r="K12" s="1633"/>
      <c r="L12" s="1633"/>
      <c r="M12" s="1676"/>
      <c r="N12" s="870"/>
      <c r="O12" s="688"/>
      <c r="Q12" s="2531"/>
      <c r="R12" s="2531"/>
      <c r="S12" s="1697"/>
      <c r="T12" s="717"/>
      <c r="U12" s="1644"/>
      <c r="V12" s="648" t="s">
        <v>411</v>
      </c>
      <c r="W12" s="728"/>
      <c r="X12" s="728"/>
      <c r="Y12" s="728"/>
      <c r="Z12" s="728"/>
      <c r="AA12" s="728"/>
      <c r="AB12" s="728"/>
      <c r="AC12" s="1774"/>
      <c r="AD12" s="1774"/>
      <c r="AE12" s="1774"/>
      <c r="AF12" s="1774"/>
      <c r="AG12" s="728"/>
      <c r="AH12" s="728"/>
      <c r="AI12" s="728"/>
      <c r="AJ12" s="728"/>
      <c r="AK12" s="728"/>
      <c r="AL12" s="728"/>
      <c r="AM12" s="728"/>
      <c r="AN12" s="728"/>
      <c r="AO12" s="728"/>
      <c r="AP12" s="685"/>
      <c r="AQ12" s="2559"/>
      <c r="AS12" s="861"/>
      <c r="AT12" s="861" t="str">
        <f>IF(V12="","",V12)</f>
        <v>Добавить вид теплоносителя (параметры теплоносителя)</v>
      </c>
      <c r="AU12" s="861"/>
      <c r="AV12" s="861"/>
    </row>
    <row customHeight="1" ht="11.25" hidden="1">
      <c r="A13" s="1633"/>
      <c r="B13" s="1633"/>
      <c r="C13" s="1633"/>
      <c r="D13" s="1633"/>
      <c r="E13" s="2563"/>
      <c r="F13" s="2563"/>
      <c r="G13" s="2563"/>
      <c r="H13" s="2563"/>
      <c r="I13" s="2392"/>
      <c r="J13" s="1633"/>
      <c r="K13" s="1633"/>
      <c r="L13" s="1633"/>
      <c r="M13" s="1676"/>
      <c r="N13" s="870"/>
      <c r="Q13" s="2531"/>
      <c r="R13" s="1697"/>
      <c r="S13" s="1697"/>
      <c r="T13" s="717"/>
      <c r="U13" s="1644"/>
      <c r="V13" s="726" t="s">
        <v>412</v>
      </c>
      <c r="W13" s="728"/>
      <c r="X13" s="728"/>
      <c r="Y13" s="728"/>
      <c r="Z13" s="728"/>
      <c r="AA13" s="728"/>
      <c r="AB13" s="728"/>
      <c r="AC13" s="728"/>
      <c r="AD13" s="728"/>
      <c r="AE13" s="728"/>
      <c r="AF13" s="727"/>
      <c r="AG13" s="728"/>
      <c r="AH13" s="728"/>
      <c r="AI13" s="728"/>
      <c r="AJ13" s="728"/>
      <c r="AK13" s="728"/>
      <c r="AL13" s="728"/>
      <c r="AM13" s="728"/>
      <c r="AN13" s="728"/>
      <c r="AO13" s="727"/>
      <c r="AP13" s="728"/>
      <c r="AQ13" s="664"/>
      <c r="AS13" s="861"/>
      <c r="AT13" s="861" t="str">
        <f>IF(V13="","",V13)</f>
        <v>Добавить группу потребителей</v>
      </c>
      <c r="AU13" s="861"/>
      <c r="AV13" s="861"/>
    </row>
    <row customHeight="1" ht="14.25" hidden="1">
      <c r="A14" s="1633"/>
      <c r="B14" s="1633"/>
      <c r="C14" s="1633"/>
      <c r="D14" s="1633"/>
      <c r="E14" s="2563"/>
      <c r="F14" s="2563"/>
      <c r="G14" s="2563"/>
      <c r="H14" s="2562"/>
      <c r="I14" s="1633"/>
      <c r="J14" s="1633"/>
      <c r="K14" s="1633"/>
      <c r="L14" s="1633"/>
      <c r="M14" s="1676"/>
      <c r="N14" s="1049"/>
      <c r="O14" s="1049"/>
      <c r="P14" s="870"/>
      <c r="Q14" s="721"/>
      <c r="R14" s="736"/>
      <c r="S14" s="716"/>
      <c r="T14" s="721"/>
      <c r="U14" s="1752"/>
      <c r="V14" s="1753"/>
      <c r="W14" s="1754"/>
      <c r="X14" s="1754"/>
      <c r="Y14" s="1754"/>
      <c r="Z14" s="1754"/>
      <c r="AA14" s="1754"/>
      <c r="AB14" s="1754"/>
      <c r="AC14" s="1754"/>
      <c r="AD14" s="1754"/>
      <c r="AE14" s="1754"/>
      <c r="AF14" s="1754"/>
      <c r="AG14" s="1754"/>
      <c r="AH14" s="1754"/>
      <c r="AI14" s="1754"/>
      <c r="AJ14" s="1754"/>
      <c r="AK14" s="1754"/>
      <c r="AL14" s="1754"/>
      <c r="AM14" s="1754"/>
      <c r="AN14" s="1754"/>
      <c r="AO14" s="1754"/>
      <c r="AP14" s="1754"/>
      <c r="AQ14" s="1755"/>
      <c r="AS14" s="861"/>
      <c r="AT14" s="861" t="str">
        <f>IF(V14="","",V14)</f>
        <v/>
      </c>
      <c r="AU14" s="861"/>
      <c r="AV14" s="861"/>
    </row>
    <row s="19127" customFormat="1" customHeight="1" ht="14.25" hidden="1">
      <c r="A15" s="1740"/>
      <c r="B15" s="1740"/>
      <c r="C15" s="1740"/>
      <c r="D15" s="1740"/>
      <c r="E15" s="2563"/>
      <c r="F15" s="2563"/>
      <c r="G15" s="2562"/>
      <c r="H15" s="1740"/>
      <c r="I15" s="1740"/>
      <c r="J15" s="1740"/>
      <c r="K15" s="1740"/>
      <c r="L15" s="1740"/>
      <c r="M15" s="1743"/>
      <c r="N15" s="1744"/>
      <c r="O15" s="1744"/>
      <c r="P15" s="712"/>
      <c r="Q15" s="1682"/>
      <c r="R15" s="1683"/>
      <c r="S15" s="1682"/>
      <c r="T15" s="1682"/>
      <c r="U15" s="1684"/>
      <c r="V15" s="1685" t="s">
        <v>414</v>
      </c>
      <c r="W15" s="1686"/>
      <c r="X15" s="1686"/>
      <c r="Y15" s="1686"/>
      <c r="Z15" s="1686"/>
      <c r="AA15" s="1686"/>
      <c r="AB15" s="1686"/>
      <c r="AC15" s="1686"/>
      <c r="AD15" s="1686"/>
      <c r="AE15" s="1686"/>
      <c r="AF15" s="1686"/>
      <c r="AG15" s="1686"/>
      <c r="AH15" s="1686"/>
      <c r="AI15" s="1686"/>
      <c r="AJ15" s="1686"/>
      <c r="AK15" s="1686"/>
      <c r="AL15" s="1686"/>
      <c r="AM15" s="1686"/>
      <c r="AN15" s="1686"/>
      <c r="AO15" s="1686"/>
      <c r="AP15" s="1686"/>
      <c r="AQ15" s="1686"/>
      <c r="AS15" s="1150"/>
      <c r="AT15" s="1150" t="str">
        <f>IF(V15="","",V15)</f>
        <v>Добавить источник для дифференциации</v>
      </c>
      <c r="AU15" s="1150"/>
      <c r="AV15" s="1150"/>
    </row>
    <row s="19127" customFormat="1" customHeight="1" ht="14.25" hidden="1">
      <c r="A16" s="1740"/>
      <c r="B16" s="1740"/>
      <c r="C16" s="1740"/>
      <c r="D16" s="1740"/>
      <c r="E16" s="2563"/>
      <c r="F16" s="2562"/>
      <c r="G16" s="1740"/>
      <c r="H16" s="1740"/>
      <c r="I16" s="1740"/>
      <c r="J16" s="1740"/>
      <c r="K16" s="1740"/>
      <c r="L16" s="1740"/>
      <c r="M16" s="1743"/>
      <c r="N16" s="1745"/>
      <c r="O16" s="1745"/>
      <c r="P16" s="712"/>
      <c r="Q16" s="1682"/>
      <c r="R16" s="1683"/>
      <c r="S16" s="1682"/>
      <c r="T16" s="1682"/>
      <c r="U16" s="1688"/>
      <c r="V16" s="1689" t="s">
        <v>251</v>
      </c>
      <c r="W16" s="1690"/>
      <c r="X16" s="1690"/>
      <c r="Y16" s="1690"/>
      <c r="Z16" s="1690"/>
      <c r="AA16" s="1690"/>
      <c r="AB16" s="1690"/>
      <c r="AC16" s="1690"/>
      <c r="AD16" s="1690"/>
      <c r="AE16" s="1690"/>
      <c r="AF16" s="1690"/>
      <c r="AG16" s="1690"/>
      <c r="AH16" s="1690"/>
      <c r="AI16" s="1690"/>
      <c r="AJ16" s="1690"/>
      <c r="AK16" s="1690"/>
      <c r="AL16" s="1690"/>
      <c r="AM16" s="1690"/>
      <c r="AN16" s="1690"/>
      <c r="AO16" s="1690"/>
      <c r="AP16" s="1690"/>
      <c r="AQ16" s="1690"/>
      <c r="AS16" s="1150"/>
      <c r="AT16" s="1150" t="str">
        <f>IF(V16="","",V16)</f>
        <v>Добавить централизованную систему для дифференциации</v>
      </c>
      <c r="AU16" s="1150"/>
      <c r="AV16" s="1150"/>
    </row>
    <row s="19127" customFormat="1" customHeight="1" ht="14.25" hidden="1">
      <c r="A17" s="1740"/>
      <c r="B17" s="1740"/>
      <c r="C17" s="1740"/>
      <c r="D17" s="1740"/>
      <c r="E17" s="2562"/>
      <c r="F17" s="1740"/>
      <c r="G17" s="1740"/>
      <c r="H17" s="1740"/>
      <c r="I17" s="1740"/>
      <c r="J17" s="1740"/>
      <c r="K17" s="1740"/>
      <c r="L17" s="1740"/>
      <c r="M17" s="1743"/>
      <c r="N17" s="1745"/>
      <c r="O17" s="1745"/>
      <c r="P17" s="712"/>
      <c r="Q17" s="1682"/>
      <c r="R17" s="1683"/>
      <c r="S17" s="1682"/>
      <c r="T17" s="1682"/>
      <c r="U17" s="1688"/>
      <c r="V17" s="1691" t="s">
        <v>252</v>
      </c>
      <c r="W17" s="1690"/>
      <c r="X17" s="1690"/>
      <c r="Y17" s="1690"/>
      <c r="Z17" s="1690"/>
      <c r="AA17" s="1690"/>
      <c r="AB17" s="1690"/>
      <c r="AC17" s="1690"/>
      <c r="AD17" s="1690"/>
      <c r="AE17" s="1690"/>
      <c r="AF17" s="1690"/>
      <c r="AG17" s="1690"/>
      <c r="AH17" s="1690"/>
      <c r="AI17" s="1690"/>
      <c r="AJ17" s="1690"/>
      <c r="AK17" s="1690"/>
      <c r="AL17" s="1690"/>
      <c r="AM17" s="1690"/>
      <c r="AN17" s="1690"/>
      <c r="AO17" s="1690"/>
      <c r="AP17" s="1690"/>
      <c r="AQ17" s="1690"/>
      <c r="AS17" s="1150"/>
      <c r="AT17" s="1150" t="str">
        <f>IF(V17="","",V17)</f>
        <v>Добавить территорию для дифференциации</v>
      </c>
      <c r="AU17" s="1150"/>
      <c r="AV17" s="1150"/>
    </row>
    <row customHeight="1" ht="14.25" hidden="1">
      <c r="AF18" s="688"/>
      <c r="AO18" s="688"/>
    </row>
    <row customHeight="1" ht="14.25" hidden="1">
      <c r="AG19" s="1726"/>
      <c r="AH19" s="1726"/>
      <c r="AI19" s="1726"/>
      <c r="AJ19" s="1726"/>
      <c r="AK19" s="1727"/>
      <c r="AL19" s="2525"/>
      <c r="AM19" s="2524" t="s">
        <v>59</v>
      </c>
      <c r="AN19" s="2525"/>
      <c r="AO19" s="2524" t="s">
        <v>59</v>
      </c>
    </row>
    <row customHeight="1" ht="14.25" hidden="1">
      <c r="AG20" s="1726"/>
      <c r="AH20" s="1726"/>
      <c r="AI20" s="1726"/>
      <c r="AJ20" s="1726"/>
      <c r="AK20" s="1727"/>
      <c r="AL20" s="2525"/>
      <c r="AM20" s="2524"/>
      <c r="AN20" s="2525"/>
      <c r="AO20" s="2524"/>
    </row>
    <row customHeight="1" ht="14.25" hidden="1">
      <c r="AG21" s="1726"/>
      <c r="AH21" s="1726"/>
      <c r="AI21" s="1726"/>
      <c r="AJ21" s="1726"/>
      <c r="AK21" s="1727"/>
      <c r="AL21" s="2525"/>
      <c r="AM21" s="2524"/>
      <c r="AN21" s="2525"/>
      <c r="AO21" s="2524"/>
    </row>
    <row customHeight="1" ht="14.25" hidden="1">
      <c r="AG22" s="1726"/>
      <c r="AH22" s="1726"/>
      <c r="AI22" s="1726"/>
      <c r="AJ22" s="1726"/>
      <c r="AK22" s="689" t="str">
        <f>AL19&amp;"-"&amp;AN19</f>
        <v>-</v>
      </c>
      <c r="AL22" s="2524"/>
      <c r="AM22" s="2524"/>
      <c r="AN22" s="2524"/>
      <c r="AO22" s="2524"/>
    </row>
    <row customHeight="1" ht="14.25" hidden="1">
      <c r="AO23" s="688"/>
    </row>
    <row s="19146" customFormat="1" customHeight="1" ht="22.5" hidden="1">
      <c r="A24" s="1518"/>
      <c r="B24" s="1518"/>
      <c r="C24" s="1518"/>
      <c r="D24" s="1518"/>
      <c r="E24" s="1518"/>
      <c r="F24" s="1518"/>
      <c r="G24" s="1518"/>
      <c r="H24" s="1518"/>
      <c r="I24" s="1518"/>
      <c r="J24" s="1518"/>
      <c r="K24" s="1518"/>
      <c r="L24" s="1518"/>
      <c r="M24" s="1693"/>
      <c r="N24" s="1694"/>
      <c r="O24" s="1694"/>
      <c r="P24" s="1711" t="s">
        <v>415</v>
      </c>
      <c r="Q24" s="1728"/>
      <c r="R24" s="1737"/>
      <c r="S24" s="1737"/>
      <c r="T24" s="1737"/>
      <c r="U24" s="1090"/>
      <c r="AC24" s="1733"/>
      <c r="AE24" s="1733"/>
      <c r="AF24" s="1732"/>
      <c r="AL24" s="1733"/>
      <c r="AN24" s="1733"/>
      <c r="AO24" s="1732"/>
      <c r="AR24" s="872"/>
      <c r="AS24" s="872"/>
      <c r="AT24" s="872"/>
      <c r="AU24" s="872"/>
      <c r="AV24" s="872"/>
    </row>
    <row s="19146" customFormat="1" customHeight="1" ht="14.25" hidden="1">
      <c r="A25" s="1518"/>
      <c r="B25" s="1518"/>
      <c r="C25" s="1518"/>
      <c r="D25" s="1518"/>
      <c r="E25" s="1518"/>
      <c r="F25" s="1518"/>
      <c r="G25" s="1518"/>
      <c r="H25" s="1518"/>
      <c r="I25" s="1518"/>
      <c r="J25" s="1518"/>
      <c r="K25" s="1518"/>
      <c r="L25" s="1518"/>
      <c r="M25" s="1693"/>
      <c r="N25" s="1694"/>
      <c r="O25" s="1694"/>
      <c r="P25" s="1694"/>
      <c r="Q25" s="1728"/>
      <c r="R25" s="1737"/>
      <c r="S25" s="1737"/>
      <c r="T25" s="1737"/>
      <c r="U25" s="1090"/>
      <c r="AF25" s="1732"/>
      <c r="AO25" s="1732"/>
      <c r="AR25" s="872"/>
      <c r="AS25" s="872"/>
      <c r="AT25" s="872"/>
      <c r="AU25" s="872"/>
      <c r="AV25" s="872"/>
    </row>
    <row s="19146" customFormat="1" customHeight="1" ht="14.25" hidden="1">
      <c r="A26" s="1518"/>
      <c r="B26" s="1518"/>
      <c r="C26" s="1518"/>
      <c r="D26" s="1518"/>
      <c r="E26" s="1518"/>
      <c r="F26" s="1518"/>
      <c r="G26" s="1518"/>
      <c r="H26" s="1518"/>
      <c r="I26" s="1518"/>
      <c r="J26" s="1518"/>
      <c r="K26" s="1518"/>
      <c r="L26" s="1518"/>
      <c r="M26" s="1693"/>
      <c r="N26" s="1694"/>
      <c r="O26" s="1694"/>
      <c r="P26" s="1676" t="s">
        <v>416</v>
      </c>
      <c r="Q26" s="1728"/>
      <c r="R26" s="1737"/>
      <c r="S26" s="1737"/>
      <c r="T26" s="1737"/>
      <c r="U26" s="1090"/>
      <c r="V26" s="1523" t="s">
        <v>417</v>
      </c>
      <c r="AD26" s="547" t="s">
        <v>418</v>
      </c>
      <c r="AF26" s="547" t="s">
        <v>419</v>
      </c>
      <c r="AG26" s="1523" t="s">
        <v>417</v>
      </c>
      <c r="AM26" s="547" t="s">
        <v>420</v>
      </c>
      <c r="AO26" s="547" t="s">
        <v>419</v>
      </c>
      <c r="AR26" s="872"/>
      <c r="AS26" s="872"/>
      <c r="AT26" s="872"/>
      <c r="AU26" s="872"/>
      <c r="AV26" s="872"/>
    </row>
    <row customHeight="1" ht="14.25" hidden="1">
      <c r="P27" s="1676"/>
    </row>
    <row customHeight="1" ht="14.25" hidden="1">
      <c r="P28" s="1676"/>
    </row>
    <row customHeight="1" ht="14.25">
      <c r="R29" s="737"/>
      <c r="S29" s="737"/>
      <c r="T29" s="737"/>
      <c r="U29" s="1641"/>
      <c r="V29" s="724"/>
      <c r="W29" s="724"/>
      <c r="X29" s="870"/>
      <c r="Y29" s="870"/>
      <c r="Z29" s="870"/>
      <c r="AA29" s="870"/>
      <c r="AB29" s="870"/>
      <c r="AC29" s="870"/>
      <c r="AD29" s="870"/>
      <c r="AE29" s="870"/>
      <c r="AF29" s="870"/>
      <c r="AG29" s="870"/>
      <c r="AH29" s="870"/>
      <c r="AI29" s="870"/>
      <c r="AJ29" s="870"/>
      <c r="AK29" s="870"/>
      <c r="AL29" s="870"/>
      <c r="AM29" s="870"/>
      <c r="AN29" s="870"/>
      <c r="AO29" s="870"/>
    </row>
    <row customHeight="1" ht="54">
      <c r="R30" s="737"/>
      <c r="S30" s="737"/>
      <c r="T30" s="737"/>
      <c r="U30" s="256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560"/>
      <c r="W30" s="2560"/>
      <c r="X30" s="2560"/>
      <c r="Y30" s="2560"/>
      <c r="Z30" s="2560"/>
      <c r="AA30" s="2560"/>
      <c r="AB30" s="2560"/>
      <c r="AC30" s="2560"/>
      <c r="AD30" s="2560"/>
      <c r="AE30" s="2560"/>
      <c r="AF30" s="2560"/>
      <c r="AG30" s="2560"/>
      <c r="AH30" s="2560"/>
      <c r="AI30" s="2560"/>
      <c r="AJ30" s="2560"/>
      <c r="AK30" s="2560"/>
      <c r="AL30" s="2560"/>
      <c r="AM30" s="2560"/>
      <c r="AN30" s="2560"/>
      <c r="AO30" s="1608"/>
    </row>
    <row customHeight="1" ht="14.25">
      <c r="R31" s="737"/>
      <c r="S31" s="737"/>
      <c r="T31" s="737"/>
      <c r="U31" s="2561" t="str">
        <f>IF(org=0,"Не определено",org)</f>
        <v>Филиал "Шатурская ГРЭС" ПАО "Юнипро"</v>
      </c>
      <c r="V31" s="2561"/>
      <c r="W31" s="2561"/>
      <c r="X31" s="2561"/>
      <c r="Y31" s="2561"/>
      <c r="Z31" s="2561"/>
      <c r="AA31" s="2561"/>
      <c r="AB31" s="2561"/>
      <c r="AC31" s="2561"/>
      <c r="AD31" s="2561"/>
      <c r="AE31" s="2561"/>
      <c r="AF31" s="2561"/>
      <c r="AG31" s="2561"/>
      <c r="AH31" s="2561"/>
      <c r="AI31" s="2561"/>
      <c r="AJ31" s="2561"/>
      <c r="AK31" s="2561"/>
      <c r="AL31" s="2561"/>
      <c r="AM31" s="2561"/>
      <c r="AN31" s="2561"/>
      <c r="AO31" s="1608"/>
    </row>
    <row customHeight="1" ht="14.25">
      <c r="R32" s="737"/>
      <c r="S32" s="737"/>
      <c r="T32" s="737"/>
      <c r="U32" s="1641"/>
      <c r="V32" s="724"/>
      <c r="W32" s="724"/>
      <c r="X32" s="683"/>
      <c r="Y32" s="683"/>
      <c r="Z32" s="683"/>
      <c r="AA32" s="683"/>
      <c r="AB32" s="683"/>
      <c r="AC32" s="683"/>
      <c r="AD32" s="683"/>
      <c r="AE32" s="683"/>
      <c r="AF32" s="683"/>
      <c r="AG32" s="683"/>
      <c r="AH32" s="683"/>
      <c r="AI32" s="683"/>
      <c r="AJ32" s="683"/>
      <c r="AK32" s="683"/>
      <c r="AL32" s="683"/>
      <c r="AM32" s="683"/>
      <c r="AN32" s="683"/>
      <c r="AO32" s="683"/>
      <c r="AP32" s="870"/>
    </row>
    <row s="19160" customFormat="1" customHeight="1" ht="25.5">
      <c r="A33" s="1613"/>
      <c r="B33" s="1613"/>
      <c r="C33" s="1613"/>
      <c r="D33" s="1613"/>
      <c r="E33" s="1613"/>
      <c r="F33" s="1613"/>
      <c r="G33" s="1613"/>
      <c r="H33" s="1613"/>
      <c r="I33" s="1613"/>
      <c r="J33" s="1613"/>
      <c r="K33" s="1613"/>
      <c r="L33" s="1613"/>
      <c r="M33" s="1746"/>
      <c r="N33" s="1613"/>
      <c r="O33" s="1613"/>
      <c r="P33" s="1613"/>
      <c r="U33" s="2518" t="s">
        <v>38</v>
      </c>
      <c r="V33" s="2518"/>
      <c r="W33" s="1738"/>
      <c r="X33" s="2520" t="str">
        <f>IF(TITLE_NAME_OR_PR_CHANGE="",IF(TITLE_NAME_OR_PR="","",TITLE_NAME_OR_PR),TITLE_NAME_OR_PR_CHANGE)</f>
        <v>Комитет по ценам и тарифам по Московской области</v>
      </c>
      <c r="Y33" s="2520"/>
      <c r="Z33" s="2520"/>
      <c r="AA33" s="2520"/>
      <c r="AB33" s="2520"/>
      <c r="AC33" s="2520"/>
      <c r="AD33" s="2520"/>
      <c r="AE33" s="2520"/>
      <c r="AF33" s="687"/>
      <c r="AG33" s="2520" t="str">
        <f>IF(TITLE_NAME_OR_PR_CHANGE="",IF(TITLE_NAME_OR_PR="","",TITLE_NAME_OR_PR),TITLE_NAME_OR_PR_CHANGE)</f>
        <v>Комитет по ценам и тарифам по Московской области</v>
      </c>
      <c r="AH33" s="2520"/>
      <c r="AI33" s="2520"/>
      <c r="AJ33" s="2520"/>
      <c r="AK33" s="2520"/>
      <c r="AL33" s="2520"/>
      <c r="AM33" s="2520"/>
      <c r="AN33" s="2520"/>
      <c r="AO33" s="687"/>
      <c r="AP33" s="687"/>
      <c r="AQ33" s="641"/>
      <c r="AR33" s="729"/>
      <c r="AS33" s="729"/>
      <c r="AT33" s="729"/>
      <c r="AU33" s="729"/>
      <c r="AV33" s="729"/>
    </row>
    <row s="19160" customFormat="1" customHeight="1" ht="18.75">
      <c r="A34" s="1613"/>
      <c r="B34" s="1613"/>
      <c r="C34" s="1613"/>
      <c r="D34" s="1613"/>
      <c r="E34" s="1613"/>
      <c r="F34" s="1613"/>
      <c r="G34" s="1613"/>
      <c r="H34" s="1613"/>
      <c r="I34" s="1613"/>
      <c r="J34" s="1613"/>
      <c r="K34" s="1613"/>
      <c r="L34" s="1613"/>
      <c r="M34" s="1746"/>
      <c r="N34" s="1613"/>
      <c r="O34" s="1613"/>
      <c r="P34" s="1613"/>
      <c r="U34" s="2518" t="s">
        <v>421</v>
      </c>
      <c r="V34" s="2518"/>
      <c r="W34" s="1738"/>
      <c r="X34" s="2519" t="str">
        <f>IF(TITLE_DATE_PR_CHANGE="",IF(TITLE_DATE_PR="","",TITLE_DATE_PR),TITLE_DATE_PR_CHANGE)</f>
        <v>45280.70914351852</v>
      </c>
      <c r="Y34" s="2519"/>
      <c r="Z34" s="2519"/>
      <c r="AA34" s="2519"/>
      <c r="AB34" s="2519"/>
      <c r="AC34" s="2519"/>
      <c r="AD34" s="2519"/>
      <c r="AE34" s="2519"/>
      <c r="AF34" s="687"/>
      <c r="AG34" s="2519" t="str">
        <f>IF(TITLE_DATE_PR_CHANGE="",IF(TITLE_DATE_PR="","",TITLE_DATE_PR),TITLE_DATE_PR_CHANGE)</f>
        <v>45280.70914351852</v>
      </c>
      <c r="AH34" s="2519"/>
      <c r="AI34" s="2519"/>
      <c r="AJ34" s="2519"/>
      <c r="AK34" s="2519"/>
      <c r="AL34" s="2519"/>
      <c r="AM34" s="2519"/>
      <c r="AN34" s="2519"/>
      <c r="AO34" s="687"/>
      <c r="AP34" s="687"/>
      <c r="AQ34" s="641"/>
      <c r="AR34" s="729"/>
      <c r="AS34" s="729"/>
      <c r="AT34" s="729"/>
      <c r="AU34" s="729"/>
      <c r="AV34" s="729"/>
    </row>
    <row s="19160" customFormat="1" customHeight="1" ht="18.75">
      <c r="A35" s="1613"/>
      <c r="B35" s="1613"/>
      <c r="C35" s="1613"/>
      <c r="D35" s="1613"/>
      <c r="E35" s="1613"/>
      <c r="F35" s="1613"/>
      <c r="G35" s="1613"/>
      <c r="H35" s="1613"/>
      <c r="I35" s="1613"/>
      <c r="J35" s="1613"/>
      <c r="K35" s="1613"/>
      <c r="L35" s="1613"/>
      <c r="M35" s="1746"/>
      <c r="N35" s="1613"/>
      <c r="O35" s="1613"/>
      <c r="P35" s="1613"/>
      <c r="U35" s="2518" t="s">
        <v>422</v>
      </c>
      <c r="V35" s="2518"/>
      <c r="W35" s="1738"/>
      <c r="X35" s="2520" t="str">
        <f>IF(TITLE_NUMBER_PR_CHANGE="",IF(TITLE_NUMBER_PR="","",TITLE_NUMBER_PR),TITLE_NUMBER_PR_CHANGE)</f>
        <v>317-Р</v>
      </c>
      <c r="Y35" s="2520"/>
      <c r="Z35" s="2520"/>
      <c r="AA35" s="2520"/>
      <c r="AB35" s="2520"/>
      <c r="AC35" s="2520"/>
      <c r="AD35" s="2520"/>
      <c r="AE35" s="2520"/>
      <c r="AF35" s="687"/>
      <c r="AG35" s="2520" t="str">
        <f>IF(TITLE_NUMBER_PR_CHANGE="",IF(TITLE_NUMBER_PR="","",TITLE_NUMBER_PR),TITLE_NUMBER_PR_CHANGE)</f>
        <v>317-Р</v>
      </c>
      <c r="AH35" s="2520"/>
      <c r="AI35" s="2520"/>
      <c r="AJ35" s="2520"/>
      <c r="AK35" s="2520"/>
      <c r="AL35" s="2520"/>
      <c r="AM35" s="2520"/>
      <c r="AN35" s="2520"/>
      <c r="AO35" s="687"/>
      <c r="AP35" s="687"/>
      <c r="AQ35" s="641"/>
      <c r="AR35" s="729"/>
      <c r="AS35" s="729"/>
      <c r="AT35" s="729"/>
      <c r="AU35" s="729"/>
      <c r="AV35" s="729"/>
    </row>
    <row s="19160" customFormat="1" customHeight="1" ht="18.75">
      <c r="A36" s="1613"/>
      <c r="B36" s="1613"/>
      <c r="C36" s="1613"/>
      <c r="D36" s="1613"/>
      <c r="E36" s="1613"/>
      <c r="F36" s="1613"/>
      <c r="G36" s="1613"/>
      <c r="H36" s="1613"/>
      <c r="I36" s="1613"/>
      <c r="J36" s="1613"/>
      <c r="K36" s="1613"/>
      <c r="L36" s="1613"/>
      <c r="M36" s="1746"/>
      <c r="N36" s="1613"/>
      <c r="O36" s="1613"/>
      <c r="P36" s="1613"/>
      <c r="U36" s="2518" t="s">
        <v>40</v>
      </c>
      <c r="V36" s="2518"/>
      <c r="W36" s="1738"/>
      <c r="X36"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Y36" s="2520"/>
      <c r="Z36" s="2520"/>
      <c r="AA36" s="2520"/>
      <c r="AB36" s="2520"/>
      <c r="AC36" s="2520"/>
      <c r="AD36" s="2520"/>
      <c r="AE36" s="2520"/>
      <c r="AF36" s="687"/>
      <c r="AG36"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H36" s="2520"/>
      <c r="AI36" s="2520"/>
      <c r="AJ36" s="2520"/>
      <c r="AK36" s="2520"/>
      <c r="AL36" s="2520"/>
      <c r="AM36" s="2520"/>
      <c r="AN36" s="2520"/>
      <c r="AO36" s="687"/>
      <c r="AP36" s="687"/>
      <c r="AQ36" s="641"/>
      <c r="AR36" s="729"/>
      <c r="AS36" s="729"/>
      <c r="AT36" s="729"/>
      <c r="AU36" s="729"/>
      <c r="AV36" s="729"/>
    </row>
    <row customHeight="1" ht="14.25" hidden="1">
      <c r="R37" s="737"/>
      <c r="S37" s="737"/>
      <c r="T37" s="737"/>
      <c r="U37" s="1641"/>
      <c r="V37" s="724"/>
      <c r="W37" s="724"/>
      <c r="X37" s="683"/>
      <c r="Y37" s="683"/>
      <c r="Z37" s="683"/>
      <c r="AA37" s="683"/>
      <c r="AB37" s="683"/>
      <c r="AC37" s="683"/>
      <c r="AD37" s="683"/>
      <c r="AE37" s="683"/>
      <c r="AF37" s="683"/>
      <c r="AG37" s="683"/>
      <c r="AH37" s="683"/>
      <c r="AI37" s="683"/>
      <c r="AJ37" s="683"/>
      <c r="AK37" s="683"/>
      <c r="AL37" s="683"/>
      <c r="AM37" s="683"/>
      <c r="AN37" s="683"/>
      <c r="AO37" s="683"/>
      <c r="AP37" s="870"/>
    </row>
    <row s="19160" customFormat="1" customHeight="1" ht="18.75" hidden="1">
      <c r="A38" s="1613"/>
      <c r="B38" s="1613"/>
      <c r="C38" s="1613"/>
      <c r="D38" s="1613"/>
      <c r="E38" s="1613"/>
      <c r="F38" s="1613"/>
      <c r="G38" s="1613"/>
      <c r="H38" s="1613"/>
      <c r="I38" s="1613"/>
      <c r="J38" s="1613"/>
      <c r="K38" s="1613"/>
      <c r="L38" s="1613"/>
      <c r="M38" s="1746"/>
      <c r="N38" s="1613"/>
      <c r="O38" s="1613"/>
      <c r="P38" s="1613"/>
      <c r="U38" s="2518" t="s">
        <v>423</v>
      </c>
      <c r="V38" s="2518"/>
      <c r="W38" s="1738"/>
      <c r="X38" s="2519" t="str">
        <f>IF(TITLE_DATE_PR_CHANGE="",IF(TITLE_DATE_PR="","",TITLE_DATE_PR),TITLE_DATE_PR_CHANGE)</f>
        <v>45280.70914351852</v>
      </c>
      <c r="Y38" s="2519"/>
      <c r="Z38" s="2519"/>
      <c r="AA38" s="2519"/>
      <c r="AB38" s="2519"/>
      <c r="AC38" s="2519"/>
      <c r="AD38" s="2519"/>
      <c r="AE38" s="2519"/>
      <c r="AF38" s="687"/>
      <c r="AG38" s="2519" t="str">
        <f>IF(TITLE_DATE_PR_CHANGE="",IF(TITLE_DATE_PR="","",TITLE_DATE_PR),TITLE_DATE_PR_CHANGE)</f>
        <v>45280.70914351852</v>
      </c>
      <c r="AH38" s="2519"/>
      <c r="AI38" s="2519"/>
      <c r="AJ38" s="2519"/>
      <c r="AK38" s="2519"/>
      <c r="AL38" s="2519"/>
      <c r="AM38" s="2519"/>
      <c r="AN38" s="2519"/>
      <c r="AO38" s="687"/>
      <c r="AP38" s="687"/>
      <c r="AQ38" s="641"/>
      <c r="AR38" s="729"/>
      <c r="AS38" s="729"/>
      <c r="AT38" s="729"/>
      <c r="AU38" s="729"/>
      <c r="AV38" s="729"/>
    </row>
    <row s="19160" customFormat="1" customHeight="1" ht="18.75" hidden="1">
      <c r="A39" s="1613"/>
      <c r="B39" s="1613"/>
      <c r="C39" s="1613"/>
      <c r="D39" s="1613"/>
      <c r="E39" s="1613"/>
      <c r="F39" s="1613"/>
      <c r="G39" s="1613"/>
      <c r="H39" s="1613"/>
      <c r="I39" s="1613"/>
      <c r="J39" s="1613"/>
      <c r="K39" s="1613"/>
      <c r="L39" s="1613"/>
      <c r="M39" s="1746"/>
      <c r="N39" s="1613"/>
      <c r="O39" s="1613"/>
      <c r="P39" s="1613"/>
      <c r="U39" s="2518" t="s">
        <v>424</v>
      </c>
      <c r="V39" s="2518"/>
      <c r="W39" s="1738"/>
      <c r="X39" s="2520" t="str">
        <f>IF(TITLE_NUMBER_PR_CHANGE="",IF(TITLE_NUMBER_PR="","",TITLE_NUMBER_PR),TITLE_NUMBER_PR_CHANGE)</f>
        <v>317-Р</v>
      </c>
      <c r="Y39" s="2520"/>
      <c r="Z39" s="2520"/>
      <c r="AA39" s="2520"/>
      <c r="AB39" s="2520"/>
      <c r="AC39" s="2520"/>
      <c r="AD39" s="2520"/>
      <c r="AE39" s="2520"/>
      <c r="AF39" s="687"/>
      <c r="AG39" s="2520" t="str">
        <f>IF(TITLE_NUMBER_PR_CHANGE="",IF(TITLE_NUMBER_PR="","",TITLE_NUMBER_PR),TITLE_NUMBER_PR_CHANGE)</f>
        <v>317-Р</v>
      </c>
      <c r="AH39" s="2520"/>
      <c r="AI39" s="2520"/>
      <c r="AJ39" s="2520"/>
      <c r="AK39" s="2520"/>
      <c r="AL39" s="2520"/>
      <c r="AM39" s="2520"/>
      <c r="AN39" s="2520"/>
      <c r="AO39" s="687"/>
      <c r="AP39" s="687"/>
      <c r="AQ39" s="641"/>
      <c r="AR39" s="729"/>
      <c r="AS39" s="729"/>
      <c r="AT39" s="729"/>
      <c r="AU39" s="729"/>
      <c r="AV39" s="729"/>
    </row>
    <row s="19160" customFormat="1" customHeight="1" ht="0">
      <c r="A40" s="1613"/>
      <c r="B40" s="1613"/>
      <c r="C40" s="1613"/>
      <c r="D40" s="1613"/>
      <c r="E40" s="1613"/>
      <c r="F40" s="1613"/>
      <c r="G40" s="1613"/>
      <c r="H40" s="1613"/>
      <c r="I40" s="1613"/>
      <c r="J40" s="1613"/>
      <c r="K40" s="1613"/>
      <c r="L40" s="1613"/>
      <c r="M40" s="1746"/>
      <c r="N40" s="1613"/>
      <c r="O40" s="1613"/>
      <c r="P40" s="1613"/>
      <c r="U40" s="684"/>
      <c r="V40" s="684"/>
      <c r="W40" s="1706"/>
      <c r="X40" s="687"/>
      <c r="Y40" s="687"/>
      <c r="Z40" s="687"/>
      <c r="AA40" s="687"/>
      <c r="AB40" s="687"/>
      <c r="AC40" s="687"/>
      <c r="AD40" s="687"/>
      <c r="AE40" s="687"/>
      <c r="AF40" s="639" t="s">
        <v>425</v>
      </c>
      <c r="AG40" s="687"/>
      <c r="AH40" s="687"/>
      <c r="AI40" s="687"/>
      <c r="AJ40" s="687"/>
      <c r="AK40" s="687"/>
      <c r="AL40" s="687"/>
      <c r="AM40" s="687"/>
      <c r="AN40" s="687"/>
      <c r="AO40" s="639" t="s">
        <v>425</v>
      </c>
      <c r="AR40" s="729"/>
      <c r="AS40" s="729"/>
      <c r="AT40" s="729"/>
      <c r="AU40" s="729"/>
      <c r="AV40" s="729"/>
    </row>
    <row customHeight="1" ht="14.25">
      <c r="R41" s="737"/>
      <c r="S41" s="737"/>
      <c r="T41" s="737"/>
      <c r="U41" s="1641"/>
      <c r="V41" s="724"/>
      <c r="W41" s="1609"/>
      <c r="X41" s="2544"/>
      <c r="Y41" s="2544"/>
      <c r="Z41" s="2544"/>
      <c r="AA41" s="2544"/>
      <c r="AB41" s="2544"/>
      <c r="AC41" s="2544"/>
      <c r="AD41" s="2544"/>
      <c r="AE41" s="2544"/>
      <c r="AF41" s="2544"/>
      <c r="AG41" s="2544"/>
      <c r="AH41" s="2544"/>
      <c r="AI41" s="2544"/>
      <c r="AJ41" s="2544"/>
      <c r="AK41" s="2544"/>
      <c r="AL41" s="2544"/>
      <c r="AM41" s="2544"/>
      <c r="AN41" s="2544"/>
      <c r="AO41" s="2544"/>
    </row>
    <row customHeight="1" ht="14.25">
      <c r="R42" s="737"/>
      <c r="S42" s="737"/>
      <c r="T42" s="737"/>
      <c r="U42" s="2392" t="s">
        <v>300</v>
      </c>
      <c r="V42" s="2392"/>
      <c r="W42" s="2392"/>
      <c r="X42" s="2392"/>
      <c r="Y42" s="2392"/>
      <c r="Z42" s="2392"/>
      <c r="AA42" s="2392"/>
      <c r="AB42" s="2392"/>
      <c r="AC42" s="2392"/>
      <c r="AD42" s="2392"/>
      <c r="AE42" s="2392"/>
      <c r="AF42" s="2392"/>
      <c r="AG42" s="2392"/>
      <c r="AH42" s="2392"/>
      <c r="AI42" s="2392"/>
      <c r="AJ42" s="2392"/>
      <c r="AK42" s="2392"/>
      <c r="AL42" s="2392"/>
      <c r="AM42" s="2392"/>
      <c r="AN42" s="2392"/>
      <c r="AO42" s="2392"/>
      <c r="AP42" s="2392"/>
      <c r="AQ42" s="2392" t="s">
        <v>301</v>
      </c>
    </row>
    <row customHeight="1" ht="14.25">
      <c r="R43" s="737"/>
      <c r="S43" s="737"/>
      <c r="T43" s="737"/>
      <c r="U43" s="2545" t="s">
        <v>85</v>
      </c>
      <c r="V43" s="2482" t="s">
        <v>426</v>
      </c>
      <c r="W43" s="662"/>
      <c r="X43" s="2546" t="s">
        <v>427</v>
      </c>
      <c r="Y43" s="2568"/>
      <c r="Z43" s="2568"/>
      <c r="AA43" s="2568"/>
      <c r="AB43" s="2568"/>
      <c r="AC43" s="2547"/>
      <c r="AD43" s="2547"/>
      <c r="AE43" s="2548"/>
      <c r="AF43" s="2549" t="s">
        <v>428</v>
      </c>
      <c r="AG43" s="2546" t="s">
        <v>427</v>
      </c>
      <c r="AH43" s="2568"/>
      <c r="AI43" s="2568"/>
      <c r="AJ43" s="2568"/>
      <c r="AK43" s="2568"/>
      <c r="AL43" s="2547"/>
      <c r="AM43" s="2547"/>
      <c r="AN43" s="2548"/>
      <c r="AO43" s="2549" t="s">
        <v>429</v>
      </c>
      <c r="AP43" s="2552" t="s">
        <v>430</v>
      </c>
      <c r="AQ43" s="2392"/>
    </row>
    <row customHeight="1" ht="33.75">
      <c r="R44" s="737"/>
      <c r="S44" s="737"/>
      <c r="T44" s="737"/>
      <c r="U44" s="2545"/>
      <c r="V44" s="2482"/>
      <c r="W44" s="1393"/>
      <c r="X44" s="2566" t="s">
        <v>452</v>
      </c>
      <c r="Y44" s="2575" t="s">
        <v>453</v>
      </c>
      <c r="Z44" s="2575"/>
      <c r="AA44" s="2575"/>
      <c r="AB44" s="2575"/>
      <c r="AC44" s="2566" t="s">
        <v>434</v>
      </c>
      <c r="AD44" s="2584"/>
      <c r="AE44" s="2585"/>
      <c r="AF44" s="2550"/>
      <c r="AG44" s="2566" t="s">
        <v>452</v>
      </c>
      <c r="AH44" s="2575" t="s">
        <v>453</v>
      </c>
      <c r="AI44" s="2575"/>
      <c r="AJ44" s="2575"/>
      <c r="AK44" s="2575"/>
      <c r="AL44" s="2566" t="s">
        <v>434</v>
      </c>
      <c r="AM44" s="2584"/>
      <c r="AN44" s="2585"/>
      <c r="AO44" s="2550"/>
      <c r="AP44" s="2553"/>
      <c r="AQ44" s="2392"/>
    </row>
    <row customHeight="1" ht="14.25">
      <c r="R45" s="737"/>
      <c r="S45" s="737"/>
      <c r="T45" s="737"/>
      <c r="U45" s="2545"/>
      <c r="V45" s="2482"/>
      <c r="W45" s="1393"/>
      <c r="X45" s="2588"/>
      <c r="Y45" s="2576" t="s">
        <v>454</v>
      </c>
      <c r="Z45" s="2541" t="s">
        <v>455</v>
      </c>
      <c r="AA45" s="2579"/>
      <c r="AB45" s="2542"/>
      <c r="AC45" s="2567"/>
      <c r="AD45" s="2586"/>
      <c r="AE45" s="2587"/>
      <c r="AF45" s="2550"/>
      <c r="AG45" s="2588"/>
      <c r="AH45" s="2576" t="s">
        <v>454</v>
      </c>
      <c r="AI45" s="2541" t="s">
        <v>455</v>
      </c>
      <c r="AJ45" s="2579"/>
      <c r="AK45" s="2542"/>
      <c r="AL45" s="2567"/>
      <c r="AM45" s="2586"/>
      <c r="AN45" s="2587"/>
      <c r="AO45" s="2550"/>
      <c r="AP45" s="2553"/>
      <c r="AQ45" s="2392"/>
    </row>
    <row customHeight="1" ht="25.5">
      <c r="R46" s="737"/>
      <c r="S46" s="737"/>
      <c r="T46" s="737"/>
      <c r="U46" s="2545"/>
      <c r="V46" s="2482"/>
      <c r="W46" s="1393"/>
      <c r="X46" s="2588"/>
      <c r="Y46" s="2577"/>
      <c r="Z46" s="2576" t="s">
        <v>456</v>
      </c>
      <c r="AA46" s="2541" t="s">
        <v>457</v>
      </c>
      <c r="AB46" s="2542"/>
      <c r="AC46" s="2576" t="s">
        <v>444</v>
      </c>
      <c r="AD46" s="2580" t="s">
        <v>445</v>
      </c>
      <c r="AE46" s="2581"/>
      <c r="AF46" s="2550"/>
      <c r="AG46" s="2588"/>
      <c r="AH46" s="2577"/>
      <c r="AI46" s="2576" t="s">
        <v>456</v>
      </c>
      <c r="AJ46" s="2541" t="s">
        <v>457</v>
      </c>
      <c r="AK46" s="2542"/>
      <c r="AL46" s="2576" t="s">
        <v>444</v>
      </c>
      <c r="AM46" s="2580" t="s">
        <v>445</v>
      </c>
      <c r="AN46" s="2581"/>
      <c r="AO46" s="2550"/>
      <c r="AP46" s="2553"/>
      <c r="AQ46" s="2392"/>
    </row>
    <row customHeight="1" ht="62.25">
      <c r="A47" s="1625"/>
      <c r="B47" s="1625" t="s">
        <v>132</v>
      </c>
      <c r="C47" s="1625" t="s">
        <v>133</v>
      </c>
      <c r="D47" s="1625" t="s">
        <v>134</v>
      </c>
      <c r="E47" s="1676" t="s">
        <v>435</v>
      </c>
      <c r="F47" s="1676" t="s">
        <v>436</v>
      </c>
      <c r="G47" s="1676" t="s">
        <v>437</v>
      </c>
      <c r="H47" s="1676" t="s">
        <v>438</v>
      </c>
      <c r="I47" s="1676" t="s">
        <v>439</v>
      </c>
      <c r="J47" s="1676" t="s">
        <v>440</v>
      </c>
      <c r="K47" s="1676" t="s">
        <v>441</v>
      </c>
      <c r="L47" s="1676" t="s">
        <v>458</v>
      </c>
      <c r="M47" s="1676" t="s">
        <v>416</v>
      </c>
      <c r="R47" s="737"/>
      <c r="S47" s="737"/>
      <c r="T47" s="737"/>
      <c r="U47" s="2545"/>
      <c r="V47" s="2482"/>
      <c r="W47" s="663"/>
      <c r="X47" s="2567"/>
      <c r="Y47" s="2578"/>
      <c r="Z47" s="2578"/>
      <c r="AA47" s="1587" t="s">
        <v>459</v>
      </c>
      <c r="AB47" s="1587" t="s">
        <v>460</v>
      </c>
      <c r="AC47" s="2578"/>
      <c r="AD47" s="2582"/>
      <c r="AE47" s="2583"/>
      <c r="AF47" s="2551"/>
      <c r="AG47" s="2567"/>
      <c r="AH47" s="2578"/>
      <c r="AI47" s="2578"/>
      <c r="AJ47" s="1587" t="s">
        <v>459</v>
      </c>
      <c r="AK47" s="1587" t="s">
        <v>460</v>
      </c>
      <c r="AL47" s="2578"/>
      <c r="AM47" s="2582"/>
      <c r="AN47" s="2583"/>
      <c r="AO47" s="2551"/>
      <c r="AP47" s="2554"/>
      <c r="AQ47" s="2392"/>
    </row>
    <row s="18977" customFormat="1" customHeight="1" ht="11.25" hidden="1">
      <c r="A48" s="1625"/>
      <c r="B48" s="1625"/>
      <c r="C48" s="1625"/>
      <c r="D48" s="1625"/>
      <c r="E48" s="1625"/>
      <c r="F48" s="1625"/>
      <c r="G48" s="1625"/>
      <c r="H48" s="1625"/>
      <c r="I48" s="1625"/>
      <c r="J48" s="1625"/>
      <c r="K48" s="1625"/>
      <c r="L48" s="1625"/>
      <c r="M48" s="1676"/>
      <c r="N48" s="1694"/>
      <c r="O48" s="1694"/>
      <c r="P48" s="1694"/>
      <c r="Q48" s="1611"/>
      <c r="R48" s="1612"/>
      <c r="S48" s="1619">
        <v>1</v>
      </c>
      <c r="T48" s="1619"/>
      <c r="U48" s="1643" t="s">
        <v>106</v>
      </c>
      <c r="V48" s="1620" t="s">
        <v>107</v>
      </c>
      <c r="W48" s="1610" t="str">
        <f>OFFSET(W48,0,-1)</f>
        <v>2</v>
      </c>
      <c r="X48" s="1701">
        <f>OFFSET(X48,0,-1)+1</f>
        <v>3</v>
      </c>
      <c r="Y48" s="1707"/>
      <c r="Z48" s="1707"/>
      <c r="AA48" s="1707">
        <f>OFFSET(AA48,0,-1)+1</f>
        <v>1</v>
      </c>
      <c r="AB48" s="1707">
        <f>OFFSET(AB48,0,-1)+1</f>
        <v>2</v>
      </c>
      <c r="AC48" s="1701">
        <f>OFFSET(AC48,0,-1)+1</f>
        <v>3</v>
      </c>
      <c r="AD48" s="2543">
        <f>OFFSET(AD48,0,-1)+1</f>
        <v>4</v>
      </c>
      <c r="AE48" s="2543"/>
      <c r="AF48" s="1701">
        <f>OFFSET(AF48,0,-2)+1</f>
        <v>5</v>
      </c>
      <c r="AG48" s="1701">
        <f>OFFSET(AG48,0,-1)+1</f>
        <v>6</v>
      </c>
      <c r="AH48" s="1701"/>
      <c r="AI48" s="1701"/>
      <c r="AJ48" s="1701">
        <f>OFFSET(AJ48,0,-1)+1</f>
        <v>1</v>
      </c>
      <c r="AK48" s="1701">
        <f>OFFSET(AK48,0,-1)+1</f>
        <v>2</v>
      </c>
      <c r="AL48" s="1701">
        <f>OFFSET(AL48,0,-1)+1</f>
        <v>3</v>
      </c>
      <c r="AM48" s="2543">
        <f>OFFSET(AM48,0,-1)+1</f>
        <v>4</v>
      </c>
      <c r="AN48" s="2543"/>
      <c r="AO48" s="1701">
        <f>OFFSET(AO48,0,-2)+1</f>
        <v>5</v>
      </c>
      <c r="AP48" s="1610">
        <f>OFFSET(AP48,0,-1)</f>
        <v>5</v>
      </c>
      <c r="AQ48" s="1701">
        <f>OFFSET(AQ48,0,-1)+1</f>
        <v>6</v>
      </c>
      <c r="AR48" s="872"/>
      <c r="AS48" s="872"/>
      <c r="AT48" s="872"/>
      <c r="AU48" s="872"/>
      <c r="AV48" s="872"/>
    </row>
    <row customHeight="1" ht="21">
      <c r="A49" s="1633" t="s">
        <v>171</v>
      </c>
      <c r="B49" s="1633"/>
      <c r="C49" s="1633"/>
      <c r="D49" s="1633"/>
      <c r="E49" s="2562">
        <v>1</v>
      </c>
      <c r="F49" s="1633"/>
      <c r="G49" s="1633"/>
      <c r="H49" s="1633"/>
      <c r="I49" s="1633"/>
      <c r="J49" s="1633"/>
      <c r="K49" s="1633"/>
      <c r="L49" s="1633"/>
      <c r="M49" s="1676"/>
      <c r="N49" s="1049"/>
      <c r="O49" s="1049"/>
      <c r="P49" s="1049"/>
      <c r="Q49" s="722"/>
      <c r="R49" s="721"/>
      <c r="S49" s="721"/>
      <c r="T49" s="716"/>
      <c r="U49" s="1702">
        <f>INDEX(PT_DIFFERENTIATION_NUM_NTAR,MATCH(A49,PT_DIFFERENTIATION_NTAR_ID,0))</f>
        <v>0</v>
      </c>
      <c r="V49" s="659" t="s">
        <v>120</v>
      </c>
      <c r="W49" s="661"/>
      <c r="X49" s="2521"/>
      <c r="Y49" s="2522"/>
      <c r="Z49" s="2522"/>
      <c r="AA49" s="2522"/>
      <c r="AB49" s="2522"/>
      <c r="AC49" s="2522"/>
      <c r="AD49" s="2522"/>
      <c r="AE49" s="2522"/>
      <c r="AF49" s="2523"/>
      <c r="AG49" s="2521" t="str">
        <f>INDEX(PT_DIFFERENTIATION_NTAR,MATCH(A49,PT_DIFFERENTIATION_NTAR_ID,0))</f>
        <v/>
      </c>
      <c r="AH49" s="2522"/>
      <c r="AI49" s="2522"/>
      <c r="AJ49" s="2522"/>
      <c r="AK49" s="2522"/>
      <c r="AL49" s="2522"/>
      <c r="AM49" s="2522"/>
      <c r="AN49" s="2522"/>
      <c r="AO49" s="2522"/>
      <c r="AP49" s="2523"/>
      <c r="AQ49" s="162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861"/>
      <c r="AT49" s="861" t="str">
        <f>IF(V49="","",V49)</f>
        <v>Наименование тарифа</v>
      </c>
      <c r="AU49" s="861"/>
      <c r="AV49" s="861"/>
    </row>
    <row customHeight="1" ht="21">
      <c r="A50" s="1633" t="s">
        <v>171</v>
      </c>
      <c r="B50" s="1633" t="s">
        <v>172</v>
      </c>
      <c r="C50" s="1633"/>
      <c r="D50" s="1633"/>
      <c r="E50" s="2563"/>
      <c r="F50" s="2562">
        <v>1</v>
      </c>
      <c r="G50" s="1633"/>
      <c r="H50" s="1633"/>
      <c r="I50" s="1633"/>
      <c r="J50" s="1633"/>
      <c r="K50" s="1633"/>
      <c r="L50" s="1633"/>
      <c r="M50" s="1676"/>
      <c r="N50" s="1049"/>
      <c r="O50" s="1049"/>
      <c r="P50" s="1049"/>
      <c r="Q50" s="1698"/>
      <c r="R50" s="713"/>
      <c r="S50" s="870"/>
      <c r="T50" s="714"/>
      <c r="U50" s="1702" t="str">
        <f>INDEX(PT_DIFFERENTIATION_NUM_TER,MATCH(B50,PT_DIFFERENTIATION_TER_ID,0))</f>
        <v>.</v>
      </c>
      <c r="V50" s="669" t="s">
        <v>397</v>
      </c>
      <c r="W50" s="661"/>
      <c r="X50" s="2521"/>
      <c r="Y50" s="2522"/>
      <c r="Z50" s="2522"/>
      <c r="AA50" s="2522"/>
      <c r="AB50" s="2522"/>
      <c r="AC50" s="2522"/>
      <c r="AD50" s="2522"/>
      <c r="AE50" s="2522"/>
      <c r="AF50" s="2523"/>
      <c r="AG50" s="2521" t="str">
        <f>INDEX(PT_DIFFERENTIATION_TER,MATCH(B50,PT_DIFFERENTIATION_TER_ID,0))</f>
        <v/>
      </c>
      <c r="AH50" s="2522"/>
      <c r="AI50" s="2522"/>
      <c r="AJ50" s="2522"/>
      <c r="AK50" s="2522"/>
      <c r="AL50" s="2522"/>
      <c r="AM50" s="2522"/>
      <c r="AN50" s="2522"/>
      <c r="AO50" s="2522"/>
      <c r="AP50" s="2523"/>
      <c r="AQ50" s="1623" t="s">
        <v>398</v>
      </c>
      <c r="AS50" s="861"/>
      <c r="AT50" s="861" t="str">
        <f>IF(V50="","",V50)</f>
        <v>Территория действия тарифа</v>
      </c>
      <c r="AU50" s="861"/>
      <c r="AV50" s="861"/>
    </row>
    <row customHeight="1" ht="22.5">
      <c r="A51" s="1633" t="s">
        <v>171</v>
      </c>
      <c r="B51" s="1633" t="s">
        <v>172</v>
      </c>
      <c r="C51" s="1633" t="s">
        <v>173</v>
      </c>
      <c r="D51" s="1633"/>
      <c r="E51" s="2563"/>
      <c r="F51" s="2563"/>
      <c r="G51" s="2562">
        <v>1</v>
      </c>
      <c r="H51" s="1633"/>
      <c r="I51" s="1633"/>
      <c r="J51" s="1633"/>
      <c r="K51" s="1633"/>
      <c r="L51" s="1633"/>
      <c r="M51" s="1676"/>
      <c r="N51" s="1049"/>
      <c r="O51" s="1049"/>
      <c r="P51" s="1049"/>
      <c r="Q51" s="715"/>
      <c r="R51" s="713"/>
      <c r="S51" s="870"/>
      <c r="T51" s="714"/>
      <c r="U51" s="1702" t="str">
        <f>INDEX(PT_DIFFERENTIATION_NUM_CS,MATCH(C51,PT_DIFFERENTIATION_CS_ID,0))</f>
        <v>..</v>
      </c>
      <c r="V51" s="670" t="s">
        <v>399</v>
      </c>
      <c r="W51" s="661"/>
      <c r="X51" s="2521"/>
      <c r="Y51" s="2522"/>
      <c r="Z51" s="2522"/>
      <c r="AA51" s="2522"/>
      <c r="AB51" s="2522"/>
      <c r="AC51" s="2522"/>
      <c r="AD51" s="2522"/>
      <c r="AE51" s="2522"/>
      <c r="AF51" s="2523"/>
      <c r="AG51" s="2521" t="str">
        <f>INDEX(PT_DIFFERENTIATION_CS,MATCH(C51,PT_DIFFERENTIATION_CS_ID,0))</f>
        <v/>
      </c>
      <c r="AH51" s="2522"/>
      <c r="AI51" s="2522"/>
      <c r="AJ51" s="2522"/>
      <c r="AK51" s="2522"/>
      <c r="AL51" s="2522"/>
      <c r="AM51" s="2522"/>
      <c r="AN51" s="2522"/>
      <c r="AO51" s="2522"/>
      <c r="AP51" s="2523"/>
      <c r="AQ51" s="1623" t="s">
        <v>400</v>
      </c>
      <c r="AS51" s="861"/>
      <c r="AT51" s="861" t="str">
        <f>IF(V51="","",V51)</f>
        <v>Наименование системы теплоснабжения </v>
      </c>
      <c r="AU51" s="861"/>
      <c r="AV51" s="861"/>
    </row>
    <row customHeight="1" ht="21">
      <c r="A52" s="1633" t="s">
        <v>171</v>
      </c>
      <c r="B52" s="1633" t="s">
        <v>172</v>
      </c>
      <c r="C52" s="1633" t="s">
        <v>173</v>
      </c>
      <c r="D52" s="1633" t="s">
        <v>174</v>
      </c>
      <c r="E52" s="2563"/>
      <c r="F52" s="2563"/>
      <c r="G52" s="2563"/>
      <c r="H52" s="2589">
        <v>1</v>
      </c>
      <c r="I52" s="1633"/>
      <c r="J52" s="1633"/>
      <c r="K52" s="1633"/>
      <c r="L52" s="1633"/>
      <c r="M52" s="1676"/>
      <c r="N52" s="1049"/>
      <c r="O52" s="1049"/>
      <c r="P52" s="1049"/>
      <c r="Q52" s="715"/>
      <c r="R52" s="713"/>
      <c r="S52" s="870"/>
      <c r="T52" s="714"/>
      <c r="U52" s="1702" t="str">
        <f>INDEX(PT_DIFFERENTIATION_NUM_IST_TE,MATCH(D52,PT_DIFFERENTIATION_IST_TE_ID,0))</f>
        <v>...</v>
      </c>
      <c r="V52" s="671" t="s">
        <v>401</v>
      </c>
      <c r="W52" s="661"/>
      <c r="X52" s="2521"/>
      <c r="Y52" s="2522"/>
      <c r="Z52" s="2522"/>
      <c r="AA52" s="2522"/>
      <c r="AB52" s="2522"/>
      <c r="AC52" s="2522"/>
      <c r="AD52" s="2522"/>
      <c r="AE52" s="2522"/>
      <c r="AF52" s="2523"/>
      <c r="AG52" s="2521" t="str">
        <f>INDEX(PT_DIFFERENTIATION_IST_TE,MATCH(D52,PT_DIFFERENTIATION_IST_TE_ID,0))</f>
        <v/>
      </c>
      <c r="AH52" s="2522"/>
      <c r="AI52" s="2522"/>
      <c r="AJ52" s="2522"/>
      <c r="AK52" s="2522"/>
      <c r="AL52" s="2522"/>
      <c r="AM52" s="2522"/>
      <c r="AN52" s="2522"/>
      <c r="AO52" s="2522"/>
      <c r="AP52" s="2523"/>
      <c r="AQ52" s="1623" t="s">
        <v>402</v>
      </c>
      <c r="AS52" s="861"/>
      <c r="AT52" s="861" t="str">
        <f>IF(V52="","",V52)</f>
        <v>Источник тепловой энергии  </v>
      </c>
      <c r="AU52" s="861"/>
      <c r="AV52" s="861"/>
    </row>
    <row s="19219" customFormat="1" customHeight="1" ht="0">
      <c r="A53" s="1741" t="s">
        <v>171</v>
      </c>
      <c r="B53" s="1741" t="s">
        <v>172</v>
      </c>
      <c r="C53" s="1741" t="s">
        <v>173</v>
      </c>
      <c r="D53" s="1741" t="s">
        <v>174</v>
      </c>
      <c r="E53" s="2563"/>
      <c r="F53" s="2563"/>
      <c r="G53" s="2563"/>
      <c r="H53" s="2590"/>
      <c r="I53" s="2392" t="str">
        <f>U52&amp;".1"</f>
        <v>....1</v>
      </c>
      <c r="J53" s="1741"/>
      <c r="K53" s="1741"/>
      <c r="L53" s="1741"/>
      <c r="M53" s="1747" t="s">
        <v>403</v>
      </c>
      <c r="N53" s="1611"/>
      <c r="O53" s="1611"/>
      <c r="P53" s="1611"/>
      <c r="Q53" s="2531">
        <v>1</v>
      </c>
      <c r="R53" s="1697"/>
      <c r="S53" s="1697"/>
      <c r="T53" s="717"/>
      <c r="U53" s="1404"/>
      <c r="V53" s="1749"/>
      <c r="W53" s="1750"/>
      <c r="X53" s="2569"/>
      <c r="Y53" s="2570"/>
      <c r="Z53" s="2570"/>
      <c r="AA53" s="2570"/>
      <c r="AB53" s="2570"/>
      <c r="AC53" s="2570"/>
      <c r="AD53" s="2570"/>
      <c r="AE53" s="2570"/>
      <c r="AF53" s="2571"/>
      <c r="AG53" s="2569"/>
      <c r="AH53" s="2570"/>
      <c r="AI53" s="2570"/>
      <c r="AJ53" s="2570"/>
      <c r="AK53" s="2570"/>
      <c r="AL53" s="2570"/>
      <c r="AM53" s="2570"/>
      <c r="AN53" s="2570"/>
      <c r="AO53" s="2570"/>
      <c r="AP53" s="2571"/>
      <c r="AQ53" s="1751"/>
      <c r="AS53" s="861"/>
      <c r="AT53" s="861" t="str">
        <f>IF(V53="","",V53)</f>
        <v/>
      </c>
      <c r="AU53" s="861"/>
      <c r="AV53" s="861"/>
    </row>
    <row customHeight="1" ht="21">
      <c r="A54" s="1633" t="s">
        <v>171</v>
      </c>
      <c r="B54" s="1633" t="s">
        <v>172</v>
      </c>
      <c r="C54" s="1633" t="s">
        <v>173</v>
      </c>
      <c r="D54" s="1633" t="s">
        <v>174</v>
      </c>
      <c r="E54" s="2563"/>
      <c r="F54" s="2563"/>
      <c r="G54" s="2563"/>
      <c r="H54" s="2590"/>
      <c r="I54" s="2376"/>
      <c r="J54" s="2392" t="str">
        <f>I53&amp;".1"</f>
        <v>....1.1</v>
      </c>
      <c r="K54" s="1633"/>
      <c r="L54" s="1633"/>
      <c r="M54" s="1676" t="s">
        <v>406</v>
      </c>
      <c r="Q54" s="2531"/>
      <c r="R54" s="2531">
        <v>1</v>
      </c>
      <c r="S54" s="879"/>
      <c r="T54" s="718"/>
      <c r="U54" s="1702" t="str">
        <f>$J54</f>
        <v>....1.1</v>
      </c>
      <c r="V54" s="647" t="s">
        <v>407</v>
      </c>
      <c r="W54" s="661"/>
      <c r="X54" s="2515"/>
      <c r="Y54" s="2516"/>
      <c r="Z54" s="2516"/>
      <c r="AA54" s="2516"/>
      <c r="AB54" s="2516"/>
      <c r="AC54" s="2508"/>
      <c r="AD54" s="2508"/>
      <c r="AE54" s="2508"/>
      <c r="AF54" s="2591"/>
      <c r="AG54" s="2515"/>
      <c r="AH54" s="2516"/>
      <c r="AI54" s="2516"/>
      <c r="AJ54" s="2516"/>
      <c r="AK54" s="2516"/>
      <c r="AL54" s="2516"/>
      <c r="AM54" s="2516"/>
      <c r="AN54" s="2516"/>
      <c r="AO54" s="2516"/>
      <c r="AP54" s="2517"/>
      <c r="AQ54" s="1623" t="s">
        <v>408</v>
      </c>
      <c r="AS54" s="861"/>
      <c r="AT54" s="861" t="str">
        <f>IF(V54="","",V54)</f>
        <v>Группа потребителей</v>
      </c>
      <c r="AU54" s="861"/>
      <c r="AV54" s="861"/>
    </row>
    <row customHeight="1" ht="21">
      <c r="A55" s="1633" t="s">
        <v>171</v>
      </c>
      <c r="B55" s="1633" t="s">
        <v>172</v>
      </c>
      <c r="C55" s="1633" t="s">
        <v>173</v>
      </c>
      <c r="D55" s="1633" t="s">
        <v>174</v>
      </c>
      <c r="E55" s="2563"/>
      <c r="F55" s="2563"/>
      <c r="G55" s="2563"/>
      <c r="H55" s="2590"/>
      <c r="I55" s="2376"/>
      <c r="J55" s="2376"/>
      <c r="K55" s="2392" t="str">
        <f>J54&amp;".1"</f>
        <v>....1.1.1</v>
      </c>
      <c r="L55" s="501"/>
      <c r="M55" s="1676" t="s">
        <v>409</v>
      </c>
      <c r="Q55" s="2531"/>
      <c r="R55" s="2531"/>
      <c r="S55" s="879">
        <v>1</v>
      </c>
      <c r="T55" s="718"/>
      <c r="U55" s="1702" t="str">
        <f>$K55</f>
        <v>....1.1.1</v>
      </c>
      <c r="V55" s="1713"/>
      <c r="W55" s="661"/>
      <c r="X55" s="1112"/>
      <c r="Y55" s="1112"/>
      <c r="Z55" s="1112"/>
      <c r="AA55" s="1112"/>
      <c r="AB55" s="1771"/>
      <c r="AC55" s="2532"/>
      <c r="AD55" s="2402" t="s">
        <v>59</v>
      </c>
      <c r="AE55" s="2532"/>
      <c r="AF55" s="2402" t="s">
        <v>59</v>
      </c>
      <c r="AG55" s="1773"/>
      <c r="AH55" s="1112"/>
      <c r="AI55" s="1112"/>
      <c r="AJ55" s="1112"/>
      <c r="AK55" s="1622"/>
      <c r="AL55" s="2532"/>
      <c r="AM55" s="2402" t="s">
        <v>59</v>
      </c>
      <c r="AN55" s="2532"/>
      <c r="AO55" s="2402" t="s">
        <v>59</v>
      </c>
      <c r="AP55" s="1714"/>
      <c r="AQ55" s="1673" t="s">
        <v>449</v>
      </c>
      <c r="AR55" s="872">
        <f>STRCHECKDATE(X57:AP57)</f>
      </c>
      <c r="AS55" s="861"/>
      <c r="AT55" s="861" t="str">
        <f>IF(V55="","",V55)</f>
        <v/>
      </c>
      <c r="AU55" s="861"/>
      <c r="AV55" s="861"/>
    </row>
    <row customHeight="1" ht="11.25">
      <c r="A56" s="1633" t="s">
        <v>171</v>
      </c>
      <c r="B56" s="1633" t="s">
        <v>172</v>
      </c>
      <c r="C56" s="1633" t="s">
        <v>173</v>
      </c>
      <c r="D56" s="1633" t="s">
        <v>174</v>
      </c>
      <c r="E56" s="2563"/>
      <c r="F56" s="2563"/>
      <c r="G56" s="2563"/>
      <c r="H56" s="2590"/>
      <c r="I56" s="2376"/>
      <c r="J56" s="2376"/>
      <c r="K56" s="2376"/>
      <c r="L56" s="2392" t="str">
        <f>K55&amp;".1"</f>
        <v>....1.1.1.1</v>
      </c>
      <c r="M56" s="1676"/>
      <c r="Q56" s="2531"/>
      <c r="R56" s="2531"/>
      <c r="S56" s="879">
        <v>1</v>
      </c>
      <c r="T56" s="718"/>
      <c r="U56" s="1702" t="str">
        <f>$L56</f>
        <v>....1.1.1.1</v>
      </c>
      <c r="V56" s="1757"/>
      <c r="W56" s="661"/>
      <c r="X56" s="686"/>
      <c r="Y56" s="1112"/>
      <c r="Z56" s="1112"/>
      <c r="AA56" s="1112"/>
      <c r="AB56" s="1771"/>
      <c r="AC56" s="2574"/>
      <c r="AD56" s="2402"/>
      <c r="AE56" s="2574"/>
      <c r="AF56" s="2402"/>
      <c r="AG56" s="1773"/>
      <c r="AH56" s="1112"/>
      <c r="AI56" s="1112"/>
      <c r="AJ56" s="1112"/>
      <c r="AK56" s="1622"/>
      <c r="AL56" s="2574"/>
      <c r="AM56" s="2402"/>
      <c r="AN56" s="2574"/>
      <c r="AO56" s="2402"/>
      <c r="AP56" s="1714"/>
      <c r="AQ56" s="2557" t="s">
        <v>450</v>
      </c>
      <c r="AR56" s="872">
        <f>STRCHECKDATE(X58:AP58)</f>
      </c>
      <c r="AS56" s="861"/>
      <c r="AT56" s="861" t="str">
        <f>IF(V56="","",V56)</f>
        <v/>
      </c>
      <c r="AU56" s="861"/>
      <c r="AV56" s="861"/>
    </row>
    <row customHeight="1" ht="0">
      <c r="A57" s="1633" t="s">
        <v>171</v>
      </c>
      <c r="B57" s="1633" t="s">
        <v>172</v>
      </c>
      <c r="C57" s="1633" t="s">
        <v>173</v>
      </c>
      <c r="D57" s="1633" t="s">
        <v>174</v>
      </c>
      <c r="E57" s="2563"/>
      <c r="F57" s="2563"/>
      <c r="G57" s="2563"/>
      <c r="H57" s="2590"/>
      <c r="I57" s="2376"/>
      <c r="J57" s="2376"/>
      <c r="K57" s="2376"/>
      <c r="L57" s="2392"/>
      <c r="M57" s="1676"/>
      <c r="Q57" s="2531"/>
      <c r="R57" s="2531"/>
      <c r="S57" s="879"/>
      <c r="T57" s="718"/>
      <c r="U57" s="1708"/>
      <c r="V57" s="661"/>
      <c r="W57" s="661"/>
      <c r="X57" s="686"/>
      <c r="Y57" s="686"/>
      <c r="Z57" s="686"/>
      <c r="AA57" s="686"/>
      <c r="AB57" s="1772" t="str">
        <f>AC55&amp;"-"&amp;AE55</f>
        <v>-</v>
      </c>
      <c r="AC57" s="2574"/>
      <c r="AD57" s="2402"/>
      <c r="AE57" s="2574"/>
      <c r="AF57" s="2402"/>
      <c r="AG57" s="1748"/>
      <c r="AH57" s="686"/>
      <c r="AI57" s="686"/>
      <c r="AJ57" s="686"/>
      <c r="AK57" s="689" t="str">
        <f>AL55&amp;"-"&amp;AN55</f>
        <v>-</v>
      </c>
      <c r="AL57" s="2574"/>
      <c r="AM57" s="2402"/>
      <c r="AN57" s="2574"/>
      <c r="AO57" s="2402"/>
      <c r="AP57" s="1715"/>
      <c r="AQ57" s="2558"/>
      <c r="AS57" s="861"/>
      <c r="AT57" s="861" t="str">
        <f>IF(V57="","",V57)</f>
        <v/>
      </c>
      <c r="AU57" s="861"/>
      <c r="AV57" s="861"/>
    </row>
    <row customHeight="1" ht="11.25">
      <c r="A58" s="1633" t="s">
        <v>171</v>
      </c>
      <c r="B58" s="1633" t="s">
        <v>172</v>
      </c>
      <c r="C58" s="1633" t="s">
        <v>173</v>
      </c>
      <c r="D58" s="1633" t="s">
        <v>174</v>
      </c>
      <c r="E58" s="2563"/>
      <c r="F58" s="2563"/>
      <c r="G58" s="2563"/>
      <c r="H58" s="2590"/>
      <c r="I58" s="2376"/>
      <c r="J58" s="2376"/>
      <c r="K58" s="2392"/>
      <c r="L58" s="1633"/>
      <c r="M58" s="1676"/>
      <c r="Q58" s="2531"/>
      <c r="R58" s="2531"/>
      <c r="S58" s="1697"/>
      <c r="T58" s="717"/>
      <c r="U58" s="1644"/>
      <c r="V58" s="649" t="s">
        <v>451</v>
      </c>
      <c r="W58" s="728"/>
      <c r="X58" s="728"/>
      <c r="Y58" s="728"/>
      <c r="Z58" s="728"/>
      <c r="AA58" s="728"/>
      <c r="AB58" s="728"/>
      <c r="AC58" s="2574"/>
      <c r="AD58" s="2402"/>
      <c r="AE58" s="2574"/>
      <c r="AF58" s="2402"/>
      <c r="AG58" s="728"/>
      <c r="AH58" s="728"/>
      <c r="AI58" s="728"/>
      <c r="AJ58" s="728"/>
      <c r="AK58" s="728"/>
      <c r="AL58" s="2574"/>
      <c r="AM58" s="2402"/>
      <c r="AN58" s="2574"/>
      <c r="AO58" s="2402"/>
      <c r="AP58" s="685"/>
      <c r="AQ58" s="2558"/>
      <c r="AS58" s="861"/>
      <c r="AT58" s="861" t="str">
        <f>IF(V58="","",V58)</f>
        <v>Добавить наименование поставщика</v>
      </c>
      <c r="AU58" s="861"/>
      <c r="AV58" s="861"/>
    </row>
    <row customHeight="1" ht="11.25">
      <c r="A59" s="1633" t="s">
        <v>171</v>
      </c>
      <c r="B59" s="1633" t="s">
        <v>172</v>
      </c>
      <c r="C59" s="1633" t="s">
        <v>173</v>
      </c>
      <c r="D59" s="1633" t="s">
        <v>174</v>
      </c>
      <c r="E59" s="2563"/>
      <c r="F59" s="2563"/>
      <c r="G59" s="2563"/>
      <c r="H59" s="2590"/>
      <c r="I59" s="2376"/>
      <c r="J59" s="2392"/>
      <c r="K59" s="1633"/>
      <c r="L59" s="1633"/>
      <c r="M59" s="1676"/>
      <c r="Q59" s="2531"/>
      <c r="R59" s="2531"/>
      <c r="S59" s="1697"/>
      <c r="T59" s="717"/>
      <c r="U59" s="1644"/>
      <c r="V59" s="648" t="s">
        <v>411</v>
      </c>
      <c r="W59" s="728"/>
      <c r="X59" s="728"/>
      <c r="Y59" s="728"/>
      <c r="Z59" s="728"/>
      <c r="AA59" s="728"/>
      <c r="AB59" s="728"/>
      <c r="AC59" s="1774"/>
      <c r="AD59" s="1774"/>
      <c r="AE59" s="1774"/>
      <c r="AF59" s="1774"/>
      <c r="AG59" s="728"/>
      <c r="AH59" s="728"/>
      <c r="AI59" s="728"/>
      <c r="AJ59" s="728"/>
      <c r="AK59" s="728"/>
      <c r="AL59" s="728"/>
      <c r="AM59" s="728"/>
      <c r="AN59" s="728"/>
      <c r="AO59" s="728"/>
      <c r="AP59" s="685"/>
      <c r="AQ59" s="2559"/>
      <c r="AS59" s="861"/>
      <c r="AT59" s="861" t="str">
        <f>IF(V59="","",V59)</f>
        <v>Добавить вид теплоносителя (параметры теплоносителя)</v>
      </c>
      <c r="AU59" s="861"/>
      <c r="AV59" s="861"/>
    </row>
    <row customHeight="1" ht="11.25">
      <c r="A60" s="1633" t="s">
        <v>171</v>
      </c>
      <c r="B60" s="1633" t="s">
        <v>172</v>
      </c>
      <c r="C60" s="1633" t="s">
        <v>173</v>
      </c>
      <c r="D60" s="1633" t="s">
        <v>174</v>
      </c>
      <c r="E60" s="2563"/>
      <c r="F60" s="2563"/>
      <c r="G60" s="2563"/>
      <c r="H60" s="2590"/>
      <c r="I60" s="2392"/>
      <c r="J60" s="1633"/>
      <c r="K60" s="1633"/>
      <c r="L60" s="1633"/>
      <c r="M60" s="1676"/>
      <c r="Q60" s="2531"/>
      <c r="R60" s="1697"/>
      <c r="S60" s="1697"/>
      <c r="T60" s="717"/>
      <c r="U60" s="1644"/>
      <c r="V60" s="726" t="s">
        <v>412</v>
      </c>
      <c r="W60" s="728"/>
      <c r="X60" s="728"/>
      <c r="Y60" s="728"/>
      <c r="Z60" s="728"/>
      <c r="AA60" s="728"/>
      <c r="AB60" s="728"/>
      <c r="AC60" s="728"/>
      <c r="AD60" s="728"/>
      <c r="AE60" s="728"/>
      <c r="AF60" s="727"/>
      <c r="AG60" s="728"/>
      <c r="AH60" s="728"/>
      <c r="AI60" s="728"/>
      <c r="AJ60" s="728"/>
      <c r="AK60" s="728"/>
      <c r="AL60" s="728"/>
      <c r="AM60" s="728"/>
      <c r="AN60" s="728"/>
      <c r="AO60" s="727"/>
      <c r="AP60" s="728"/>
      <c r="AQ60" s="664"/>
      <c r="AS60" s="861"/>
      <c r="AT60" s="861" t="str">
        <f>IF(V60="","",V60)</f>
        <v>Добавить группу потребителей</v>
      </c>
      <c r="AU60" s="861"/>
      <c r="AV60" s="861"/>
    </row>
    <row customHeight="1" ht="0">
      <c r="A61" s="1633" t="s">
        <v>171</v>
      </c>
      <c r="B61" s="1633" t="s">
        <v>172</v>
      </c>
      <c r="C61" s="1633" t="s">
        <v>173</v>
      </c>
      <c r="D61" s="1633" t="s">
        <v>174</v>
      </c>
      <c r="E61" s="2563"/>
      <c r="F61" s="2563"/>
      <c r="G61" s="2563"/>
      <c r="H61" s="2589"/>
      <c r="I61" s="1633"/>
      <c r="J61" s="1633"/>
      <c r="K61" s="1633"/>
      <c r="L61" s="1633"/>
      <c r="M61" s="1676"/>
      <c r="N61" s="1049"/>
      <c r="O61" s="1049"/>
      <c r="P61" s="870"/>
      <c r="Q61" s="721"/>
      <c r="R61" s="736"/>
      <c r="S61" s="716"/>
      <c r="T61" s="721"/>
      <c r="U61" s="1752"/>
      <c r="V61" s="1753"/>
      <c r="W61" s="1754"/>
      <c r="X61" s="1754"/>
      <c r="Y61" s="1754"/>
      <c r="Z61" s="1754"/>
      <c r="AA61" s="1754"/>
      <c r="AB61" s="1754"/>
      <c r="AC61" s="1754"/>
      <c r="AD61" s="1754"/>
      <c r="AE61" s="1754"/>
      <c r="AF61" s="1754"/>
      <c r="AG61" s="1754"/>
      <c r="AH61" s="1754"/>
      <c r="AI61" s="1754"/>
      <c r="AJ61" s="1754"/>
      <c r="AK61" s="1754"/>
      <c r="AL61" s="1754"/>
      <c r="AM61" s="1754"/>
      <c r="AN61" s="1754"/>
      <c r="AO61" s="1754"/>
      <c r="AP61" s="1754"/>
      <c r="AQ61" s="1755"/>
      <c r="AS61" s="861"/>
      <c r="AT61" s="861" t="str">
        <f>IF(V61="","",V61)</f>
        <v/>
      </c>
      <c r="AU61" s="861"/>
      <c r="AV61" s="861"/>
    </row>
    <row s="19127" customFormat="1" customHeight="1" ht="0">
      <c r="A62" s="1741" t="s">
        <v>171</v>
      </c>
      <c r="B62" s="1741" t="s">
        <v>172</v>
      </c>
      <c r="C62" s="1741" t="s">
        <v>173</v>
      </c>
      <c r="D62" s="1740"/>
      <c r="E62" s="2563"/>
      <c r="F62" s="2563"/>
      <c r="G62" s="2562"/>
      <c r="H62" s="1740"/>
      <c r="I62" s="1740"/>
      <c r="J62" s="1740"/>
      <c r="K62" s="1740"/>
      <c r="L62" s="1740"/>
      <c r="M62" s="1743"/>
      <c r="N62" s="1744"/>
      <c r="O62" s="1744"/>
      <c r="P62" s="712"/>
      <c r="Q62" s="1682"/>
      <c r="R62" s="1683"/>
      <c r="S62" s="1682"/>
      <c r="T62" s="1682"/>
      <c r="U62" s="1688"/>
      <c r="V62" s="1691" t="s">
        <v>414</v>
      </c>
      <c r="W62" s="1690"/>
      <c r="X62" s="1690"/>
      <c r="Y62" s="1690"/>
      <c r="Z62" s="1690"/>
      <c r="AA62" s="1690"/>
      <c r="AB62" s="1690"/>
      <c r="AC62" s="1690"/>
      <c r="AD62" s="1690"/>
      <c r="AE62" s="1690"/>
      <c r="AF62" s="1690"/>
      <c r="AG62" s="1690"/>
      <c r="AH62" s="1690"/>
      <c r="AI62" s="1690"/>
      <c r="AJ62" s="1690"/>
      <c r="AK62" s="1690"/>
      <c r="AL62" s="1690"/>
      <c r="AM62" s="1690"/>
      <c r="AN62" s="1690"/>
      <c r="AO62" s="1690"/>
      <c r="AP62" s="1690"/>
      <c r="AQ62" s="1690"/>
      <c r="AS62" s="1150"/>
      <c r="AT62" s="1150" t="str">
        <f>IF(V62="","",V62)</f>
        <v>Добавить источник для дифференциации</v>
      </c>
      <c r="AU62" s="1150"/>
      <c r="AV62" s="1150"/>
    </row>
    <row s="19127" customFormat="1" customHeight="1" ht="0">
      <c r="A63" s="1741" t="s">
        <v>171</v>
      </c>
      <c r="B63" s="1741" t="s">
        <v>172</v>
      </c>
      <c r="C63" s="1740"/>
      <c r="D63" s="1740"/>
      <c r="E63" s="2563"/>
      <c r="F63" s="2562"/>
      <c r="G63" s="1740"/>
      <c r="H63" s="1740"/>
      <c r="I63" s="1740"/>
      <c r="J63" s="1740"/>
      <c r="K63" s="1740"/>
      <c r="L63" s="1740"/>
      <c r="M63" s="1743"/>
      <c r="N63" s="1745"/>
      <c r="O63" s="1745"/>
      <c r="P63" s="712"/>
      <c r="Q63" s="1682"/>
      <c r="R63" s="1683"/>
      <c r="S63" s="1682"/>
      <c r="T63" s="1682"/>
      <c r="U63" s="1688"/>
      <c r="V63" s="1691" t="s">
        <v>251</v>
      </c>
      <c r="W63" s="1690"/>
      <c r="X63" s="1690"/>
      <c r="Y63" s="1690"/>
      <c r="Z63" s="1690"/>
      <c r="AA63" s="1690"/>
      <c r="AB63" s="1690"/>
      <c r="AC63" s="1690"/>
      <c r="AD63" s="1690"/>
      <c r="AE63" s="1690"/>
      <c r="AF63" s="1690"/>
      <c r="AG63" s="1690"/>
      <c r="AH63" s="1690"/>
      <c r="AI63" s="1690"/>
      <c r="AJ63" s="1690"/>
      <c r="AK63" s="1690"/>
      <c r="AL63" s="1690"/>
      <c r="AM63" s="1690"/>
      <c r="AN63" s="1690"/>
      <c r="AO63" s="1690"/>
      <c r="AP63" s="1690"/>
      <c r="AQ63" s="1690"/>
      <c r="AS63" s="1150"/>
      <c r="AT63" s="1150" t="str">
        <f>IF(V63="","",V63)</f>
        <v>Добавить централизованную систему для дифференциации</v>
      </c>
      <c r="AU63" s="1150"/>
      <c r="AV63" s="1150"/>
    </row>
    <row s="19219" customFormat="1" customHeight="1" ht="0">
      <c r="A64" s="1741" t="s">
        <v>171</v>
      </c>
      <c r="B64" s="1741"/>
      <c r="C64" s="1741"/>
      <c r="D64" s="1741"/>
      <c r="E64" s="2562"/>
      <c r="F64" s="1741"/>
      <c r="G64" s="1741"/>
      <c r="H64" s="1741"/>
      <c r="I64" s="1741"/>
      <c r="J64" s="1741"/>
      <c r="K64" s="1741"/>
      <c r="L64" s="1741"/>
      <c r="M64" s="1747"/>
      <c r="N64" s="1745"/>
      <c r="O64" s="1745"/>
      <c r="P64" s="712"/>
      <c r="Q64" s="741"/>
      <c r="R64" s="1710"/>
      <c r="S64" s="741"/>
      <c r="T64" s="741"/>
      <c r="U64" s="1688"/>
      <c r="V64" s="1691" t="s">
        <v>252</v>
      </c>
      <c r="W64" s="1690"/>
      <c r="X64" s="1690"/>
      <c r="Y64" s="1690"/>
      <c r="Z64" s="1690"/>
      <c r="AA64" s="1690"/>
      <c r="AB64" s="1690"/>
      <c r="AC64" s="1690"/>
      <c r="AD64" s="1690"/>
      <c r="AE64" s="1690"/>
      <c r="AF64" s="1690"/>
      <c r="AG64" s="1690"/>
      <c r="AH64" s="1690"/>
      <c r="AI64" s="1690"/>
      <c r="AJ64" s="1690"/>
      <c r="AK64" s="1690"/>
      <c r="AL64" s="1690"/>
      <c r="AM64" s="1690"/>
      <c r="AN64" s="1690"/>
      <c r="AO64" s="1690"/>
      <c r="AP64" s="1690"/>
      <c r="AQ64" s="1690"/>
      <c r="AS64" s="861"/>
      <c r="AT64" s="861" t="str">
        <f>IF(V64="","",V64)</f>
        <v>Добавить территорию для дифференциации</v>
      </c>
      <c r="AU64" s="861"/>
      <c r="AV64" s="861"/>
    </row>
    <row s="19127" customFormat="1" customHeight="1" ht="5.25">
      <c r="A65" s="1740"/>
      <c r="B65" s="1740"/>
      <c r="C65" s="1740"/>
      <c r="D65" s="1740"/>
      <c r="E65" s="1741"/>
      <c r="F65" s="1740"/>
      <c r="G65" s="1740"/>
      <c r="H65" s="1740"/>
      <c r="I65" s="1740"/>
      <c r="J65" s="1740"/>
      <c r="K65" s="1740"/>
      <c r="L65" s="1740"/>
      <c r="M65" s="1743"/>
      <c r="N65" s="1745"/>
      <c r="O65" s="1745"/>
      <c r="P65" s="712"/>
      <c r="Q65" s="1682"/>
      <c r="R65" s="1683"/>
      <c r="S65" s="1682"/>
      <c r="T65" s="1682"/>
      <c r="U65" s="1688"/>
      <c r="V65" s="1691" t="s">
        <v>253</v>
      </c>
      <c r="W65" s="1690"/>
      <c r="X65" s="1690"/>
      <c r="Y65" s="1690"/>
      <c r="Z65" s="1690"/>
      <c r="AA65" s="1690"/>
      <c r="AB65" s="1690"/>
      <c r="AC65" s="1690"/>
      <c r="AD65" s="1690"/>
      <c r="AE65" s="1690"/>
      <c r="AF65" s="1690"/>
      <c r="AG65" s="1690"/>
      <c r="AH65" s="1690"/>
      <c r="AI65" s="1690"/>
      <c r="AJ65" s="1690"/>
      <c r="AK65" s="1690"/>
      <c r="AL65" s="1690"/>
      <c r="AM65" s="1690"/>
      <c r="AN65" s="1690"/>
      <c r="AO65" s="1690"/>
      <c r="AP65" s="1690"/>
      <c r="AQ65" s="1690"/>
      <c r="AS65" s="1150"/>
      <c r="AT65" s="1150" t="str">
        <f>IF(V65="","",V65)</f>
        <v>Добавить наименование тарифа</v>
      </c>
      <c r="AU65" s="1150"/>
      <c r="AV65" s="1150"/>
    </row>
    <row customHeight="1" ht="11.25">
      <c r="N66" s="1518"/>
      <c r="O66" s="1518"/>
      <c r="P66" s="870"/>
      <c r="Q66" s="1518"/>
      <c r="R66" s="1518"/>
      <c r="S66" s="1518"/>
      <c r="T66" s="1518"/>
      <c r="U66" s="1518"/>
      <c r="AR66" s="1518"/>
      <c r="AS66" s="1518"/>
      <c r="AT66" s="1518"/>
      <c r="AU66" s="1518"/>
      <c r="AV66" s="1518"/>
    </row>
    <row customHeight="1" ht="33.75">
      <c r="P67" s="870"/>
      <c r="U67" s="1618"/>
      <c r="V67" s="2526"/>
      <c r="W67" s="2526"/>
      <c r="X67" s="2526"/>
      <c r="Y67" s="2526"/>
      <c r="Z67" s="2526"/>
      <c r="AA67" s="2526"/>
      <c r="AB67" s="2526"/>
      <c r="AC67" s="2526"/>
      <c r="AD67" s="2526"/>
      <c r="AE67" s="2526"/>
      <c r="AF67" s="2526"/>
      <c r="AG67" s="2526"/>
      <c r="AH67" s="2526"/>
      <c r="AI67" s="2526"/>
      <c r="AJ67" s="2526"/>
      <c r="AK67" s="2526"/>
      <c r="AL67" s="2526"/>
      <c r="AM67" s="2526"/>
      <c r="AN67" s="2526"/>
      <c r="AO67" s="2526"/>
      <c r="AP67" s="2526"/>
      <c r="AQ67" s="2526"/>
    </row>
    <row customHeight="1" ht="19.5">
      <c r="P68" s="870"/>
      <c r="V68" s="2526"/>
      <c r="W68" s="2526"/>
      <c r="X68" s="2526"/>
      <c r="Y68" s="2526"/>
      <c r="Z68" s="2526"/>
      <c r="AA68" s="2526"/>
      <c r="AB68" s="2526"/>
      <c r="AC68" s="2526"/>
      <c r="AD68" s="2526"/>
      <c r="AE68" s="2526"/>
      <c r="AF68" s="2526"/>
      <c r="AG68" s="2526"/>
      <c r="AH68" s="2526"/>
      <c r="AI68" s="2526"/>
      <c r="AJ68" s="2526"/>
      <c r="AK68" s="2526"/>
      <c r="AL68" s="2526"/>
      <c r="AM68" s="2526"/>
      <c r="AN68" s="2526"/>
      <c r="AO68" s="2526"/>
      <c r="AP68" s="2526"/>
      <c r="AQ68" s="2526"/>
    </row>
    <row customHeight="1" ht="14.25">
      <c r="P69" s="870"/>
    </row>
    <row customHeight="1" ht="27">
      <c r="P70" s="870"/>
      <c r="V70" s="2526"/>
      <c r="W70" s="2526"/>
      <c r="X70" s="2526"/>
      <c r="Y70" s="2526"/>
      <c r="Z70" s="2526"/>
      <c r="AA70" s="2526"/>
      <c r="AB70" s="2526"/>
      <c r="AC70" s="2526"/>
      <c r="AD70" s="2526"/>
      <c r="AE70" s="2526"/>
      <c r="AF70" s="2526"/>
      <c r="AG70" s="2526"/>
      <c r="AH70" s="2526"/>
      <c r="AI70" s="2526"/>
      <c r="AJ70" s="2526"/>
      <c r="AK70" s="2526"/>
      <c r="AL70" s="2526"/>
      <c r="AM70" s="2526"/>
      <c r="AN70" s="2526"/>
      <c r="AO70" s="2526"/>
      <c r="AP70" s="2526"/>
      <c r="AQ70" s="2526"/>
    </row>
    <row customHeight="1" ht="18">
      <c r="P71" s="870"/>
      <c r="V71" s="2526"/>
      <c r="W71" s="2526"/>
      <c r="X71" s="2526"/>
      <c r="Y71" s="2526"/>
      <c r="Z71" s="2526"/>
      <c r="AA71" s="2526"/>
      <c r="AB71" s="2526"/>
      <c r="AC71" s="2526"/>
      <c r="AD71" s="2526"/>
      <c r="AE71" s="2526"/>
      <c r="AF71" s="2526"/>
      <c r="AG71" s="2526"/>
      <c r="AH71" s="2526"/>
      <c r="AI71" s="2526"/>
      <c r="AJ71" s="2526"/>
      <c r="AK71" s="2526"/>
      <c r="AL71" s="2526"/>
      <c r="AM71" s="2526"/>
      <c r="AN71" s="2526"/>
      <c r="AO71" s="2526"/>
      <c r="AP71" s="2526"/>
      <c r="AQ71" s="2526"/>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B383419-D471-CF84-CEA8-FA476989F634}" mc:Ignorable="x14ac xr xr2 xr3">
  <sheetPr>
    <tabColor rgb="FFCCCCFF"/>
  </sheetPr>
  <dimension ref="A1:P78"/>
  <sheetViews>
    <sheetView topLeftCell="A1" showGridLines="0" zoomScale="90" workbookViewId="0">
      <selection activeCell="F34" sqref="F34"/>
    </sheetView>
  </sheetViews>
  <sheetFormatPr defaultColWidth="9.140625" customHeight="1" defaultRowHeight="11.25"/>
  <cols>
    <col min="1" max="1" style="18392" width="10.7109375" hidden="1" customWidth="1"/>
    <col min="2" max="2" style="18393" width="10.7109375" hidden="1" customWidth="1"/>
    <col min="3" max="3" style="18394" width="3.7109375" customWidth="1"/>
    <col min="4" max="4" style="18395" width="1.7109375" customWidth="1"/>
    <col min="5" max="5" style="18395" width="55.28125" customWidth="1"/>
    <col min="6" max="6" style="18395" width="55.00390625" customWidth="1"/>
    <col min="7" max="7" style="18396" width="1.7109375" customWidth="1"/>
    <col min="8" max="8" style="18322" width="18.00390625" hidden="1" customWidth="1"/>
    <col min="9" max="9" style="18397" width="59.7109375" customWidth="1"/>
    <col min="10" max="10" style="18398" width="52.140625" hidden="1" customWidth="1"/>
    <col min="11" max="11" style="18395" width="9.140625"/>
    <col min="12" max="12" style="18395" width="78.00390625" customWidth="1"/>
    <col min="13" max="16" style="18395" width="9.140625"/>
  </cols>
  <sheetData>
    <row s="18281" customFormat="1" customHeight="1" ht="3">
      <c r="A1" s="1144"/>
      <c r="B1" s="602"/>
      <c r="F1" s="603">
        <v>26354809</v>
      </c>
      <c r="G1" s="772"/>
      <c r="H1" s="432"/>
      <c r="I1" s="772"/>
      <c r="J1" s="1232"/>
    </row>
    <row s="18288" customFormat="1" customHeight="1" ht="14.25">
      <c r="A2" s="1144"/>
      <c r="B2" s="460"/>
      <c r="E2" s="2106" t="str">
        <f>code</f>
        <v>Код отчёта: PP108.OPEN.INFO.PRICE.HOTVSNA.EIAS</v>
      </c>
      <c r="F2" s="630"/>
      <c r="G2" s="606"/>
      <c r="H2" s="606"/>
      <c r="I2" s="606"/>
      <c r="J2" s="1233"/>
      <c r="K2" s="606"/>
    </row>
    <row customHeight="1" ht="14.25">
      <c r="E3" s="607" t="str">
        <f>version</f>
        <v>Версия отчёта: 1.0.7</v>
      </c>
      <c r="F3" s="630"/>
      <c r="G3" s="1131"/>
      <c r="H3" s="1131"/>
      <c r="I3" s="1131"/>
      <c r="J3" s="1234"/>
      <c r="K3" s="449"/>
    </row>
    <row s="18298" customFormat="1" customHeight="1" ht="6">
      <c r="A4" s="1145"/>
      <c r="B4" s="593"/>
      <c r="C4" s="594"/>
      <c r="D4" s="595"/>
      <c r="E4" s="604"/>
      <c r="F4" s="605"/>
      <c r="G4" s="1132"/>
      <c r="H4" s="770"/>
      <c r="I4" s="772"/>
      <c r="J4" s="1235"/>
    </row>
    <row customHeight="1" ht="37.5">
      <c r="D5" s="436"/>
      <c r="E5" s="2370" t="str">
        <f>NameTemplatesInTitle</f>
        <v>Показатели, подлежащие раскрытию в сфере горячего водоснабжения (цены и тарифы)</v>
      </c>
      <c r="F5" s="2371"/>
      <c r="G5" s="1133"/>
      <c r="J5" s="1236"/>
    </row>
    <row s="18298" customFormat="1" customHeight="1" ht="6">
      <c r="A6" s="1145"/>
      <c r="B6" s="593"/>
      <c r="C6" s="594"/>
      <c r="D6" s="595"/>
      <c r="E6" s="598"/>
      <c r="F6" s="599"/>
      <c r="G6" s="1133"/>
      <c r="H6" s="770"/>
      <c r="I6" s="772"/>
      <c r="J6" s="1235"/>
    </row>
    <row customHeight="1" ht="19.5">
      <c r="D7" s="436"/>
      <c r="E7" s="752" t="s">
        <v>13</v>
      </c>
      <c r="F7" s="576" t="s">
        <v>14</v>
      </c>
      <c r="G7" s="1133"/>
    </row>
    <row s="18298" customFormat="1" customHeight="1" ht="6">
      <c r="A8" s="1146"/>
      <c r="B8" s="593"/>
      <c r="C8" s="594"/>
      <c r="D8" s="600"/>
      <c r="E8" s="598"/>
      <c r="F8" s="601"/>
      <c r="G8" s="438"/>
      <c r="H8" s="770"/>
      <c r="I8" s="772"/>
      <c r="J8" s="1238"/>
    </row>
    <row s="18322" customFormat="1" customHeight="1" ht="19.5" hidden="1">
      <c r="A9" s="1145"/>
      <c r="B9" s="460"/>
      <c r="C9" s="769"/>
      <c r="D9" s="771"/>
      <c r="E9" s="1528" t="s">
        <v>15</v>
      </c>
      <c r="F9" s="2288"/>
      <c r="G9" s="1133"/>
      <c r="I9" s="2267" t="str">
        <f>IF(TITLE_STRUCTURE_INFO_ROIV="","","раскрывается "&amp;INDEX(ROIV_INFO_COMMENT,MATCH(TITLE_STRUCTURE_INFO_ROIV,ROIV_INFO_LIST,0)))</f>
        <v/>
      </c>
      <c r="J9" s="1237"/>
    </row>
    <row s="18329" customFormat="1" customHeight="1" ht="6">
      <c r="A10" s="1146"/>
      <c r="B10" s="787"/>
      <c r="C10" s="788"/>
      <c r="D10" s="600"/>
      <c r="E10" s="598"/>
      <c r="F10" s="601"/>
      <c r="G10" s="438"/>
      <c r="H10" s="770"/>
      <c r="I10" s="772"/>
      <c r="J10" s="1238"/>
    </row>
    <row customHeight="1" ht="22.5">
      <c r="A11" s="2373" t="s">
        <v>16</v>
      </c>
      <c r="D11" s="436"/>
      <c r="E11" s="1528" t="s">
        <v>17</v>
      </c>
      <c r="F11" s="5412">
        <v>45292.706712962965</v>
      </c>
      <c r="G11" s="438"/>
      <c r="H11" s="1134" t="s">
        <v>18</v>
      </c>
      <c r="J11" s="1237" t="s">
        <v>19</v>
      </c>
    </row>
    <row customHeight="1" ht="22.5">
      <c r="A12" s="2373"/>
      <c r="D12" s="436"/>
      <c r="E12" s="1528" t="s">
        <v>20</v>
      </c>
      <c r="F12" s="5412">
        <v>45657.70695601852</v>
      </c>
      <c r="G12" s="434"/>
      <c r="J12" s="1237" t="s">
        <v>21</v>
      </c>
    </row>
    <row s="18322" customFormat="1" customHeight="1" ht="22.5" hidden="1">
      <c r="A13" s="1149" t="s">
        <v>22</v>
      </c>
      <c r="B13" s="460"/>
      <c r="C13" s="769"/>
      <c r="D13" s="771"/>
      <c r="E13" s="2141" t="s">
        <v>23</v>
      </c>
      <c r="F13" s="2098" t="s">
        <v>24</v>
      </c>
      <c r="G13" s="438"/>
      <c r="H13" s="1131"/>
      <c r="I13" s="772"/>
      <c r="J13" s="2142" t="s">
        <v>25</v>
      </c>
    </row>
    <row s="18322" customFormat="1" customHeight="1" ht="27" hidden="1">
      <c r="A14" s="1149" t="s">
        <v>26</v>
      </c>
      <c r="B14" s="460"/>
      <c r="C14" s="769"/>
      <c r="D14" s="771"/>
      <c r="E14" s="1528" t="s">
        <v>27</v>
      </c>
      <c r="F14" s="2133"/>
      <c r="G14" s="438"/>
      <c r="H14" s="1131"/>
      <c r="I14" s="772"/>
      <c r="J14" s="1237" t="s">
        <v>28</v>
      </c>
    </row>
    <row s="18322" customFormat="1" customHeight="1" ht="19.5" hidden="1">
      <c r="A15" s="1149" t="s">
        <v>29</v>
      </c>
      <c r="B15" s="460"/>
      <c r="C15" s="769"/>
      <c r="D15" s="771"/>
      <c r="E15" s="1528" t="s">
        <v>30</v>
      </c>
      <c r="F15" s="2133"/>
      <c r="G15" s="438"/>
      <c r="H15" s="1131"/>
      <c r="I15" s="772"/>
      <c r="J15" s="1237" t="s">
        <v>31</v>
      </c>
    </row>
    <row s="18298" customFormat="1" customHeight="1" ht="6">
      <c r="A16" s="1146"/>
      <c r="B16" s="593"/>
      <c r="C16" s="594"/>
      <c r="D16" s="600"/>
      <c r="E16" s="598"/>
      <c r="F16" s="601"/>
      <c r="G16" s="438"/>
      <c r="H16" s="770"/>
      <c r="I16" s="772"/>
      <c r="J16" s="1235"/>
    </row>
    <row customHeight="1" ht="19.5">
      <c r="D17" s="436"/>
      <c r="E17" s="752" t="s">
        <v>32</v>
      </c>
      <c r="F17" s="577" t="s">
        <v>33</v>
      </c>
      <c r="G17" s="434"/>
      <c r="H17" s="1134" t="s">
        <v>18</v>
      </c>
    </row>
    <row customHeight="1" ht="25.5" hidden="1">
      <c r="D18" s="436"/>
      <c r="E18" s="2141" t="s">
        <v>34</v>
      </c>
      <c r="F18" s="2099"/>
      <c r="G18" s="434"/>
      <c r="I18" s="1135"/>
      <c r="J18" s="2372" t="s">
        <v>35</v>
      </c>
    </row>
    <row customHeight="1" ht="25.5" hidden="1">
      <c r="D19" s="436"/>
      <c r="E19" s="1528"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099"/>
      <c r="G19" s="434"/>
      <c r="I19" s="1135"/>
      <c r="J19" s="2372"/>
    </row>
    <row customHeight="1" ht="22.5">
      <c r="D20" s="436"/>
      <c r="E20" s="437"/>
      <c r="F20" s="631" t="str">
        <f>"Первичное "&amp;IF(TEMPLATE_GROUP="P","установление тарифов","предложение по тарифам")</f>
        <v>Первичное установление тарифов</v>
      </c>
      <c r="G20" s="434"/>
      <c r="I20" s="755"/>
      <c r="J20" s="1236" t="s">
        <v>36</v>
      </c>
    </row>
    <row customHeight="1" ht="19.5">
      <c r="D21" s="436"/>
      <c r="E21" s="752" t="str">
        <f>"Дата "&amp;IF(TEMPLATE_GROUP="P","документа","подачи заявления")&amp;" об утверждении тарифов"</f>
        <v>Дата документа об утверждении тарифов</v>
      </c>
      <c r="F21" s="15545">
        <v>45280.70914351852</v>
      </c>
      <c r="G21" s="434"/>
      <c r="I21" s="1136"/>
    </row>
    <row customHeight="1" ht="19.5">
      <c r="D22" s="436"/>
      <c r="E22" s="752" t="str">
        <f>"Номер "&amp;IF(TEMPLATE_GROUP="P","документа","подачи заявления")&amp;" об утверждении тарифов"</f>
        <v>Номер документа об утверждении тарифов</v>
      </c>
      <c r="F22" s="577" t="s">
        <v>37</v>
      </c>
      <c r="G22" s="434"/>
      <c r="I22" s="1136"/>
    </row>
    <row customHeight="1" ht="22.5">
      <c r="D23" s="436"/>
      <c r="E23" s="752" t="s">
        <v>38</v>
      </c>
      <c r="F23" s="577" t="s">
        <v>39</v>
      </c>
      <c r="G23" s="434"/>
    </row>
    <row customHeight="1" ht="19.5">
      <c r="D24" s="436"/>
      <c r="E24" s="752" t="s">
        <v>40</v>
      </c>
      <c r="F24" s="577" t="s">
        <v>41</v>
      </c>
      <c r="G24" s="434"/>
    </row>
    <row customHeight="1" ht="22.5" hidden="1">
      <c r="D25" s="436"/>
      <c r="E25" s="437"/>
      <c r="F25" s="631" t="str">
        <f>"Изменение "&amp;IF(TEMPLATE_GROUP="P","тарифов","предложения по тарифам")</f>
        <v>Изменение тарифов</v>
      </c>
      <c r="G25" s="434"/>
      <c r="J25" s="1236" t="s">
        <v>42</v>
      </c>
    </row>
    <row customHeight="1" ht="19.5" hidden="1">
      <c r="D26" s="436"/>
      <c r="E26" s="752" t="str">
        <f>"Дата "&amp;IF(TEMPLATE_GROUP="P","принятия решения","подачи заявления")&amp;" об изменении тарифов"</f>
        <v>Дата принятия решения об изменении тарифов</v>
      </c>
      <c r="F26" s="2099"/>
      <c r="G26" s="434"/>
    </row>
    <row customHeight="1" ht="19.5" hidden="1">
      <c r="D27" s="436"/>
      <c r="E27" s="1528" t="str">
        <f>"Номер "&amp;IF(TEMPLATE_GROUP="P","принятия решения","заявления")&amp;" об изменении тарифов"</f>
        <v>Номер принятия решения об изменении тарифов</v>
      </c>
      <c r="F27" s="579"/>
      <c r="G27" s="434"/>
    </row>
    <row customHeight="1" ht="24.75" hidden="1">
      <c r="D28" s="436"/>
      <c r="E28" s="752" t="s">
        <v>43</v>
      </c>
      <c r="F28" s="579"/>
      <c r="G28" s="434"/>
    </row>
    <row customHeight="1" ht="19.5" hidden="1">
      <c r="D29" s="436"/>
      <c r="E29" s="752" t="s">
        <v>40</v>
      </c>
      <c r="F29" s="579"/>
      <c r="G29" s="434"/>
    </row>
    <row s="18298" customFormat="1" customHeight="1" ht="6">
      <c r="A30" s="1146"/>
      <c r="B30" s="593"/>
      <c r="C30" s="594"/>
      <c r="D30" s="600"/>
      <c r="E30" s="598"/>
      <c r="F30" s="601"/>
      <c r="G30" s="438"/>
      <c r="H30" s="770"/>
      <c r="I30" s="772"/>
      <c r="J30" s="1235"/>
    </row>
    <row customHeight="1" ht="19.5">
      <c r="C31" s="439"/>
      <c r="D31" s="440"/>
      <c r="E31" s="752" t="str">
        <f>"Наименование "&amp;IF(TEMPLATE_GROUP="ROIV","органа тарифного регулирования","ЮЛ / ИП")</f>
        <v>Наименование ЮЛ / ИП</v>
      </c>
      <c r="F31" s="578" t="s">
        <v>44</v>
      </c>
      <c r="G31" s="1137"/>
    </row>
    <row customHeight="1" ht="19.5" hidden="1">
      <c r="C32" s="439"/>
      <c r="D32" s="440"/>
      <c r="E32" s="753" t="s">
        <v>45</v>
      </c>
      <c r="F32" s="578"/>
      <c r="G32" s="1137"/>
    </row>
    <row customHeight="1" ht="19.5">
      <c r="C33" s="439"/>
      <c r="D33" s="440"/>
      <c r="E33" s="752" t="s">
        <v>46</v>
      </c>
      <c r="F33" s="578" t="s">
        <v>47</v>
      </c>
      <c r="G33" s="1137"/>
    </row>
    <row customHeight="1" ht="19.5">
      <c r="C34" s="439"/>
      <c r="D34" s="440"/>
      <c r="E34" s="752" t="s">
        <v>48</v>
      </c>
      <c r="F34" s="578" t="s">
        <v>49</v>
      </c>
      <c r="G34" s="1137"/>
      <c r="H34" s="441"/>
    </row>
    <row s="18298" customFormat="1" customHeight="1" ht="11.25">
      <c r="A35" s="1146"/>
      <c r="B35" s="593"/>
      <c r="C35" s="594"/>
      <c r="D35" s="600"/>
      <c r="E35" s="598"/>
      <c r="F35" s="601"/>
      <c r="G35" s="438"/>
      <c r="H35" s="770"/>
      <c r="I35" s="772"/>
      <c r="J35" s="1235"/>
    </row>
    <row customHeight="1" ht="19.5" hidden="1">
      <c r="A36" s="1240"/>
      <c r="D36" s="440"/>
      <c r="E36" s="752" t="s">
        <v>50</v>
      </c>
      <c r="F36" s="709"/>
      <c r="G36" s="438"/>
    </row>
    <row customHeight="1" ht="19.5">
      <c r="A37" s="1240"/>
      <c r="D37" s="440"/>
      <c r="E37" s="752" t="s">
        <v>51</v>
      </c>
      <c r="F37" s="5437" t="s">
        <v>52</v>
      </c>
      <c r="G37" s="438"/>
    </row>
    <row s="18298" customFormat="1" customHeight="1" ht="6">
      <c r="A38" s="1146"/>
      <c r="B38" s="593"/>
      <c r="C38" s="594"/>
      <c r="D38" s="595"/>
      <c r="E38" s="596"/>
      <c r="F38" s="1415"/>
      <c r="G38" s="434"/>
      <c r="H38" s="770"/>
      <c r="I38" s="772"/>
      <c r="J38" s="1237"/>
    </row>
    <row customHeight="1" ht="35.25">
      <c r="A39" s="1146"/>
      <c r="D39" s="436"/>
      <c r="E39" s="752" t="s">
        <v>53</v>
      </c>
      <c r="F39" s="1071" t="s">
        <v>54</v>
      </c>
      <c r="G39" s="434"/>
      <c r="H39" s="1134" t="s">
        <v>18</v>
      </c>
    </row>
    <row s="18329" customFormat="1" customHeight="1" ht="6" hidden="1">
      <c r="A40" s="1145"/>
      <c r="B40" s="787"/>
      <c r="C40" s="788"/>
      <c r="D40" s="789"/>
      <c r="E40" s="790"/>
      <c r="F40" s="1415"/>
      <c r="G40" s="434"/>
      <c r="H40" s="770"/>
      <c r="I40" s="772"/>
      <c r="J40" s="1237"/>
    </row>
    <row s="18322" customFormat="1" customHeight="1" ht="26.25" hidden="1">
      <c r="A41" s="1149" t="s">
        <v>22</v>
      </c>
      <c r="B41" s="774"/>
      <c r="C41" s="769"/>
      <c r="D41" s="771"/>
      <c r="E41" s="752"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1071" t="s">
        <v>54</v>
      </c>
      <c r="G41" s="434"/>
      <c r="I41" s="772"/>
      <c r="J41" s="1237"/>
    </row>
    <row s="18329" customFormat="1" customHeight="1" ht="6" hidden="1">
      <c r="A42" s="1145"/>
      <c r="B42" s="787"/>
      <c r="C42" s="788"/>
      <c r="D42" s="789"/>
      <c r="E42" s="790"/>
      <c r="F42" s="1415"/>
      <c r="G42" s="434"/>
      <c r="H42" s="770"/>
      <c r="I42" s="772"/>
      <c r="J42" s="1235"/>
    </row>
    <row s="18322" customFormat="1" customHeight="1" ht="27" hidden="1">
      <c r="A43" s="1145"/>
      <c r="B43" s="774"/>
      <c r="C43" s="769"/>
      <c r="D43" s="771"/>
      <c r="E43" s="752" t="s">
        <v>55</v>
      </c>
      <c r="F43" s="1071" t="s">
        <v>54</v>
      </c>
      <c r="G43" s="434"/>
      <c r="I43" s="772"/>
      <c r="J43" s="1237"/>
    </row>
    <row s="18322" customFormat="1" customHeight="1" ht="27" hidden="1">
      <c r="A44" s="1145"/>
      <c r="B44" s="774"/>
      <c r="C44" s="769"/>
      <c r="D44" s="771"/>
      <c r="E44" s="1528" t="s">
        <v>56</v>
      </c>
      <c r="F44" s="2255"/>
      <c r="G44" s="434"/>
      <c r="I44" s="772"/>
      <c r="J44" s="1237"/>
    </row>
    <row s="18329" customFormat="1" customHeight="1" ht="6" hidden="1">
      <c r="A45" s="1145"/>
      <c r="B45" s="787"/>
      <c r="C45" s="788"/>
      <c r="D45" s="789"/>
      <c r="E45" s="790"/>
      <c r="F45" s="1415"/>
      <c r="G45" s="434"/>
      <c r="H45" s="770"/>
      <c r="I45" s="772"/>
      <c r="J45" s="1237"/>
    </row>
    <row s="18329" customFormat="1" customHeight="1" ht="24.75" hidden="1">
      <c r="A46" s="1145"/>
      <c r="B46" s="787"/>
      <c r="C46" s="788"/>
      <c r="D46" s="789"/>
      <c r="E46" s="1528" t="s">
        <v>57</v>
      </c>
      <c r="F46" s="1071" t="s">
        <v>54</v>
      </c>
      <c r="G46" s="434"/>
      <c r="H46" s="770"/>
      <c r="I46" s="772"/>
      <c r="J46" s="1237"/>
    </row>
    <row s="18322" customFormat="1" customHeight="1" ht="24.75" hidden="1">
      <c r="A47" s="1145"/>
      <c r="B47" s="774"/>
      <c r="C47" s="769"/>
      <c r="D47" s="771"/>
      <c r="E47" s="1528" t="s">
        <v>58</v>
      </c>
      <c r="F47" s="1071" t="s">
        <v>54</v>
      </c>
      <c r="G47" s="434"/>
      <c r="I47" s="772"/>
      <c r="J47" s="1237"/>
    </row>
    <row s="18298" customFormat="1" customHeight="1" ht="6">
      <c r="A48" s="1145"/>
      <c r="B48" s="593"/>
      <c r="C48" s="594"/>
      <c r="D48" s="595"/>
      <c r="E48" s="596"/>
      <c r="F48" s="1415"/>
      <c r="G48" s="434"/>
      <c r="H48" s="770"/>
      <c r="I48" s="772"/>
      <c r="J48" s="1237"/>
    </row>
    <row customHeight="1" ht="29.25">
      <c r="B49" s="510"/>
      <c r="D49" s="436"/>
      <c r="E49" s="75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1071" t="s">
        <v>59</v>
      </c>
      <c r="G49" s="434"/>
    </row>
    <row s="18329" customFormat="1" customHeight="1" ht="6" hidden="1">
      <c r="A50" s="1146"/>
      <c r="B50" s="787"/>
      <c r="C50" s="788"/>
      <c r="D50" s="600"/>
      <c r="E50" s="598"/>
      <c r="F50" s="601"/>
      <c r="G50" s="438"/>
      <c r="H50" s="770"/>
      <c r="I50" s="772"/>
      <c r="J50" s="1237"/>
    </row>
    <row s="18368" customFormat="1" customHeight="1" ht="28.5" hidden="1">
      <c r="A51" s="1147"/>
      <c r="B51" s="774"/>
      <c r="C51" s="891"/>
      <c r="D51" s="892"/>
      <c r="E51" s="752" t="s">
        <v>60</v>
      </c>
      <c r="F51" s="1071" t="s">
        <v>54</v>
      </c>
      <c r="G51" s="893"/>
      <c r="I51" s="895"/>
      <c r="J51" s="1239"/>
      <c r="P51" s="896"/>
    </row>
    <row s="18329" customFormat="1" customHeight="1" ht="6" hidden="1">
      <c r="A52" s="1146"/>
      <c r="B52" s="787"/>
      <c r="C52" s="788"/>
      <c r="D52" s="600"/>
      <c r="E52" s="598"/>
      <c r="F52" s="601"/>
      <c r="G52" s="438"/>
      <c r="H52" s="770"/>
      <c r="I52" s="772"/>
      <c r="J52" s="1235"/>
    </row>
    <row s="18368" customFormat="1" customHeight="1" ht="27" hidden="1">
      <c r="A53" s="1147"/>
      <c r="B53" s="774"/>
      <c r="C53" s="891"/>
      <c r="D53" s="892"/>
      <c r="E53" s="752" t="s">
        <v>61</v>
      </c>
      <c r="F53" s="1410" t="s">
        <v>54</v>
      </c>
      <c r="G53" s="893"/>
      <c r="I53" s="895"/>
      <c r="J53" s="1239"/>
      <c r="P53" s="896"/>
    </row>
    <row s="18368" customFormat="1" customHeight="1" ht="27" hidden="1">
      <c r="A54" s="1147"/>
      <c r="B54" s="774"/>
      <c r="C54" s="891"/>
      <c r="D54" s="892"/>
      <c r="E54" s="752" t="s">
        <v>62</v>
      </c>
      <c r="F54" s="2140"/>
      <c r="G54" s="893"/>
      <c r="I54" s="895"/>
      <c r="J54" s="1239"/>
      <c r="P54" s="896"/>
    </row>
    <row s="18329" customFormat="1" customHeight="1" ht="6" hidden="1">
      <c r="A55" s="1146"/>
      <c r="B55" s="787"/>
      <c r="C55" s="788"/>
      <c r="D55" s="600"/>
      <c r="E55" s="598"/>
      <c r="F55" s="601"/>
      <c r="G55" s="438"/>
      <c r="H55" s="770"/>
      <c r="I55" s="772"/>
      <c r="J55" s="1235"/>
    </row>
    <row s="18368" customFormat="1" customHeight="1" ht="25.5" hidden="1">
      <c r="A56" s="1147"/>
      <c r="B56" s="774"/>
      <c r="C56" s="891"/>
      <c r="D56" s="892"/>
      <c r="E56" s="752" t="s">
        <v>63</v>
      </c>
      <c r="F56" s="1410" t="s">
        <v>54</v>
      </c>
      <c r="G56" s="893"/>
      <c r="I56" s="895"/>
      <c r="J56" s="1239"/>
      <c r="P56" s="896"/>
    </row>
    <row s="18329" customFormat="1" customHeight="1" ht="6" hidden="1">
      <c r="A57" s="1146"/>
      <c r="B57" s="787"/>
      <c r="C57" s="788"/>
      <c r="D57" s="600"/>
      <c r="E57" s="598"/>
      <c r="F57" s="601"/>
      <c r="G57" s="438"/>
      <c r="H57" s="770"/>
      <c r="I57" s="772"/>
      <c r="J57" s="1235"/>
    </row>
    <row s="18368" customFormat="1" customHeight="1" ht="15" hidden="1">
      <c r="A58" s="1147"/>
      <c r="B58" s="774"/>
      <c r="C58" s="891"/>
      <c r="D58" s="892"/>
      <c r="E58" s="752" t="s">
        <v>64</v>
      </c>
      <c r="F58" s="1410" t="s">
        <v>59</v>
      </c>
      <c r="G58" s="893"/>
      <c r="I58" s="895"/>
      <c r="J58" s="1239"/>
      <c r="P58" s="896"/>
    </row>
    <row s="18368" customFormat="1" customHeight="1" ht="75" hidden="1">
      <c r="A59" s="1147"/>
      <c r="B59" s="774"/>
      <c r="C59" s="891"/>
      <c r="D59" s="892"/>
      <c r="E59" s="75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554"/>
      <c r="G59" s="893"/>
      <c r="I59" s="895"/>
      <c r="J59" s="1239"/>
      <c r="P59" s="896"/>
    </row>
    <row s="18368" customFormat="1" customHeight="1" ht="15" hidden="1">
      <c r="A60" s="1147"/>
      <c r="B60" s="774"/>
      <c r="C60" s="891"/>
      <c r="D60" s="892"/>
      <c r="E60" s="1528" t="s">
        <v>65</v>
      </c>
      <c r="F60" s="1514"/>
      <c r="G60" s="893"/>
      <c r="I60" s="895"/>
      <c r="J60" s="1239"/>
      <c r="P60" s="896"/>
    </row>
    <row s="18329" customFormat="1" customHeight="1" ht="6" hidden="1">
      <c r="A61" s="1146"/>
      <c r="B61" s="787"/>
      <c r="C61" s="788"/>
      <c r="D61" s="789"/>
      <c r="E61" s="790"/>
      <c r="F61" s="1415"/>
      <c r="G61" s="434"/>
      <c r="H61" s="770"/>
      <c r="I61" s="772"/>
      <c r="J61" s="1237"/>
    </row>
    <row s="18322" customFormat="1" customHeight="1" ht="33.75" hidden="1">
      <c r="A62" s="1146"/>
      <c r="B62" s="460"/>
      <c r="C62" s="769"/>
      <c r="D62" s="771"/>
      <c r="E62" s="1528" t="s">
        <v>66</v>
      </c>
      <c r="F62" s="2037" t="s">
        <v>59</v>
      </c>
      <c r="G62" s="434"/>
      <c r="H62" s="1134" t="s">
        <v>18</v>
      </c>
      <c r="I62" s="772"/>
      <c r="J62" s="1237"/>
    </row>
    <row s="18298" customFormat="1" customHeight="1" ht="6">
      <c r="A63" s="1146"/>
      <c r="B63" s="593"/>
      <c r="C63" s="594"/>
      <c r="D63" s="600"/>
      <c r="E63" s="598"/>
      <c r="F63" s="601"/>
      <c r="G63" s="438"/>
      <c r="H63" s="770"/>
      <c r="I63" s="772"/>
      <c r="J63" s="1235"/>
    </row>
    <row customHeight="1" ht="19.5">
      <c r="A64" s="1148"/>
      <c r="B64" s="461"/>
      <c r="D64" s="443"/>
      <c r="E64" s="752" t="s">
        <v>67</v>
      </c>
      <c r="F64" s="577" t="s">
        <v>68</v>
      </c>
      <c r="G64" s="438"/>
    </row>
    <row customHeight="1" ht="19.5">
      <c r="A65" s="1148"/>
      <c r="B65" s="461"/>
      <c r="D65" s="443"/>
      <c r="E65" s="752" t="s">
        <v>69</v>
      </c>
      <c r="F65" s="577" t="s">
        <v>70</v>
      </c>
      <c r="G65" s="438"/>
    </row>
    <row customHeight="1" ht="35.25">
      <c r="D66" s="436"/>
      <c r="E66" s="754" t="s">
        <v>71</v>
      </c>
      <c r="F66" s="1416"/>
      <c r="G66" s="434"/>
    </row>
    <row customHeight="1" ht="19.5">
      <c r="A67" s="1148"/>
      <c r="D67" s="771"/>
      <c r="E67" s="752" t="s">
        <v>72</v>
      </c>
      <c r="F67" s="632" t="s">
        <v>73</v>
      </c>
      <c r="G67" s="438"/>
    </row>
    <row customHeight="1" ht="19.5">
      <c r="A68" s="1148"/>
      <c r="B68" s="461"/>
      <c r="D68" s="443"/>
      <c r="E68" s="752" t="s">
        <v>74</v>
      </c>
      <c r="F68" s="632" t="s">
        <v>75</v>
      </c>
      <c r="G68" s="438"/>
    </row>
    <row customHeight="1" ht="19.5">
      <c r="A69" s="1148"/>
      <c r="B69" s="461"/>
      <c r="D69" s="443"/>
      <c r="E69" s="752" t="s">
        <v>76</v>
      </c>
      <c r="F69" s="632" t="s">
        <v>77</v>
      </c>
      <c r="G69" s="438"/>
    </row>
    <row customHeight="1" ht="19.5">
      <c r="D70" s="771"/>
      <c r="E70" s="752" t="s">
        <v>78</v>
      </c>
      <c r="F70" s="632" t="s">
        <v>79</v>
      </c>
      <c r="G70" s="434"/>
    </row>
    <row customHeight="1" ht="20.25">
      <c r="A71" s="1148"/>
      <c r="D71" s="434"/>
      <c r="F71" s="495"/>
      <c r="G71" s="438"/>
    </row>
    <row customHeight="1" ht="19.5">
      <c r="A72" s="1148"/>
      <c r="B72" s="461"/>
      <c r="D72" s="443"/>
      <c r="E72" s="442"/>
      <c r="F72" s="496"/>
      <c r="G72" s="438"/>
    </row>
    <row customHeight="1" ht="19.5">
      <c r="A73" s="1148"/>
      <c r="B73" s="461"/>
      <c r="D73" s="443"/>
      <c r="E73" s="442"/>
      <c r="F73" s="496"/>
      <c r="G73" s="438"/>
    </row>
    <row customHeight="1" ht="19.5">
      <c r="A74" s="1148"/>
      <c r="B74" s="461"/>
      <c r="D74" s="443"/>
      <c r="E74" s="447"/>
      <c r="F74" s="496"/>
      <c r="G74" s="438"/>
    </row>
    <row customHeight="1" ht="19.5">
      <c r="A75" s="1148"/>
      <c r="B75" s="461"/>
      <c r="D75" s="443"/>
      <c r="E75" s="442"/>
      <c r="F75" s="496"/>
      <c r="G75" s="438"/>
    </row>
    <row r="78" customHeight="1" ht="11.25">
      <c r="E78" s="751"/>
      <c r="F78" s="751"/>
      <c r="G78" s="751"/>
      <c r="H78" s="751"/>
      <c r="I78" s="751"/>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7E87F104-A912-E373-255B-6D340940F2A6}"/>
    <hyperlink ref="H17" location="Титульный!H9" display="Как заполнить?" tooltip="Помощь по работе с полями отчётной формы" xr:uid="{4F88DF28-5967-74FF-8A32-87BE5A7BFE34}"/>
    <hyperlink ref="H39" location="Титульный!H9" display="Как заполнить?" tooltip="Помощь по работе с полями отчётной формы" xr:uid="{A8BBA466-33D9-0D69-0D9D-6AF705175F49}"/>
    <hyperlink ref="H62" location="Титульный!H9" display="Как заполнить?" tooltip="Помощь по работе с полями отчётной формы" xr:uid="{0AC70A83-5963-4115-B495-D7789B00E17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F15F54-AE9D-B123-F0BB-9B289D087CEC}" mc:Ignorable="x14ac xr xr2 xr3">
  <sheetPr>
    <tabColor theme="6" tint="0.4"/>
  </sheetPr>
  <dimension ref="A1:AZ69"/>
  <sheetViews>
    <sheetView topLeftCell="A1" showGridLines="0" zoomScale="90" workbookViewId="0">
      <selection activeCell="T62" sqref="T62"/>
    </sheetView>
  </sheetViews>
  <sheetFormatPr defaultColWidth="10.57421875" customHeight="1" defaultRowHeight="14.25"/>
  <cols>
    <col min="1" max="1" style="19146" width="10.57421875"/>
    <col min="2" max="2" style="19146" width="11.00390625" customWidth="1"/>
    <col min="3" max="3" style="19146" width="10.57421875"/>
    <col min="4" max="4" style="19146" width="11.8515625" customWidth="1"/>
    <col min="5" max="5" style="19146" width="10.00390625" customWidth="1"/>
    <col min="6" max="6" style="19146" width="8.7109375" customWidth="1"/>
    <col min="7" max="7" style="19146" width="7.57421875" customWidth="1"/>
    <col min="8" max="8" style="19146" width="11.421875" customWidth="1"/>
    <col min="9" max="9" style="19146" width="12.00390625" customWidth="1"/>
    <col min="10" max="10" style="19146" width="9.8515625" customWidth="1"/>
    <col min="11" max="11" style="19146" width="11.421875" customWidth="1"/>
    <col min="12" max="12" style="19227" width="19.140625" customWidth="1"/>
    <col min="13" max="14" style="19228" width="12.28125" customWidth="1"/>
    <col min="15" max="15" style="19228" width="23.421875" customWidth="1"/>
    <col min="16" max="16" style="19228" width="3.7109375" customWidth="1"/>
    <col min="17" max="17" style="19401" width="3.7109375" customWidth="1"/>
    <col min="18" max="18" style="19230" width="3.7109375" customWidth="1"/>
    <col min="19" max="19" style="19231" width="12.7109375" customWidth="1"/>
    <col min="20" max="20" style="19232" width="32.00390625" customWidth="1"/>
    <col min="21" max="21" style="19232" width="0.140625" customWidth="1"/>
    <col min="22" max="23" style="19232" width="21.7109375" customWidth="1"/>
    <col min="24" max="24" style="19232" width="11.7109375" customWidth="1"/>
    <col min="25" max="25" style="19232" width="3.7109375" customWidth="1"/>
    <col min="26" max="26" style="19232" width="11.7109375" customWidth="1"/>
    <col min="27" max="27" style="19232" width="8.57421875" customWidth="1"/>
    <col min="28" max="28" style="19232" width="5.421875" customWidth="1"/>
    <col min="29" max="30" style="19232" width="3.7109375" customWidth="1"/>
    <col min="31" max="31" style="19232" width="24.7109375" customWidth="1"/>
    <col min="32" max="34" style="19232" width="3.7109375" customWidth="1"/>
    <col min="35" max="35" style="19232" width="24.7109375" customWidth="1"/>
    <col min="36" max="38" style="19232" width="3.7109375" customWidth="1"/>
    <col min="39" max="39" style="19232" width="18.8515625" customWidth="1"/>
    <col min="40" max="41" style="19232" width="21.7109375" customWidth="1"/>
    <col min="42" max="42" style="19232" width="11.7109375" customWidth="1"/>
    <col min="43" max="43" style="19232" width="3.7109375" customWidth="1"/>
    <col min="44" max="44" style="19232" width="11.7109375" customWidth="1"/>
    <col min="45" max="45" style="19232" width="8.57421875" customWidth="1"/>
    <col min="46" max="46" style="19232" width="4.7109375" customWidth="1"/>
    <col min="47" max="47" style="19232" width="115.7109375" customWidth="1"/>
    <col min="48" max="49" style="19219" width="10.57421875"/>
    <col min="50" max="50" style="19219" width="11.140625" customWidth="1"/>
    <col min="51" max="52" style="19219" width="10.57421875"/>
  </cols>
  <sheetData>
    <row customHeight="1" ht="14.25">
      <c r="W1" s="688"/>
      <c r="X1" s="688"/>
      <c r="AO1" s="688"/>
      <c r="AP1" s="688"/>
    </row>
    <row customHeight="1" ht="21">
      <c r="A2" s="1729"/>
      <c r="B2" s="1729"/>
      <c r="C2" s="1729"/>
      <c r="D2" s="1729"/>
      <c r="E2" s="2527">
        <v>1</v>
      </c>
      <c r="F2" s="1729"/>
      <c r="G2" s="1729"/>
      <c r="H2" s="1729"/>
      <c r="I2" s="1729"/>
      <c r="J2" s="1729"/>
      <c r="K2" s="1729"/>
      <c r="L2" s="1730"/>
      <c r="M2" s="1731"/>
      <c r="N2" s="1731"/>
      <c r="O2" s="1731"/>
      <c r="P2" s="1775"/>
      <c r="Q2" s="1234"/>
      <c r="R2" s="716"/>
      <c r="S2" s="1702">
        <f>INDEX(PT_DIFFERENTIATION_NUM_NTAR,MATCH(A2,PT_DIFFERENTIATION_NTAR_ID,0))</f>
      </c>
      <c r="T2" s="659" t="s">
        <v>120</v>
      </c>
      <c r="U2" s="661"/>
      <c r="V2" s="2522"/>
      <c r="W2" s="2522"/>
      <c r="X2" s="2522"/>
      <c r="Y2" s="2522"/>
      <c r="Z2" s="2522"/>
      <c r="AA2" s="2523"/>
      <c r="AB2" s="2521">
        <f>INDEX(PT_DIFFERENTIATION_NTAR,MATCH(A2,PT_DIFFERENTIATION_NTAR_ID,0))</f>
      </c>
      <c r="AC2" s="2522"/>
      <c r="AD2" s="2522"/>
      <c r="AE2" s="2522"/>
      <c r="AF2" s="2522"/>
      <c r="AG2" s="2522"/>
      <c r="AH2" s="2522"/>
      <c r="AI2" s="2522"/>
      <c r="AJ2" s="2522"/>
      <c r="AK2" s="2522"/>
      <c r="AL2" s="2522"/>
      <c r="AM2" s="2522"/>
      <c r="AN2" s="2522"/>
      <c r="AO2" s="2522"/>
      <c r="AP2" s="2522"/>
      <c r="AQ2" s="2522"/>
      <c r="AR2" s="2522"/>
      <c r="AS2" s="2522"/>
      <c r="AT2" s="2523"/>
      <c r="AU2" s="1623" t="s">
        <v>396</v>
      </c>
      <c r="AW2" s="861"/>
      <c r="AX2" s="861" t="str">
        <f>IF(T2="","",T2)</f>
        <v>Наименование тарифа</v>
      </c>
      <c r="AY2" s="861"/>
      <c r="AZ2" s="861"/>
    </row>
    <row customHeight="1" ht="21">
      <c r="A3" s="1729"/>
      <c r="B3" s="1729"/>
      <c r="C3" s="1729"/>
      <c r="D3" s="1729"/>
      <c r="E3" s="2528"/>
      <c r="F3" s="2527">
        <v>1</v>
      </c>
      <c r="G3" s="1729"/>
      <c r="H3" s="1729"/>
      <c r="I3" s="1729"/>
      <c r="J3" s="1729"/>
      <c r="K3" s="1729"/>
      <c r="L3" s="1730"/>
      <c r="M3" s="1731"/>
      <c r="N3" s="1731"/>
      <c r="O3" s="1731"/>
      <c r="P3" s="1776"/>
      <c r="Q3" s="1777"/>
      <c r="R3" s="714"/>
      <c r="S3" s="1702">
        <f>INDEX(PT_DIFFERENTIATION_NUM_TER,MATCH(B3,PT_DIFFERENTIATION_TER_ID,0))</f>
      </c>
      <c r="T3" s="669" t="s">
        <v>397</v>
      </c>
      <c r="U3" s="661"/>
      <c r="V3" s="2522"/>
      <c r="W3" s="2522"/>
      <c r="X3" s="2522"/>
      <c r="Y3" s="2522"/>
      <c r="Z3" s="2522"/>
      <c r="AA3" s="2523"/>
      <c r="AB3" s="2521">
        <f>INDEX(PT_DIFFERENTIATION_TER,MATCH(B3,PT_DIFFERENTIATION_TER_ID,0))</f>
      </c>
      <c r="AC3" s="2522"/>
      <c r="AD3" s="2522"/>
      <c r="AE3" s="2522"/>
      <c r="AF3" s="2522"/>
      <c r="AG3" s="2522"/>
      <c r="AH3" s="2522"/>
      <c r="AI3" s="2522"/>
      <c r="AJ3" s="2522"/>
      <c r="AK3" s="2522"/>
      <c r="AL3" s="2522"/>
      <c r="AM3" s="2522"/>
      <c r="AN3" s="2522"/>
      <c r="AO3" s="2522"/>
      <c r="AP3" s="2522"/>
      <c r="AQ3" s="2522"/>
      <c r="AR3" s="2522"/>
      <c r="AS3" s="2522"/>
      <c r="AT3" s="2523"/>
      <c r="AU3" s="1623" t="s">
        <v>398</v>
      </c>
      <c r="AW3" s="861"/>
      <c r="AX3" s="861" t="str">
        <f>IF(T3="","",T3)</f>
        <v>Территория действия тарифа</v>
      </c>
      <c r="AY3" s="861"/>
      <c r="AZ3" s="861"/>
    </row>
    <row customHeight="1" ht="22.5">
      <c r="A4" s="1729"/>
      <c r="B4" s="1729"/>
      <c r="C4" s="1729"/>
      <c r="D4" s="1729"/>
      <c r="E4" s="2528"/>
      <c r="F4" s="2528"/>
      <c r="G4" s="2527">
        <v>1</v>
      </c>
      <c r="H4" s="1729"/>
      <c r="I4" s="1729"/>
      <c r="J4" s="1729"/>
      <c r="K4" s="1729"/>
      <c r="L4" s="1730"/>
      <c r="M4" s="1731"/>
      <c r="N4" s="1731"/>
      <c r="O4" s="1731"/>
      <c r="P4" s="1778"/>
      <c r="Q4" s="1777"/>
      <c r="R4" s="714"/>
      <c r="S4" s="1702">
        <f>INDEX(PT_DIFFERENTIATION_NUM_CS,MATCH(C4,PT_DIFFERENTIATION_CS_ID,0))</f>
      </c>
      <c r="T4" s="670" t="s">
        <v>399</v>
      </c>
      <c r="U4" s="661"/>
      <c r="V4" s="2522"/>
      <c r="W4" s="2522"/>
      <c r="X4" s="2522"/>
      <c r="Y4" s="2522"/>
      <c r="Z4" s="2522"/>
      <c r="AA4" s="2523"/>
      <c r="AB4" s="2521">
        <f>INDEX(PT_DIFFERENTIATION_CS,MATCH(C4,PT_DIFFERENTIATION_CS_ID,0))</f>
      </c>
      <c r="AC4" s="2522"/>
      <c r="AD4" s="2522"/>
      <c r="AE4" s="2522"/>
      <c r="AF4" s="2522"/>
      <c r="AG4" s="2522"/>
      <c r="AH4" s="2522"/>
      <c r="AI4" s="2522"/>
      <c r="AJ4" s="2522"/>
      <c r="AK4" s="2522"/>
      <c r="AL4" s="2522"/>
      <c r="AM4" s="2522"/>
      <c r="AN4" s="2522"/>
      <c r="AO4" s="2522"/>
      <c r="AP4" s="2522"/>
      <c r="AQ4" s="2522"/>
      <c r="AR4" s="2522"/>
      <c r="AS4" s="2522"/>
      <c r="AT4" s="2523"/>
      <c r="AU4" s="1623" t="s">
        <v>400</v>
      </c>
      <c r="AW4" s="861"/>
      <c r="AX4" s="861" t="str">
        <f>IF(T4="","",T4)</f>
        <v>Наименование системы теплоснабжения </v>
      </c>
      <c r="AY4" s="861"/>
      <c r="AZ4" s="861"/>
    </row>
    <row customHeight="1" ht="21">
      <c r="A5" s="1729"/>
      <c r="B5" s="1729"/>
      <c r="C5" s="1729"/>
      <c r="D5" s="1729"/>
      <c r="E5" s="2528"/>
      <c r="F5" s="2528"/>
      <c r="G5" s="2528"/>
      <c r="H5" s="2527">
        <v>1</v>
      </c>
      <c r="I5" s="1729"/>
      <c r="J5" s="1729"/>
      <c r="K5" s="1729"/>
      <c r="L5" s="1730"/>
      <c r="M5" s="1731"/>
      <c r="N5" s="1731"/>
      <c r="O5" s="1731"/>
      <c r="P5" s="1778"/>
      <c r="Q5" s="1777"/>
      <c r="R5" s="714"/>
      <c r="S5" s="1702">
        <f>INDEX(PT_DIFFERENTIATION_NUM_IST_TE,MATCH(D5,PT_DIFFERENTIATION_IST_TE_ID,0))</f>
      </c>
      <c r="T5" s="671" t="s">
        <v>401</v>
      </c>
      <c r="U5" s="661"/>
      <c r="V5" s="2522"/>
      <c r="W5" s="2522"/>
      <c r="X5" s="2522"/>
      <c r="Y5" s="2522"/>
      <c r="Z5" s="2522"/>
      <c r="AA5" s="2523"/>
      <c r="AB5" s="2521">
        <f>INDEX(PT_DIFFERENTIATION_IST_TE,MATCH(D5,PT_DIFFERENTIATION_IST_TE_ID,0))</f>
      </c>
      <c r="AC5" s="2522"/>
      <c r="AD5" s="2522"/>
      <c r="AE5" s="2522"/>
      <c r="AF5" s="2522"/>
      <c r="AG5" s="2522"/>
      <c r="AH5" s="2522"/>
      <c r="AI5" s="2522"/>
      <c r="AJ5" s="2522"/>
      <c r="AK5" s="2522"/>
      <c r="AL5" s="2522"/>
      <c r="AM5" s="2522"/>
      <c r="AN5" s="2522"/>
      <c r="AO5" s="2522"/>
      <c r="AP5" s="2522"/>
      <c r="AQ5" s="2522"/>
      <c r="AR5" s="2522"/>
      <c r="AS5" s="2522"/>
      <c r="AT5" s="2523"/>
      <c r="AU5" s="1623" t="s">
        <v>402</v>
      </c>
      <c r="AW5" s="861"/>
      <c r="AX5" s="861" t="str">
        <f>IF(T5="","",T5)</f>
        <v>Источник тепловой энергии  </v>
      </c>
      <c r="AY5" s="861"/>
      <c r="AZ5" s="861"/>
    </row>
    <row s="19219" customFormat="1" customHeight="1" ht="0">
      <c r="A6" s="1709"/>
      <c r="B6" s="1709"/>
      <c r="C6" s="1709"/>
      <c r="D6" s="1709"/>
      <c r="E6" s="2528"/>
      <c r="F6" s="2528"/>
      <c r="G6" s="2528"/>
      <c r="H6" s="2528"/>
      <c r="I6" s="2529">
        <f>S5&amp;".1"</f>
      </c>
      <c r="J6" s="1709"/>
      <c r="K6" s="1709"/>
      <c r="L6" s="1712" t="s">
        <v>403</v>
      </c>
      <c r="M6" s="871"/>
      <c r="N6" s="871"/>
      <c r="O6" s="871"/>
      <c r="P6" s="2531">
        <v>1</v>
      </c>
      <c r="Q6" s="1697"/>
      <c r="R6" s="717"/>
      <c r="S6" s="1404"/>
      <c r="T6" s="1749"/>
      <c r="U6" s="1750"/>
      <c r="V6" s="2570"/>
      <c r="W6" s="2570"/>
      <c r="X6" s="2570"/>
      <c r="Y6" s="2570"/>
      <c r="Z6" s="2570"/>
      <c r="AA6" s="2571"/>
      <c r="AB6" s="2569"/>
      <c r="AC6" s="2570"/>
      <c r="AD6" s="2570"/>
      <c r="AE6" s="2570"/>
      <c r="AF6" s="2570"/>
      <c r="AG6" s="2570"/>
      <c r="AH6" s="2570"/>
      <c r="AI6" s="2570"/>
      <c r="AJ6" s="2570"/>
      <c r="AK6" s="2570"/>
      <c r="AL6" s="2570"/>
      <c r="AM6" s="2570"/>
      <c r="AN6" s="2570"/>
      <c r="AO6" s="2570"/>
      <c r="AP6" s="2570"/>
      <c r="AQ6" s="2570"/>
      <c r="AR6" s="2570"/>
      <c r="AS6" s="2570"/>
      <c r="AT6" s="2571"/>
      <c r="AU6" s="1751"/>
      <c r="AW6" s="861"/>
      <c r="AX6" s="861" t="str">
        <f>IF(T6="","",T6)</f>
        <v/>
      </c>
      <c r="AY6" s="861"/>
      <c r="AZ6" s="861"/>
    </row>
    <row s="19219" customFormat="1" customHeight="1" ht="0">
      <c r="A7" s="1709"/>
      <c r="B7" s="1709"/>
      <c r="C7" s="1709"/>
      <c r="D7" s="1709"/>
      <c r="E7" s="2528"/>
      <c r="F7" s="2528"/>
      <c r="G7" s="2528"/>
      <c r="H7" s="2528"/>
      <c r="I7" s="2530"/>
      <c r="J7" s="2529">
        <f>S5&amp;".1"</f>
      </c>
      <c r="K7" s="1709"/>
      <c r="L7" s="1712"/>
      <c r="M7" s="871"/>
      <c r="N7" s="871"/>
      <c r="O7" s="871"/>
      <c r="P7" s="2531"/>
      <c r="Q7" s="2531">
        <v>1</v>
      </c>
      <c r="R7" s="718"/>
      <c r="S7" s="1404"/>
      <c r="T7" s="1765"/>
      <c r="U7" s="1750"/>
      <c r="V7" s="2570"/>
      <c r="W7" s="2570"/>
      <c r="X7" s="2570"/>
      <c r="Y7" s="2570"/>
      <c r="Z7" s="2570"/>
      <c r="AA7" s="2571"/>
      <c r="AB7" s="2569"/>
      <c r="AC7" s="2570"/>
      <c r="AD7" s="2570"/>
      <c r="AE7" s="2570"/>
      <c r="AF7" s="2570"/>
      <c r="AG7" s="2570"/>
      <c r="AH7" s="2570"/>
      <c r="AI7" s="2570"/>
      <c r="AJ7" s="2570"/>
      <c r="AK7" s="2570"/>
      <c r="AL7" s="2570"/>
      <c r="AM7" s="2570"/>
      <c r="AN7" s="2570"/>
      <c r="AO7" s="2570"/>
      <c r="AP7" s="2570"/>
      <c r="AQ7" s="2570"/>
      <c r="AR7" s="2570"/>
      <c r="AS7" s="2570"/>
      <c r="AT7" s="2571"/>
      <c r="AU7" s="1751"/>
      <c r="AW7" s="861"/>
      <c r="AX7" s="861" t="str">
        <f>IF(T7="","",T7)</f>
        <v/>
      </c>
      <c r="AY7" s="861"/>
      <c r="AZ7" s="861"/>
    </row>
    <row customHeight="1" ht="21">
      <c r="A8" s="1729"/>
      <c r="B8" s="1729"/>
      <c r="C8" s="1729"/>
      <c r="D8" s="1729"/>
      <c r="E8" s="2528"/>
      <c r="F8" s="2528"/>
      <c r="G8" s="2528"/>
      <c r="H8" s="2528"/>
      <c r="I8" s="2530"/>
      <c r="J8" s="2530"/>
      <c r="K8" s="2529">
        <f>S5&amp;".1"</f>
      </c>
      <c r="L8" s="1730"/>
      <c r="P8" s="2531"/>
      <c r="Q8" s="2531"/>
      <c r="R8" s="2607">
        <v>1</v>
      </c>
      <c r="S8" s="2604">
        <f>$K8</f>
      </c>
      <c r="T8" s="2601"/>
      <c r="U8" s="661"/>
      <c r="V8" s="1112"/>
      <c r="W8" s="1622"/>
      <c r="X8" s="2532"/>
      <c r="Y8" s="2402" t="s">
        <v>59</v>
      </c>
      <c r="Z8" s="2532"/>
      <c r="AA8" s="2402" t="s">
        <v>59</v>
      </c>
      <c r="AB8" s="2402" t="s">
        <v>54</v>
      </c>
      <c r="AC8" s="2600"/>
      <c r="AD8" s="2478">
        <v>1</v>
      </c>
      <c r="AE8" s="2613"/>
      <c r="AF8" s="2402" t="s">
        <v>54</v>
      </c>
      <c r="AG8" s="2600"/>
      <c r="AH8" s="2478">
        <v>1</v>
      </c>
      <c r="AI8" s="2613"/>
      <c r="AJ8" s="2402" t="s">
        <v>54</v>
      </c>
      <c r="AK8" s="672"/>
      <c r="AL8" s="1703">
        <v>1</v>
      </c>
      <c r="AM8" s="1764"/>
      <c r="AN8" s="1112"/>
      <c r="AO8" s="1622"/>
      <c r="AP8" s="2100"/>
      <c r="AQ8" s="1825" t="s">
        <v>59</v>
      </c>
      <c r="AR8" s="2100"/>
      <c r="AS8" s="1825" t="s">
        <v>59</v>
      </c>
      <c r="AT8" s="1714"/>
      <c r="AU8" s="2557" t="s">
        <v>461</v>
      </c>
      <c r="AV8" s="872">
        <f>STRCHECKDATE(V11:AT11)</f>
      </c>
      <c r="AW8" s="861"/>
      <c r="AX8" s="861" t="str">
        <f>IF(T8="","",T8)</f>
        <v/>
      </c>
      <c r="AY8" s="861"/>
      <c r="AZ8" s="861"/>
    </row>
    <row customHeight="1" ht="11.25">
      <c r="A9" s="1729"/>
      <c r="B9" s="1729"/>
      <c r="C9" s="1729"/>
      <c r="D9" s="1729"/>
      <c r="E9" s="2528"/>
      <c r="F9" s="2528"/>
      <c r="G9" s="2528"/>
      <c r="H9" s="2528"/>
      <c r="I9" s="2530"/>
      <c r="J9" s="2530"/>
      <c r="K9" s="2529"/>
      <c r="L9" s="1730"/>
      <c r="P9" s="2531"/>
      <c r="Q9" s="2531"/>
      <c r="R9" s="2607"/>
      <c r="S9" s="2605"/>
      <c r="T9" s="2602"/>
      <c r="U9" s="661"/>
      <c r="V9" s="1759"/>
      <c r="W9" s="1763"/>
      <c r="X9" s="2532"/>
      <c r="Y9" s="2402"/>
      <c r="Z9" s="2532"/>
      <c r="AA9" s="2402"/>
      <c r="AB9" s="2402"/>
      <c r="AC9" s="2600"/>
      <c r="AD9" s="2478"/>
      <c r="AE9" s="2613"/>
      <c r="AF9" s="2402"/>
      <c r="AG9" s="2600"/>
      <c r="AH9" s="2478"/>
      <c r="AI9" s="2613"/>
      <c r="AJ9" s="2402"/>
      <c r="AK9" s="677"/>
      <c r="AL9" s="777"/>
      <c r="AM9" s="776" t="s">
        <v>462</v>
      </c>
      <c r="AN9" s="1759"/>
      <c r="AO9" s="1862"/>
      <c r="AP9" s="1759"/>
      <c r="AQ9" s="1759"/>
      <c r="AR9" s="1759"/>
      <c r="AS9" s="1759"/>
      <c r="AT9" s="1756"/>
      <c r="AU9" s="2558"/>
      <c r="AW9" s="861"/>
      <c r="AX9" s="861"/>
      <c r="AY9" s="861"/>
      <c r="AZ9" s="861"/>
    </row>
    <row customHeight="1" ht="11.25">
      <c r="A10" s="1729"/>
      <c r="B10" s="1729"/>
      <c r="C10" s="1729"/>
      <c r="D10" s="1729"/>
      <c r="E10" s="2528"/>
      <c r="F10" s="2528"/>
      <c r="G10" s="2528"/>
      <c r="H10" s="2528"/>
      <c r="I10" s="2530"/>
      <c r="J10" s="2530"/>
      <c r="K10" s="2529"/>
      <c r="L10" s="1730"/>
      <c r="P10" s="2531"/>
      <c r="Q10" s="2531"/>
      <c r="R10" s="2607"/>
      <c r="S10" s="2605"/>
      <c r="T10" s="2602"/>
      <c r="U10" s="661"/>
      <c r="V10" s="1759"/>
      <c r="W10" s="1763"/>
      <c r="X10" s="2532"/>
      <c r="Y10" s="2402"/>
      <c r="Z10" s="2532"/>
      <c r="AA10" s="2402"/>
      <c r="AB10" s="2402"/>
      <c r="AC10" s="2600"/>
      <c r="AD10" s="2478"/>
      <c r="AE10" s="2613"/>
      <c r="AF10" s="2402"/>
      <c r="AG10" s="655"/>
      <c r="AH10" s="776"/>
      <c r="AI10" s="776" t="s">
        <v>463</v>
      </c>
      <c r="AJ10" s="1759"/>
      <c r="AK10" s="1759"/>
      <c r="AL10" s="1759"/>
      <c r="AM10" s="1759"/>
      <c r="AN10" s="1759"/>
      <c r="AO10" s="1862"/>
      <c r="AP10" s="1759"/>
      <c r="AQ10" s="1759"/>
      <c r="AR10" s="1759"/>
      <c r="AS10" s="1759"/>
      <c r="AT10" s="1756"/>
      <c r="AU10" s="2558"/>
      <c r="AW10" s="861"/>
      <c r="AX10" s="861"/>
      <c r="AY10" s="861"/>
      <c r="AZ10" s="861"/>
    </row>
    <row customHeight="1" ht="11.25">
      <c r="A11" s="1729"/>
      <c r="B11" s="1729"/>
      <c r="C11" s="1729"/>
      <c r="D11" s="1729"/>
      <c r="E11" s="2528"/>
      <c r="F11" s="2528"/>
      <c r="G11" s="2528"/>
      <c r="H11" s="2528"/>
      <c r="I11" s="2530"/>
      <c r="J11" s="2530"/>
      <c r="K11" s="2529"/>
      <c r="L11" s="1730"/>
      <c r="P11" s="2531"/>
      <c r="Q11" s="2531"/>
      <c r="R11" s="2607"/>
      <c r="S11" s="2606"/>
      <c r="T11" s="2603"/>
      <c r="U11" s="661"/>
      <c r="V11" s="1759"/>
      <c r="W11" s="1762" t="str">
        <f>X8&amp;"-"&amp;Z8</f>
        <v>-</v>
      </c>
      <c r="X11" s="2533"/>
      <c r="Y11" s="2402"/>
      <c r="Z11" s="2533"/>
      <c r="AA11" s="2402"/>
      <c r="AB11" s="2402"/>
      <c r="AC11" s="673"/>
      <c r="AD11" s="675"/>
      <c r="AE11" s="776" t="s">
        <v>464</v>
      </c>
      <c r="AF11" s="1759"/>
      <c r="AG11" s="1759"/>
      <c r="AH11" s="1759"/>
      <c r="AI11" s="1759"/>
      <c r="AJ11" s="1759"/>
      <c r="AK11" s="1759"/>
      <c r="AL11" s="1759"/>
      <c r="AM11" s="1759"/>
      <c r="AN11" s="1759"/>
      <c r="AO11" s="1760" t="str">
        <f>AP8&amp;"-"&amp;AR8</f>
        <v>-</v>
      </c>
      <c r="AP11" s="1759"/>
      <c r="AQ11" s="1759"/>
      <c r="AR11" s="1759"/>
      <c r="AS11" s="1759"/>
      <c r="AT11" s="1715"/>
      <c r="AU11" s="2558"/>
      <c r="AW11" s="861"/>
      <c r="AX11" s="861" t="str">
        <f>IF(T11="","",T11)</f>
        <v/>
      </c>
      <c r="AY11" s="861"/>
      <c r="AZ11" s="861"/>
    </row>
    <row customHeight="1" ht="11.25">
      <c r="A12" s="1729"/>
      <c r="B12" s="1729"/>
      <c r="C12" s="1729"/>
      <c r="D12" s="1729"/>
      <c r="E12" s="2528"/>
      <c r="F12" s="2528"/>
      <c r="G12" s="2528"/>
      <c r="H12" s="2528"/>
      <c r="I12" s="2530"/>
      <c r="J12" s="2529"/>
      <c r="K12" s="1729"/>
      <c r="L12" s="1730"/>
      <c r="P12" s="2531"/>
      <c r="Q12" s="2531"/>
      <c r="R12" s="717"/>
      <c r="S12" s="1644"/>
      <c r="T12" s="648" t="s">
        <v>465</v>
      </c>
      <c r="U12" s="728"/>
      <c r="V12" s="728"/>
      <c r="W12" s="728"/>
      <c r="X12" s="728"/>
      <c r="Y12" s="728"/>
      <c r="Z12" s="728"/>
      <c r="AA12" s="728"/>
      <c r="AB12" s="728"/>
      <c r="AC12" s="728"/>
      <c r="AD12" s="728"/>
      <c r="AE12" s="728"/>
      <c r="AF12" s="728"/>
      <c r="AG12" s="728"/>
      <c r="AH12" s="728"/>
      <c r="AI12" s="728"/>
      <c r="AJ12" s="728"/>
      <c r="AK12" s="728"/>
      <c r="AL12" s="728"/>
      <c r="AM12" s="728"/>
      <c r="AN12" s="728"/>
      <c r="AO12" s="728"/>
      <c r="AP12" s="728"/>
      <c r="AQ12" s="728"/>
      <c r="AR12" s="728"/>
      <c r="AS12" s="728"/>
      <c r="AT12" s="685"/>
      <c r="AU12" s="2559"/>
      <c r="AW12" s="861"/>
      <c r="AX12" s="861" t="str">
        <f>IF(T12="","",T12)</f>
        <v>Добавить строку</v>
      </c>
      <c r="AY12" s="861"/>
      <c r="AZ12" s="861"/>
    </row>
    <row s="19219" customFormat="1" customHeight="1" ht="0">
      <c r="A13" s="1709"/>
      <c r="B13" s="1709"/>
      <c r="C13" s="1709"/>
      <c r="D13" s="1709"/>
      <c r="E13" s="2528"/>
      <c r="F13" s="2528"/>
      <c r="G13" s="2528"/>
      <c r="H13" s="2528"/>
      <c r="I13" s="2529"/>
      <c r="J13" s="1709"/>
      <c r="K13" s="1709"/>
      <c r="L13" s="1712"/>
      <c r="M13" s="871"/>
      <c r="N13" s="871"/>
      <c r="O13" s="871"/>
      <c r="P13" s="2531"/>
      <c r="Q13" s="1697"/>
      <c r="R13" s="717"/>
      <c r="S13" s="1752"/>
      <c r="T13" s="1753"/>
      <c r="U13" s="1754"/>
      <c r="V13" s="1754"/>
      <c r="W13" s="1754"/>
      <c r="X13" s="1754"/>
      <c r="Y13" s="1754"/>
      <c r="Z13" s="1754"/>
      <c r="AA13" s="1754"/>
      <c r="AB13" s="1754"/>
      <c r="AC13" s="1754"/>
      <c r="AD13" s="1754"/>
      <c r="AE13" s="1754"/>
      <c r="AF13" s="1754"/>
      <c r="AG13" s="1754"/>
      <c r="AH13" s="1754"/>
      <c r="AI13" s="1754"/>
      <c r="AJ13" s="1754"/>
      <c r="AK13" s="1754"/>
      <c r="AL13" s="1754"/>
      <c r="AM13" s="1754"/>
      <c r="AN13" s="1754"/>
      <c r="AO13" s="1754"/>
      <c r="AP13" s="1754"/>
      <c r="AQ13" s="1754"/>
      <c r="AR13" s="1754"/>
      <c r="AS13" s="1754"/>
      <c r="AT13" s="1754"/>
      <c r="AU13" s="1755"/>
      <c r="AW13" s="861"/>
      <c r="AX13" s="861" t="str">
        <f>IF(T13="","",T13)</f>
        <v/>
      </c>
      <c r="AY13" s="861"/>
      <c r="AZ13" s="861"/>
    </row>
    <row s="19219" customFormat="1" customHeight="1" ht="0">
      <c r="A14" s="1709"/>
      <c r="B14" s="1709"/>
      <c r="C14" s="1709"/>
      <c r="D14" s="1709"/>
      <c r="E14" s="2528"/>
      <c r="F14" s="2528"/>
      <c r="G14" s="2528"/>
      <c r="H14" s="2527"/>
      <c r="I14" s="1709"/>
      <c r="J14" s="1709"/>
      <c r="K14" s="1709"/>
      <c r="L14" s="1712"/>
      <c r="M14" s="1681"/>
      <c r="N14" s="1681"/>
      <c r="O14" s="879"/>
      <c r="P14" s="741"/>
      <c r="Q14" s="1710"/>
      <c r="R14" s="1767"/>
      <c r="S14" s="1752"/>
      <c r="T14" s="1753"/>
      <c r="U14" s="1754"/>
      <c r="V14" s="1754"/>
      <c r="W14" s="1754"/>
      <c r="X14" s="1754"/>
      <c r="Y14" s="1754"/>
      <c r="Z14" s="1754"/>
      <c r="AA14" s="1754"/>
      <c r="AB14" s="1754"/>
      <c r="AC14" s="1754"/>
      <c r="AD14" s="1754"/>
      <c r="AE14" s="1754"/>
      <c r="AF14" s="1754"/>
      <c r="AG14" s="1754"/>
      <c r="AH14" s="1754"/>
      <c r="AI14" s="1754"/>
      <c r="AJ14" s="1754"/>
      <c r="AK14" s="1754"/>
      <c r="AL14" s="1754"/>
      <c r="AM14" s="1754"/>
      <c r="AN14" s="1754"/>
      <c r="AO14" s="1754"/>
      <c r="AP14" s="1754"/>
      <c r="AQ14" s="1754"/>
      <c r="AR14" s="1754"/>
      <c r="AS14" s="1754"/>
      <c r="AT14" s="1754"/>
      <c r="AU14" s="1755"/>
      <c r="AW14" s="861"/>
      <c r="AX14" s="861" t="str">
        <f>IF(T14="","",T14)</f>
        <v/>
      </c>
      <c r="AY14" s="861"/>
      <c r="AZ14" s="861"/>
    </row>
    <row s="19127" customFormat="1" customHeight="1" ht="0">
      <c r="A15" s="1709"/>
      <c r="B15" s="1709"/>
      <c r="C15" s="1709"/>
      <c r="D15" s="1680"/>
      <c r="E15" s="2528"/>
      <c r="F15" s="2528"/>
      <c r="G15" s="2527"/>
      <c r="H15" s="1680"/>
      <c r="I15" s="1680"/>
      <c r="J15" s="1680"/>
      <c r="K15" s="1680"/>
      <c r="L15" s="1705"/>
      <c r="M15" s="1681"/>
      <c r="N15" s="1681"/>
      <c r="P15" s="1682"/>
      <c r="Q15" s="1683"/>
      <c r="R15" s="1682"/>
      <c r="S15" s="1688"/>
      <c r="T15" s="1691" t="s">
        <v>414</v>
      </c>
      <c r="U15" s="1690"/>
      <c r="V15" s="1690"/>
      <c r="W15" s="1690"/>
      <c r="X15" s="1690"/>
      <c r="Y15" s="1690"/>
      <c r="Z15" s="1690"/>
      <c r="AA15" s="1690"/>
      <c r="AB15" s="1690"/>
      <c r="AC15" s="1690"/>
      <c r="AD15" s="1690"/>
      <c r="AE15" s="1690"/>
      <c r="AF15" s="1690"/>
      <c r="AG15" s="1690"/>
      <c r="AH15" s="1690"/>
      <c r="AI15" s="1690"/>
      <c r="AJ15" s="1690"/>
      <c r="AK15" s="1690"/>
      <c r="AL15" s="1690"/>
      <c r="AM15" s="1690"/>
      <c r="AN15" s="1690"/>
      <c r="AO15" s="1690"/>
      <c r="AP15" s="1690"/>
      <c r="AQ15" s="1690"/>
      <c r="AR15" s="1690"/>
      <c r="AS15" s="1690"/>
      <c r="AT15" s="1690"/>
      <c r="AU15" s="1690"/>
      <c r="AW15" s="1150"/>
      <c r="AX15" s="1150" t="str">
        <f>IF(T15="","",T15)</f>
        <v>Добавить источник для дифференциации</v>
      </c>
      <c r="AY15" s="1150"/>
      <c r="AZ15" s="1150"/>
    </row>
    <row s="19127" customFormat="1" customHeight="1" ht="0">
      <c r="A16" s="1709"/>
      <c r="B16" s="1709"/>
      <c r="C16" s="1680"/>
      <c r="D16" s="1680"/>
      <c r="E16" s="2528"/>
      <c r="F16" s="2527"/>
      <c r="G16" s="1680"/>
      <c r="H16" s="1680"/>
      <c r="I16" s="1680"/>
      <c r="J16" s="1680"/>
      <c r="K16" s="1680"/>
      <c r="L16" s="1705"/>
      <c r="M16" s="1687"/>
      <c r="N16" s="1687"/>
      <c r="P16" s="1682"/>
      <c r="Q16" s="1683"/>
      <c r="R16" s="1682"/>
      <c r="S16" s="1688"/>
      <c r="T16" s="1691" t="s">
        <v>251</v>
      </c>
      <c r="U16" s="1690"/>
      <c r="V16" s="1690"/>
      <c r="W16" s="1690"/>
      <c r="X16" s="1690"/>
      <c r="Y16" s="1690"/>
      <c r="Z16" s="1690"/>
      <c r="AA16" s="1690"/>
      <c r="AB16" s="1690"/>
      <c r="AC16" s="1690"/>
      <c r="AD16" s="1690"/>
      <c r="AE16" s="1690"/>
      <c r="AF16" s="1690"/>
      <c r="AG16" s="1690"/>
      <c r="AH16" s="1690"/>
      <c r="AI16" s="1690"/>
      <c r="AJ16" s="1690"/>
      <c r="AK16" s="1690"/>
      <c r="AL16" s="1690"/>
      <c r="AM16" s="1690"/>
      <c r="AN16" s="1690"/>
      <c r="AO16" s="1690"/>
      <c r="AP16" s="1690"/>
      <c r="AQ16" s="1690"/>
      <c r="AR16" s="1690"/>
      <c r="AS16" s="1690"/>
      <c r="AT16" s="1690"/>
      <c r="AU16" s="1690"/>
      <c r="AW16" s="1150"/>
      <c r="AX16" s="1150" t="str">
        <f>IF(T16="","",T16)</f>
        <v>Добавить централизованную систему для дифференциации</v>
      </c>
      <c r="AY16" s="1150"/>
      <c r="AZ16" s="1150"/>
    </row>
    <row s="19219" customFormat="1" customHeight="1" ht="0">
      <c r="A17" s="1709"/>
      <c r="B17" s="1709"/>
      <c r="C17" s="1709"/>
      <c r="D17" s="1709"/>
      <c r="E17" s="2527"/>
      <c r="F17" s="1709"/>
      <c r="G17" s="1709"/>
      <c r="H17" s="1709"/>
      <c r="I17" s="1709"/>
      <c r="J17" s="1709"/>
      <c r="K17" s="1709"/>
      <c r="L17" s="1712"/>
      <c r="M17" s="1687"/>
      <c r="N17" s="1687"/>
      <c r="O17" s="879"/>
      <c r="P17" s="741"/>
      <c r="Q17" s="1710"/>
      <c r="R17" s="741"/>
      <c r="S17" s="1688"/>
      <c r="T17" s="1691" t="s">
        <v>252</v>
      </c>
      <c r="U17" s="1690"/>
      <c r="V17" s="1690"/>
      <c r="W17" s="1690"/>
      <c r="X17" s="1690"/>
      <c r="Y17" s="1690"/>
      <c r="Z17" s="1690"/>
      <c r="AA17" s="1690"/>
      <c r="AB17" s="1690"/>
      <c r="AC17" s="1690"/>
      <c r="AD17" s="1690"/>
      <c r="AE17" s="1690"/>
      <c r="AF17" s="1690"/>
      <c r="AG17" s="1690"/>
      <c r="AH17" s="1690"/>
      <c r="AI17" s="1690"/>
      <c r="AJ17" s="1690"/>
      <c r="AK17" s="1690"/>
      <c r="AL17" s="1690"/>
      <c r="AM17" s="1690"/>
      <c r="AN17" s="1690"/>
      <c r="AO17" s="1690"/>
      <c r="AP17" s="1690"/>
      <c r="AQ17" s="1690"/>
      <c r="AR17" s="1690"/>
      <c r="AS17" s="1690"/>
      <c r="AT17" s="1690"/>
      <c r="AU17" s="1690"/>
      <c r="AW17" s="861"/>
      <c r="AX17" s="861" t="str">
        <f>IF(T17="","",T17)</f>
        <v>Добавить территорию для дифференциации</v>
      </c>
      <c r="AY17" s="861"/>
      <c r="AZ17" s="861"/>
    </row>
    <row customHeight="1" ht="14.25">
      <c r="AA18" s="688"/>
      <c r="AS18" s="688"/>
    </row>
    <row customHeight="1" ht="14.25">
      <c r="AB19" s="1690" t="s">
        <v>54</v>
      </c>
      <c r="AC19" s="1867"/>
      <c r="AD19" s="909">
        <v>1</v>
      </c>
      <c r="AE19" s="1868"/>
      <c r="AF19" s="1690" t="s">
        <v>54</v>
      </c>
      <c r="AG19" s="1867"/>
      <c r="AH19" s="909">
        <v>1</v>
      </c>
      <c r="AI19" s="1868"/>
      <c r="AJ19" s="1690" t="s">
        <v>54</v>
      </c>
      <c r="AK19" s="1869"/>
      <c r="AL19" s="909">
        <v>1</v>
      </c>
      <c r="AM19" s="1872"/>
      <c r="AN19" s="1769"/>
      <c r="AO19" s="1770"/>
      <c r="AP19" s="2102"/>
      <c r="AQ19" s="1826" t="s">
        <v>59</v>
      </c>
      <c r="AR19" s="2102"/>
      <c r="AS19" s="1826" t="s">
        <v>59</v>
      </c>
    </row>
    <row customHeight="1" ht="14.25">
      <c r="AV20" s="857"/>
      <c r="AW20" s="857"/>
      <c r="AX20" s="857"/>
      <c r="AY20" s="857"/>
      <c r="AZ20" s="857"/>
    </row>
    <row customHeight="1" ht="14.25">
      <c r="O21" s="1733" t="s">
        <v>415</v>
      </c>
      <c r="X21" s="1711"/>
      <c r="Z21" s="1711"/>
      <c r="AA21" s="688"/>
      <c r="AP21" s="1711"/>
      <c r="AR21" s="1711"/>
      <c r="AS21" s="688"/>
      <c r="AV21" s="857"/>
      <c r="AW21" s="857"/>
      <c r="AX21" s="857"/>
      <c r="AY21" s="857"/>
      <c r="AZ21" s="857"/>
    </row>
    <row customHeight="1" ht="14.25">
      <c r="AA22" s="688"/>
      <c r="AS22" s="688"/>
      <c r="AV22" s="857"/>
      <c r="AW22" s="857"/>
      <c r="AX22" s="857"/>
      <c r="AY22" s="857"/>
      <c r="AZ22" s="857"/>
    </row>
    <row s="19375" customFormat="1" customHeight="1" ht="14.25">
      <c r="M23" s="1874"/>
      <c r="N23" s="1874"/>
      <c r="O23" s="1875" t="s">
        <v>416</v>
      </c>
      <c r="P23" s="1874"/>
      <c r="Q23" s="1876"/>
      <c r="R23" s="1876"/>
      <c r="Y23" s="1873" t="s">
        <v>418</v>
      </c>
      <c r="AA23" s="1873" t="s">
        <v>419</v>
      </c>
      <c r="AB23" s="1873" t="s">
        <v>466</v>
      </c>
      <c r="AE23" s="1873" t="s">
        <v>467</v>
      </c>
      <c r="AF23" s="1873" t="s">
        <v>466</v>
      </c>
      <c r="AI23" s="1873" t="s">
        <v>468</v>
      </c>
      <c r="AJ23" s="1873" t="s">
        <v>466</v>
      </c>
      <c r="AM23" s="1873" t="s">
        <v>469</v>
      </c>
      <c r="AQ23" s="1873" t="s">
        <v>418</v>
      </c>
      <c r="AS23" s="1873" t="s">
        <v>419</v>
      </c>
      <c r="AV23" s="1877"/>
      <c r="AW23" s="1877"/>
      <c r="AX23" s="1877"/>
      <c r="AY23" s="1877"/>
      <c r="AZ23" s="1877"/>
    </row>
    <row customHeight="1" ht="14.25">
      <c r="O24" s="1730"/>
      <c r="AV24" s="857"/>
      <c r="AW24" s="857"/>
      <c r="AX24" s="857"/>
      <c r="AY24" s="857"/>
      <c r="AZ24" s="857"/>
    </row>
    <row customHeight="1" ht="14.25">
      <c r="O25" s="1730"/>
      <c r="AV25" s="857"/>
      <c r="AW25" s="857"/>
      <c r="AX25" s="857"/>
      <c r="AY25" s="857"/>
      <c r="AZ25" s="857"/>
    </row>
    <row customHeight="1" ht="14.25">
      <c r="Q26" s="652"/>
      <c r="R26" s="737"/>
      <c r="S26" s="1641"/>
      <c r="T26" s="724"/>
      <c r="U26" s="724"/>
      <c r="V26" s="870"/>
      <c r="W26" s="870"/>
      <c r="X26" s="870"/>
      <c r="Y26" s="870"/>
      <c r="Z26" s="870"/>
      <c r="AA26" s="870"/>
      <c r="AB26" s="870"/>
      <c r="AC26" s="870"/>
      <c r="AD26" s="870"/>
      <c r="AE26" s="870"/>
      <c r="AF26" s="870"/>
      <c r="AG26" s="870"/>
      <c r="AH26" s="870"/>
      <c r="AI26" s="870"/>
      <c r="AJ26" s="870"/>
      <c r="AK26" s="870"/>
      <c r="AL26" s="870"/>
      <c r="AM26" s="870"/>
      <c r="AN26" s="870"/>
      <c r="AO26" s="870"/>
      <c r="AP26" s="870"/>
      <c r="AQ26" s="870"/>
      <c r="AR26" s="870"/>
      <c r="AS26" s="870"/>
    </row>
    <row customHeight="1" ht="26.25">
      <c r="Q27" s="652"/>
      <c r="R27" s="737"/>
      <c r="S27" s="256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560"/>
      <c r="U27" s="2560"/>
      <c r="V27" s="2560"/>
      <c r="W27" s="2560"/>
      <c r="X27" s="2560"/>
      <c r="Y27" s="2560"/>
      <c r="Z27" s="2560"/>
      <c r="AA27" s="2560"/>
      <c r="AB27" s="2560"/>
      <c r="AC27" s="2560"/>
      <c r="AD27" s="2560"/>
      <c r="AE27" s="2560"/>
      <c r="AF27" s="2560"/>
      <c r="AG27" s="2560"/>
      <c r="AH27" s="2560"/>
      <c r="AI27" s="2560"/>
      <c r="AJ27" s="2560"/>
      <c r="AK27" s="2560"/>
      <c r="AL27" s="2560"/>
      <c r="AM27" s="2560"/>
      <c r="AN27" s="2560"/>
      <c r="AO27" s="2560"/>
      <c r="AP27" s="2560"/>
      <c r="AQ27" s="2560"/>
      <c r="AR27" s="2560"/>
      <c r="AS27" s="1608"/>
    </row>
    <row customHeight="1" ht="14.25">
      <c r="Q28" s="652"/>
      <c r="R28" s="737"/>
      <c r="S28" s="2561" t="str">
        <f>IF(org=0,"Не определено",org)</f>
        <v>Филиал "Шатурская ГРЭС" ПАО "Юнипро"</v>
      </c>
      <c r="T28" s="2561"/>
      <c r="U28" s="2561"/>
      <c r="V28" s="2561"/>
      <c r="W28" s="2561"/>
      <c r="X28" s="2561"/>
      <c r="Y28" s="2561"/>
      <c r="Z28" s="2561"/>
      <c r="AA28" s="2561"/>
      <c r="AB28" s="2561"/>
      <c r="AC28" s="2561"/>
      <c r="AD28" s="2561"/>
      <c r="AE28" s="2561"/>
      <c r="AF28" s="2561"/>
      <c r="AG28" s="2561"/>
      <c r="AH28" s="2561"/>
      <c r="AI28" s="2561"/>
      <c r="AJ28" s="2561"/>
      <c r="AK28" s="2561"/>
      <c r="AL28" s="2561"/>
      <c r="AM28" s="2561"/>
      <c r="AN28" s="2561"/>
      <c r="AO28" s="2561"/>
      <c r="AP28" s="2561"/>
      <c r="AQ28" s="2561"/>
      <c r="AR28" s="2561"/>
      <c r="AS28" s="1608"/>
    </row>
    <row customHeight="1" ht="14.25">
      <c r="Q29" s="652"/>
      <c r="R29" s="737"/>
      <c r="S29" s="1641"/>
      <c r="T29" s="724"/>
      <c r="U29" s="724"/>
      <c r="V29" s="683"/>
      <c r="W29" s="683"/>
      <c r="X29" s="683"/>
      <c r="Y29" s="683"/>
      <c r="Z29" s="683"/>
      <c r="AA29" s="683"/>
      <c r="AB29" s="683"/>
      <c r="AC29" s="683"/>
      <c r="AD29" s="683"/>
      <c r="AE29" s="683"/>
      <c r="AF29" s="683"/>
      <c r="AG29" s="683"/>
      <c r="AH29" s="683"/>
      <c r="AI29" s="683"/>
      <c r="AJ29" s="683"/>
      <c r="AK29" s="683"/>
      <c r="AL29" s="683"/>
      <c r="AM29" s="683"/>
      <c r="AN29" s="683"/>
      <c r="AO29" s="683"/>
      <c r="AP29" s="683"/>
      <c r="AQ29" s="683"/>
      <c r="AR29" s="683"/>
      <c r="AS29" s="683"/>
      <c r="AT29" s="870"/>
    </row>
    <row s="19160" customFormat="1" customHeight="1" ht="25.5">
      <c r="A30" s="1734"/>
      <c r="B30" s="1734"/>
      <c r="C30" s="1734"/>
      <c r="D30" s="1734"/>
      <c r="E30" s="1734"/>
      <c r="F30" s="1734"/>
      <c r="G30" s="1734"/>
      <c r="H30" s="1734"/>
      <c r="I30" s="1734"/>
      <c r="J30" s="1734"/>
      <c r="K30" s="1734"/>
      <c r="L30" s="1735"/>
      <c r="M30" s="1734"/>
      <c r="N30" s="1734"/>
      <c r="O30" s="1734"/>
      <c r="P30" s="1734"/>
      <c r="Q30" s="1734"/>
      <c r="S30" s="2518" t="s">
        <v>38</v>
      </c>
      <c r="T30" s="2518"/>
      <c r="U30" s="1738"/>
      <c r="V30" s="2520" t="str">
        <f>IF(TITLE_NAME_OR_PR_CHANGE="",IF(TITLE_NAME_OR_PR="","",TITLE_NAME_OR_PR),TITLE_NAME_OR_PR_CHANGE)</f>
        <v>Комитет по ценам и тарифам по Московской области</v>
      </c>
      <c r="W30" s="2520"/>
      <c r="X30" s="2520"/>
      <c r="Y30" s="2520"/>
      <c r="Z30" s="2520"/>
      <c r="AA30" s="687"/>
      <c r="AB30" s="2520" t="str">
        <f>IF(TITLE_NAME_OR_PR_CHANGE="",IF(TITLE_NAME_OR_PR="","",TITLE_NAME_OR_PR),TITLE_NAME_OR_PR_CHANGE)</f>
        <v>Комитет по ценам и тарифам по Московской области</v>
      </c>
      <c r="AC30" s="2520"/>
      <c r="AD30" s="2520"/>
      <c r="AE30" s="2520"/>
      <c r="AF30" s="2520"/>
      <c r="AG30" s="2520"/>
      <c r="AH30" s="2520"/>
      <c r="AI30" s="2520"/>
      <c r="AJ30" s="2520"/>
      <c r="AK30" s="2520"/>
      <c r="AL30" s="2520"/>
      <c r="AM30" s="2520"/>
      <c r="AN30" s="2520"/>
      <c r="AO30" s="2520"/>
      <c r="AP30" s="2520"/>
      <c r="AQ30" s="2520"/>
      <c r="AR30" s="2520"/>
      <c r="AS30" s="687"/>
      <c r="AT30" s="687"/>
      <c r="AU30" s="641"/>
      <c r="AV30" s="729"/>
      <c r="AW30" s="729"/>
      <c r="AX30" s="729"/>
      <c r="AY30" s="729"/>
      <c r="AZ30" s="729"/>
    </row>
    <row s="19160" customFormat="1" customHeight="1" ht="18.75">
      <c r="A31" s="1734"/>
      <c r="B31" s="1734"/>
      <c r="C31" s="1734"/>
      <c r="D31" s="1734"/>
      <c r="E31" s="1734"/>
      <c r="F31" s="1734"/>
      <c r="G31" s="1734"/>
      <c r="H31" s="1734"/>
      <c r="I31" s="1734"/>
      <c r="J31" s="1734"/>
      <c r="K31" s="1734"/>
      <c r="L31" s="1735"/>
      <c r="M31" s="1734"/>
      <c r="N31" s="1734"/>
      <c r="O31" s="1734"/>
      <c r="P31" s="1734"/>
      <c r="Q31" s="1734"/>
      <c r="S31" s="2518" t="s">
        <v>421</v>
      </c>
      <c r="T31" s="2518"/>
      <c r="U31" s="1738"/>
      <c r="V31" s="2519" t="str">
        <f>IF(TITLE_DATE_PR_CHANGE="",IF(TITLE_DATE_PR="","",TITLE_DATE_PR),TITLE_DATE_PR_CHANGE)</f>
        <v>45280.70914351852</v>
      </c>
      <c r="W31" s="2519"/>
      <c r="X31" s="2519"/>
      <c r="Y31" s="2519"/>
      <c r="Z31" s="2519"/>
      <c r="AA31" s="687"/>
      <c r="AB31" s="2519" t="str">
        <f>IF(TITLE_DATE_PR_CHANGE="",IF(TITLE_DATE_PR="","",TITLE_DATE_PR),TITLE_DATE_PR_CHANGE)</f>
        <v>45280.70914351852</v>
      </c>
      <c r="AC31" s="2519"/>
      <c r="AD31" s="2519"/>
      <c r="AE31" s="2519"/>
      <c r="AF31" s="2519"/>
      <c r="AG31" s="2519"/>
      <c r="AH31" s="2519"/>
      <c r="AI31" s="2519"/>
      <c r="AJ31" s="2519"/>
      <c r="AK31" s="2519"/>
      <c r="AL31" s="2519"/>
      <c r="AM31" s="2519"/>
      <c r="AN31" s="2519"/>
      <c r="AO31" s="2519"/>
      <c r="AP31" s="2519"/>
      <c r="AQ31" s="2519"/>
      <c r="AR31" s="2519"/>
      <c r="AS31" s="687"/>
      <c r="AT31" s="687"/>
      <c r="AU31" s="641"/>
      <c r="AV31" s="729"/>
      <c r="AW31" s="729"/>
      <c r="AX31" s="729"/>
      <c r="AY31" s="729"/>
      <c r="AZ31" s="729"/>
    </row>
    <row s="19160" customFormat="1" customHeight="1" ht="18.75">
      <c r="A32" s="1734"/>
      <c r="B32" s="1734"/>
      <c r="C32" s="1734"/>
      <c r="D32" s="1734"/>
      <c r="E32" s="1734"/>
      <c r="F32" s="1734"/>
      <c r="G32" s="1734"/>
      <c r="H32" s="1734"/>
      <c r="I32" s="1734"/>
      <c r="J32" s="1734"/>
      <c r="K32" s="1734"/>
      <c r="L32" s="1735"/>
      <c r="M32" s="1734"/>
      <c r="N32" s="1734"/>
      <c r="O32" s="1734"/>
      <c r="P32" s="1734"/>
      <c r="Q32" s="1734"/>
      <c r="S32" s="2518" t="s">
        <v>422</v>
      </c>
      <c r="T32" s="2518"/>
      <c r="U32" s="1738"/>
      <c r="V32" s="2520" t="str">
        <f>IF(TITLE_NUMBER_PR_CHANGE="",IF(TITLE_NUMBER_PR="","",TITLE_NUMBER_PR),TITLE_NUMBER_PR_CHANGE)</f>
        <v>317-Р</v>
      </c>
      <c r="W32" s="2520"/>
      <c r="X32" s="2520"/>
      <c r="Y32" s="2520"/>
      <c r="Z32" s="2520"/>
      <c r="AA32" s="687"/>
      <c r="AB32" s="2520" t="str">
        <f>IF(TITLE_NUMBER_PR_CHANGE="",IF(TITLE_NUMBER_PR="","",TITLE_NUMBER_PR),TITLE_NUMBER_PR_CHANGE)</f>
        <v>317-Р</v>
      </c>
      <c r="AC32" s="2520"/>
      <c r="AD32" s="2520"/>
      <c r="AE32" s="2520"/>
      <c r="AF32" s="2520"/>
      <c r="AG32" s="2520"/>
      <c r="AH32" s="2520"/>
      <c r="AI32" s="2520"/>
      <c r="AJ32" s="2520"/>
      <c r="AK32" s="2520"/>
      <c r="AL32" s="2520"/>
      <c r="AM32" s="2520"/>
      <c r="AN32" s="2520"/>
      <c r="AO32" s="2520"/>
      <c r="AP32" s="2520"/>
      <c r="AQ32" s="2520"/>
      <c r="AR32" s="2520"/>
      <c r="AS32" s="687"/>
      <c r="AT32" s="687"/>
      <c r="AU32" s="641"/>
      <c r="AV32" s="729"/>
      <c r="AW32" s="729"/>
      <c r="AX32" s="729"/>
      <c r="AY32" s="729"/>
      <c r="AZ32" s="729"/>
    </row>
    <row s="19160" customFormat="1" customHeight="1" ht="18.75">
      <c r="A33" s="1734"/>
      <c r="B33" s="1734"/>
      <c r="C33" s="1734"/>
      <c r="D33" s="1734"/>
      <c r="E33" s="1734"/>
      <c r="F33" s="1734"/>
      <c r="G33" s="1734"/>
      <c r="H33" s="1734"/>
      <c r="I33" s="1734"/>
      <c r="J33" s="1734"/>
      <c r="K33" s="1734"/>
      <c r="L33" s="1735"/>
      <c r="M33" s="1734"/>
      <c r="N33" s="1734"/>
      <c r="O33" s="1734"/>
      <c r="P33" s="1734"/>
      <c r="Q33" s="1734"/>
      <c r="S33" s="2518" t="s">
        <v>40</v>
      </c>
      <c r="T33" s="2518"/>
      <c r="U33" s="1738"/>
      <c r="V33"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3" s="2520"/>
      <c r="X33" s="2520"/>
      <c r="Y33" s="2520"/>
      <c r="Z33" s="2520"/>
      <c r="AA33" s="687"/>
      <c r="AB33"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C33" s="2520"/>
      <c r="AD33" s="2520"/>
      <c r="AE33" s="2520"/>
      <c r="AF33" s="2520"/>
      <c r="AG33" s="2520"/>
      <c r="AH33" s="2520"/>
      <c r="AI33" s="2520"/>
      <c r="AJ33" s="2520"/>
      <c r="AK33" s="2520"/>
      <c r="AL33" s="2520"/>
      <c r="AM33" s="2520"/>
      <c r="AN33" s="2520"/>
      <c r="AO33" s="2520"/>
      <c r="AP33" s="2520"/>
      <c r="AQ33" s="2520"/>
      <c r="AR33" s="2520"/>
      <c r="AS33" s="687"/>
      <c r="AT33" s="687"/>
      <c r="AU33" s="641"/>
      <c r="AV33" s="729"/>
      <c r="AW33" s="729"/>
      <c r="AX33" s="729"/>
      <c r="AY33" s="729"/>
      <c r="AZ33" s="729"/>
    </row>
    <row customHeight="1" ht="14.25" hidden="1">
      <c r="Q34" s="652"/>
      <c r="R34" s="737"/>
      <c r="S34" s="1641"/>
      <c r="T34" s="724"/>
      <c r="U34" s="724"/>
      <c r="V34" s="683"/>
      <c r="W34" s="683"/>
      <c r="X34" s="683"/>
      <c r="Y34" s="683"/>
      <c r="Z34" s="683"/>
      <c r="AA34" s="683"/>
      <c r="AB34" s="683"/>
      <c r="AC34" s="683"/>
      <c r="AD34" s="683"/>
      <c r="AE34" s="683"/>
      <c r="AF34" s="683"/>
      <c r="AG34" s="683"/>
      <c r="AH34" s="683"/>
      <c r="AI34" s="683"/>
      <c r="AJ34" s="683"/>
      <c r="AK34" s="683"/>
      <c r="AL34" s="683"/>
      <c r="AM34" s="683"/>
      <c r="AN34" s="683"/>
      <c r="AO34" s="683"/>
      <c r="AP34" s="683"/>
      <c r="AQ34" s="683"/>
      <c r="AR34" s="683"/>
      <c r="AS34" s="683"/>
      <c r="AT34" s="870"/>
    </row>
    <row s="19160" customFormat="1" customHeight="1" ht="18.75" hidden="1">
      <c r="A35" s="1734"/>
      <c r="B35" s="1734"/>
      <c r="C35" s="1734"/>
      <c r="D35" s="1734"/>
      <c r="E35" s="1734"/>
      <c r="F35" s="1734"/>
      <c r="G35" s="1734"/>
      <c r="H35" s="1734"/>
      <c r="I35" s="1734"/>
      <c r="J35" s="1734"/>
      <c r="K35" s="1734"/>
      <c r="L35" s="1735"/>
      <c r="M35" s="1734"/>
      <c r="N35" s="1734"/>
      <c r="O35" s="1734"/>
      <c r="P35" s="1734"/>
      <c r="Q35" s="1734"/>
      <c r="S35" s="2518" t="s">
        <v>421</v>
      </c>
      <c r="T35" s="2518"/>
      <c r="U35" s="1738"/>
      <c r="V35" s="2519" t="str">
        <f>IF(TITLE_DATE_PR_CHANGE="",IF(TITLE_DATE_PR="","",TITLE_DATE_PR),TITLE_DATE_PR_CHANGE)</f>
        <v>45280.70914351852</v>
      </c>
      <c r="W35" s="2519"/>
      <c r="X35" s="2519"/>
      <c r="Y35" s="2519"/>
      <c r="Z35" s="2519"/>
      <c r="AA35" s="687"/>
      <c r="AB35" s="2519" t="str">
        <f>IF(TITLE_DATE_PR_CHANGE="",IF(TITLE_DATE_PR="","",TITLE_DATE_PR),TITLE_DATE_PR_CHANGE)</f>
        <v>45280.70914351852</v>
      </c>
      <c r="AC35" s="2519"/>
      <c r="AD35" s="2519"/>
      <c r="AE35" s="2519"/>
      <c r="AF35" s="2519"/>
      <c r="AG35" s="2519"/>
      <c r="AH35" s="2519"/>
      <c r="AI35" s="2519"/>
      <c r="AJ35" s="2519"/>
      <c r="AK35" s="2519"/>
      <c r="AL35" s="2519"/>
      <c r="AM35" s="2519"/>
      <c r="AN35" s="2519"/>
      <c r="AO35" s="2519"/>
      <c r="AP35" s="2519"/>
      <c r="AQ35" s="2519"/>
      <c r="AR35" s="2519"/>
      <c r="AS35" s="687"/>
      <c r="AT35" s="687"/>
      <c r="AU35" s="641"/>
      <c r="AV35" s="729"/>
      <c r="AW35" s="729"/>
      <c r="AX35" s="729"/>
      <c r="AY35" s="729"/>
      <c r="AZ35" s="729"/>
    </row>
    <row s="19160" customFormat="1" customHeight="1" ht="18" hidden="1">
      <c r="A36" s="1734"/>
      <c r="B36" s="1734"/>
      <c r="C36" s="1734"/>
      <c r="D36" s="1734"/>
      <c r="E36" s="1734"/>
      <c r="F36" s="1734"/>
      <c r="G36" s="1734"/>
      <c r="H36" s="1734"/>
      <c r="I36" s="1734"/>
      <c r="J36" s="1734"/>
      <c r="K36" s="1734"/>
      <c r="L36" s="1735"/>
      <c r="M36" s="1734"/>
      <c r="N36" s="1734"/>
      <c r="O36" s="1734"/>
      <c r="P36" s="1734"/>
      <c r="Q36" s="1734"/>
      <c r="S36" s="2518" t="s">
        <v>422</v>
      </c>
      <c r="T36" s="2518"/>
      <c r="U36" s="1738"/>
      <c r="V36" s="2520" t="str">
        <f>IF(TITLE_NUMBER_PR_CHANGE="",IF(TITLE_NUMBER_PR="","",TITLE_NUMBER_PR),TITLE_NUMBER_PR_CHANGE)</f>
        <v>317-Р</v>
      </c>
      <c r="W36" s="2520"/>
      <c r="X36" s="2520"/>
      <c r="Y36" s="2520"/>
      <c r="Z36" s="2520"/>
      <c r="AA36" s="687"/>
      <c r="AB36" s="2520" t="str">
        <f>IF(TITLE_NUMBER_PR_CHANGE="",IF(TITLE_NUMBER_PR="","",TITLE_NUMBER_PR),TITLE_NUMBER_PR_CHANGE)</f>
        <v>317-Р</v>
      </c>
      <c r="AC36" s="2520"/>
      <c r="AD36" s="2520"/>
      <c r="AE36" s="2520"/>
      <c r="AF36" s="2520"/>
      <c r="AG36" s="2520"/>
      <c r="AH36" s="2520"/>
      <c r="AI36" s="2520"/>
      <c r="AJ36" s="2520"/>
      <c r="AK36" s="2520"/>
      <c r="AL36" s="2520"/>
      <c r="AM36" s="2520"/>
      <c r="AN36" s="2520"/>
      <c r="AO36" s="2520"/>
      <c r="AP36" s="2520"/>
      <c r="AQ36" s="2520"/>
      <c r="AR36" s="2520"/>
      <c r="AS36" s="687"/>
      <c r="AT36" s="687"/>
      <c r="AU36" s="641"/>
      <c r="AV36" s="729"/>
      <c r="AW36" s="729"/>
      <c r="AX36" s="729"/>
      <c r="AY36" s="729"/>
      <c r="AZ36" s="729"/>
    </row>
    <row s="19160" customFormat="1" customHeight="1" ht="0.75">
      <c r="A37" s="1734"/>
      <c r="B37" s="1734"/>
      <c r="C37" s="1734"/>
      <c r="D37" s="1734"/>
      <c r="E37" s="1734"/>
      <c r="F37" s="1734"/>
      <c r="G37" s="1734"/>
      <c r="H37" s="1734"/>
      <c r="I37" s="1734"/>
      <c r="J37" s="1734"/>
      <c r="K37" s="1734"/>
      <c r="L37" s="1735"/>
      <c r="M37" s="1734"/>
      <c r="N37" s="1734"/>
      <c r="O37" s="1734"/>
      <c r="P37" s="1734"/>
      <c r="Q37" s="1734"/>
      <c r="S37" s="684"/>
      <c r="T37" s="684"/>
      <c r="U37" s="1706"/>
      <c r="V37" s="687"/>
      <c r="W37" s="687"/>
      <c r="X37" s="687"/>
      <c r="Y37" s="687"/>
      <c r="Z37" s="687"/>
      <c r="AA37" s="639" t="s">
        <v>425</v>
      </c>
      <c r="AB37" s="687"/>
      <c r="AC37" s="687"/>
      <c r="AD37" s="687"/>
      <c r="AE37" s="687"/>
      <c r="AF37" s="687"/>
      <c r="AG37" s="687"/>
      <c r="AH37" s="687"/>
      <c r="AI37" s="687"/>
      <c r="AJ37" s="687"/>
      <c r="AK37" s="687"/>
      <c r="AL37" s="687"/>
      <c r="AM37" s="687"/>
      <c r="AN37" s="687"/>
      <c r="AO37" s="687"/>
      <c r="AP37" s="687"/>
      <c r="AQ37" s="687"/>
      <c r="AR37" s="687"/>
      <c r="AS37" s="639" t="s">
        <v>425</v>
      </c>
      <c r="AV37" s="729"/>
      <c r="AW37" s="729"/>
      <c r="AX37" s="729"/>
      <c r="AY37" s="729"/>
      <c r="AZ37" s="729"/>
    </row>
    <row customHeight="1" ht="14.25">
      <c r="Q38" s="652"/>
      <c r="R38" s="737"/>
      <c r="S38" s="1641"/>
      <c r="T38" s="724"/>
      <c r="U38" s="1609"/>
      <c r="V38" s="2544"/>
      <c r="W38" s="2544"/>
      <c r="X38" s="2544"/>
      <c r="Y38" s="2544"/>
      <c r="Z38" s="2544"/>
      <c r="AA38" s="2544"/>
      <c r="AB38" s="2544"/>
      <c r="AC38" s="2544"/>
      <c r="AD38" s="2544"/>
      <c r="AE38" s="2544"/>
      <c r="AF38" s="2544"/>
      <c r="AG38" s="2544"/>
      <c r="AH38" s="2544"/>
      <c r="AI38" s="2544"/>
      <c r="AJ38" s="2544"/>
      <c r="AK38" s="2544"/>
      <c r="AL38" s="2544"/>
      <c r="AM38" s="2544"/>
      <c r="AN38" s="2544"/>
      <c r="AO38" s="2544"/>
      <c r="AP38" s="2544"/>
      <c r="AQ38" s="2544"/>
      <c r="AR38" s="2544"/>
      <c r="AS38" s="2544"/>
    </row>
    <row customHeight="1" ht="14.25">
      <c r="Q39" s="652"/>
      <c r="R39" s="737"/>
      <c r="S39" s="2392" t="s">
        <v>300</v>
      </c>
      <c r="T39" s="2392"/>
      <c r="U39" s="2392"/>
      <c r="V39" s="2392"/>
      <c r="W39" s="2392"/>
      <c r="X39" s="2392"/>
      <c r="Y39" s="2392"/>
      <c r="Z39" s="2392"/>
      <c r="AA39" s="2392"/>
      <c r="AB39" s="2449"/>
      <c r="AC39" s="2449"/>
      <c r="AD39" s="2449"/>
      <c r="AE39" s="2449"/>
      <c r="AF39" s="2392"/>
      <c r="AG39" s="2392"/>
      <c r="AH39" s="2392"/>
      <c r="AI39" s="2392"/>
      <c r="AJ39" s="2392"/>
      <c r="AK39" s="2392"/>
      <c r="AL39" s="2392"/>
      <c r="AM39" s="2392"/>
      <c r="AN39" s="2392"/>
      <c r="AO39" s="2392"/>
      <c r="AP39" s="2392"/>
      <c r="AQ39" s="2392"/>
      <c r="AR39" s="2392"/>
      <c r="AS39" s="2392"/>
      <c r="AT39" s="2392"/>
      <c r="AU39" s="2392" t="s">
        <v>301</v>
      </c>
    </row>
    <row customHeight="1" ht="14.25">
      <c r="Q40" s="652"/>
      <c r="R40" s="737"/>
      <c r="S40" s="2545" t="s">
        <v>85</v>
      </c>
      <c r="T40" s="2482" t="s">
        <v>470</v>
      </c>
      <c r="U40" s="662"/>
      <c r="V40" s="2547"/>
      <c r="W40" s="2547"/>
      <c r="X40" s="2547"/>
      <c r="Y40" s="2547"/>
      <c r="Z40" s="2548"/>
      <c r="AA40" s="2609" t="s">
        <v>428</v>
      </c>
      <c r="AB40" s="2593" t="s">
        <v>471</v>
      </c>
      <c r="AC40" s="2568"/>
      <c r="AD40" s="2568"/>
      <c r="AE40" s="2594"/>
      <c r="AF40" s="2568" t="s">
        <v>472</v>
      </c>
      <c r="AG40" s="2568"/>
      <c r="AH40" s="2568"/>
      <c r="AI40" s="2594"/>
      <c r="AJ40" s="2593" t="s">
        <v>473</v>
      </c>
      <c r="AK40" s="2568"/>
      <c r="AL40" s="2568"/>
      <c r="AM40" s="2594"/>
      <c r="AN40" s="2593" t="s">
        <v>427</v>
      </c>
      <c r="AO40" s="2568"/>
      <c r="AP40" s="2547"/>
      <c r="AQ40" s="2547"/>
      <c r="AR40" s="2548"/>
      <c r="AS40" s="2549" t="s">
        <v>428</v>
      </c>
      <c r="AT40" s="2552" t="s">
        <v>430</v>
      </c>
      <c r="AU40" s="2392"/>
    </row>
    <row customHeight="1" ht="33.75">
      <c r="Q41" s="652"/>
      <c r="R41" s="737"/>
      <c r="S41" s="2545"/>
      <c r="T41" s="2482"/>
      <c r="U41" s="1393"/>
      <c r="V41" s="2450" t="s">
        <v>474</v>
      </c>
      <c r="W41" s="2451"/>
      <c r="X41" s="2566" t="s">
        <v>434</v>
      </c>
      <c r="Y41" s="2584"/>
      <c r="Z41" s="2585"/>
      <c r="AA41" s="2610"/>
      <c r="AB41" s="2595"/>
      <c r="AC41" s="2596"/>
      <c r="AD41" s="2596"/>
      <c r="AE41" s="2608"/>
      <c r="AF41" s="2596"/>
      <c r="AG41" s="2596"/>
      <c r="AH41" s="2596"/>
      <c r="AI41" s="2608"/>
      <c r="AJ41" s="2595"/>
      <c r="AK41" s="2596"/>
      <c r="AL41" s="2596"/>
      <c r="AM41" s="2596"/>
      <c r="AN41" s="2392" t="s">
        <v>475</v>
      </c>
      <c r="AO41" s="2392"/>
      <c r="AP41" s="2584" t="s">
        <v>434</v>
      </c>
      <c r="AQ41" s="2584"/>
      <c r="AR41" s="2585"/>
      <c r="AS41" s="2550"/>
      <c r="AT41" s="2553"/>
      <c r="AU41" s="2392"/>
    </row>
    <row customHeight="1" ht="14.25">
      <c r="Q42" s="652"/>
      <c r="R42" s="737"/>
      <c r="S42" s="2545"/>
      <c r="T42" s="2482"/>
      <c r="U42" s="1393"/>
      <c r="V42" s="2458"/>
      <c r="W42" s="2459"/>
      <c r="X42" s="2567"/>
      <c r="Y42" s="2586"/>
      <c r="Z42" s="2587"/>
      <c r="AA42" s="2610"/>
      <c r="AB42" s="2595"/>
      <c r="AC42" s="2596"/>
      <c r="AD42" s="2596"/>
      <c r="AE42" s="2608"/>
      <c r="AF42" s="2596"/>
      <c r="AG42" s="2596"/>
      <c r="AH42" s="2596"/>
      <c r="AI42" s="2608"/>
      <c r="AJ42" s="2595"/>
      <c r="AK42" s="2596"/>
      <c r="AL42" s="2596"/>
      <c r="AM42" s="2596"/>
      <c r="AN42" s="2612"/>
      <c r="AO42" s="2612"/>
      <c r="AP42" s="2586"/>
      <c r="AQ42" s="2586"/>
      <c r="AR42" s="2587"/>
      <c r="AS42" s="2550"/>
      <c r="AT42" s="2553"/>
      <c r="AU42" s="2392"/>
    </row>
    <row customHeight="1" ht="14.25">
      <c r="A43" s="1736"/>
      <c r="B43" s="1736" t="s">
        <v>132</v>
      </c>
      <c r="C43" s="1736" t="s">
        <v>133</v>
      </c>
      <c r="D43" s="1736" t="s">
        <v>134</v>
      </c>
      <c r="E43" s="1730" t="s">
        <v>435</v>
      </c>
      <c r="F43" s="1730" t="s">
        <v>436</v>
      </c>
      <c r="G43" s="1730" t="s">
        <v>437</v>
      </c>
      <c r="H43" s="1730" t="s">
        <v>438</v>
      </c>
      <c r="I43" s="1730" t="s">
        <v>439</v>
      </c>
      <c r="J43" s="1730" t="s">
        <v>440</v>
      </c>
      <c r="K43" s="1730" t="s">
        <v>441</v>
      </c>
      <c r="L43" s="1730" t="s">
        <v>416</v>
      </c>
      <c r="Q43" s="652"/>
      <c r="R43" s="737"/>
      <c r="S43" s="2545"/>
      <c r="T43" s="2482"/>
      <c r="U43" s="663"/>
      <c r="V43" s="1696" t="s">
        <v>476</v>
      </c>
      <c r="W43" s="1696" t="s">
        <v>477</v>
      </c>
      <c r="X43" s="1704" t="s">
        <v>444</v>
      </c>
      <c r="Y43" s="2541" t="s">
        <v>445</v>
      </c>
      <c r="Z43" s="2542"/>
      <c r="AA43" s="2611"/>
      <c r="AB43" s="2597"/>
      <c r="AC43" s="2598"/>
      <c r="AD43" s="2598"/>
      <c r="AE43" s="2599"/>
      <c r="AF43" s="2598"/>
      <c r="AG43" s="2598"/>
      <c r="AH43" s="2598"/>
      <c r="AI43" s="2599"/>
      <c r="AJ43" s="2597"/>
      <c r="AK43" s="2598"/>
      <c r="AL43" s="2598"/>
      <c r="AM43" s="2599"/>
      <c r="AN43" s="2227" t="s">
        <v>476</v>
      </c>
      <c r="AO43" s="2227" t="s">
        <v>477</v>
      </c>
      <c r="AP43" s="1704" t="s">
        <v>444</v>
      </c>
      <c r="AQ43" s="2541" t="s">
        <v>445</v>
      </c>
      <c r="AR43" s="2542"/>
      <c r="AS43" s="2551"/>
      <c r="AT43" s="2554"/>
      <c r="AU43" s="2392"/>
    </row>
    <row s="18977" customFormat="1" customHeight="1" ht="11.25" hidden="1">
      <c r="A44" s="1736"/>
      <c r="B44" s="1736"/>
      <c r="C44" s="1736"/>
      <c r="D44" s="1736"/>
      <c r="E44" s="1736"/>
      <c r="F44" s="1736"/>
      <c r="G44" s="1736"/>
      <c r="H44" s="1736"/>
      <c r="I44" s="1736"/>
      <c r="J44" s="1736"/>
      <c r="K44" s="1736"/>
      <c r="L44" s="1730"/>
      <c r="M44" s="1728"/>
      <c r="N44" s="1728"/>
      <c r="O44" s="1728"/>
      <c r="P44" s="871"/>
      <c r="Q44" s="1619"/>
      <c r="R44" s="1619">
        <v>1</v>
      </c>
      <c r="S44" s="1643" t="s">
        <v>106</v>
      </c>
      <c r="T44" s="1620" t="s">
        <v>107</v>
      </c>
      <c r="U44" s="1610" t="str">
        <f>OFFSET(U44,0,-1)</f>
        <v>2</v>
      </c>
      <c r="V44" s="1701">
        <f>OFFSET(V44,0,-1)+1</f>
        <v>3</v>
      </c>
      <c r="W44" s="1701">
        <f>OFFSET(W44,0,-1)+1</f>
        <v>4</v>
      </c>
      <c r="X44" s="1701">
        <f>OFFSET(X44,0,-1)+1</f>
        <v>5</v>
      </c>
      <c r="Y44" s="2543">
        <f>OFFSET(Y44,0,-1)+1</f>
        <v>6</v>
      </c>
      <c r="Z44" s="2543"/>
      <c r="AA44" s="1701">
        <f>OFFSET(AA44,0,-2)+1</f>
        <v>7</v>
      </c>
      <c r="AB44" s="1707">
        <f>OFFSET(AB44,0,-1)+1</f>
        <v>8</v>
      </c>
      <c r="AC44" s="1707"/>
      <c r="AD44" s="1707"/>
      <c r="AE44" s="1707"/>
      <c r="AF44" s="1701"/>
      <c r="AG44" s="1701"/>
      <c r="AH44" s="1701"/>
      <c r="AI44" s="1701"/>
      <c r="AJ44" s="1701"/>
      <c r="AK44" s="1701"/>
      <c r="AL44" s="1701"/>
      <c r="AM44" s="1701"/>
      <c r="AN44" s="1701">
        <f>OFFSET(AN44,0,-1)+1</f>
        <v>1</v>
      </c>
      <c r="AO44" s="1701">
        <f>OFFSET(AO44,0,-1)+1</f>
        <v>2</v>
      </c>
      <c r="AP44" s="1701">
        <f>OFFSET(AP44,0,-1)+1</f>
        <v>3</v>
      </c>
      <c r="AQ44" s="2543">
        <f>OFFSET(AQ44,0,-1)+1</f>
        <v>4</v>
      </c>
      <c r="AR44" s="2543"/>
      <c r="AS44" s="1701">
        <f>OFFSET(AS44,0,-2)+1</f>
        <v>5</v>
      </c>
      <c r="AT44" s="1610">
        <f>OFFSET(AT44,0,-1)</f>
        <v>5</v>
      </c>
      <c r="AU44" s="1701">
        <f>OFFSET(AU44,0,-1)+1</f>
        <v>6</v>
      </c>
      <c r="AV44" s="872"/>
      <c r="AW44" s="872"/>
      <c r="AX44" s="872"/>
      <c r="AY44" s="872"/>
      <c r="AZ44" s="872"/>
    </row>
    <row customHeight="1" ht="102">
      <c r="A45" s="1729" t="s">
        <v>195</v>
      </c>
      <c r="B45" s="1729"/>
      <c r="C45" s="1729"/>
      <c r="D45" s="1729"/>
      <c r="E45" s="2527">
        <v>1</v>
      </c>
      <c r="F45" s="1729"/>
      <c r="G45" s="1729"/>
      <c r="H45" s="1729"/>
      <c r="I45" s="1729"/>
      <c r="J45" s="1729"/>
      <c r="K45" s="1729"/>
      <c r="L45" s="1730"/>
      <c r="M45" s="1731"/>
      <c r="N45" s="1731"/>
      <c r="O45" s="1731"/>
      <c r="P45" s="1775"/>
      <c r="Q45" s="1234"/>
      <c r="R45" s="716"/>
      <c r="S45" s="1702">
        <f>INDEX(PT_DIFFERENTIATION_NUM_NTAR,MATCH(A45,PT_DIFFERENTIATION_NTAR_ID,0))</f>
        <v>0</v>
      </c>
      <c r="T45" s="659" t="s">
        <v>120</v>
      </c>
      <c r="U45" s="661"/>
      <c r="V45" s="2522"/>
      <c r="W45" s="2522"/>
      <c r="X45" s="2522"/>
      <c r="Y45" s="2522"/>
      <c r="Z45" s="2522"/>
      <c r="AA45" s="2523"/>
      <c r="AB45" s="2521" t="str">
        <f>INDEX(PT_DIFFERENTIATION_NTAR,MATCH(A45,PT_DIFFERENTIATION_NTAR_ID,0))</f>
        <v/>
      </c>
      <c r="AC45" s="2522"/>
      <c r="AD45" s="2522"/>
      <c r="AE45" s="2522"/>
      <c r="AF45" s="2522"/>
      <c r="AG45" s="2522"/>
      <c r="AH45" s="2522"/>
      <c r="AI45" s="2522"/>
      <c r="AJ45" s="2522"/>
      <c r="AK45" s="2522"/>
      <c r="AL45" s="2522"/>
      <c r="AM45" s="2522"/>
      <c r="AN45" s="2522"/>
      <c r="AO45" s="2522"/>
      <c r="AP45" s="2522"/>
      <c r="AQ45" s="2522"/>
      <c r="AR45" s="2522"/>
      <c r="AS45" s="2522"/>
      <c r="AT45" s="2523"/>
      <c r="AU45" s="162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861"/>
      <c r="AX45" s="861" t="str">
        <f>IF(T45="","",T45)</f>
        <v>Наименование тарифа</v>
      </c>
      <c r="AY45" s="861"/>
      <c r="AZ45" s="861"/>
    </row>
    <row customHeight="1" ht="21">
      <c r="A46" s="1729" t="s">
        <v>195</v>
      </c>
      <c r="B46" s="1729" t="s">
        <v>196</v>
      </c>
      <c r="C46" s="1729"/>
      <c r="D46" s="1729"/>
      <c r="E46" s="2528"/>
      <c r="F46" s="2527">
        <v>1</v>
      </c>
      <c r="G46" s="1729"/>
      <c r="H46" s="1729"/>
      <c r="I46" s="1729"/>
      <c r="J46" s="1729"/>
      <c r="K46" s="1729"/>
      <c r="L46" s="1730"/>
      <c r="M46" s="1731"/>
      <c r="N46" s="1731"/>
      <c r="O46" s="1731"/>
      <c r="P46" s="1776"/>
      <c r="Q46" s="1777"/>
      <c r="R46" s="714"/>
      <c r="S46" s="1702" t="str">
        <f>INDEX(PT_DIFFERENTIATION_NUM_TER,MATCH(B46,PT_DIFFERENTIATION_TER_ID,0))</f>
        <v>.</v>
      </c>
      <c r="T46" s="669" t="s">
        <v>397</v>
      </c>
      <c r="U46" s="661"/>
      <c r="V46" s="2522"/>
      <c r="W46" s="2522"/>
      <c r="X46" s="2522"/>
      <c r="Y46" s="2522"/>
      <c r="Z46" s="2522"/>
      <c r="AA46" s="2523"/>
      <c r="AB46" s="2521" t="str">
        <f>INDEX(PT_DIFFERENTIATION_TER,MATCH(B46,PT_DIFFERENTIATION_TER_ID,0))</f>
        <v/>
      </c>
      <c r="AC46" s="2522"/>
      <c r="AD46" s="2522"/>
      <c r="AE46" s="2522"/>
      <c r="AF46" s="2522"/>
      <c r="AG46" s="2522"/>
      <c r="AH46" s="2522"/>
      <c r="AI46" s="2522"/>
      <c r="AJ46" s="2522"/>
      <c r="AK46" s="2522"/>
      <c r="AL46" s="2522"/>
      <c r="AM46" s="2522"/>
      <c r="AN46" s="2522"/>
      <c r="AO46" s="2522"/>
      <c r="AP46" s="2522"/>
      <c r="AQ46" s="2522"/>
      <c r="AR46" s="2522"/>
      <c r="AS46" s="2522"/>
      <c r="AT46" s="2523"/>
      <c r="AU46" s="1623" t="s">
        <v>398</v>
      </c>
      <c r="AW46" s="861"/>
      <c r="AX46" s="861" t="str">
        <f>IF(T46="","",T46)</f>
        <v>Территория действия тарифа</v>
      </c>
      <c r="AY46" s="861"/>
      <c r="AZ46" s="861"/>
    </row>
    <row customHeight="1" ht="23.25">
      <c r="A47" s="1729" t="s">
        <v>195</v>
      </c>
      <c r="B47" s="1729" t="s">
        <v>196</v>
      </c>
      <c r="C47" s="1729" t="s">
        <v>197</v>
      </c>
      <c r="D47" s="1729"/>
      <c r="E47" s="2528"/>
      <c r="F47" s="2528"/>
      <c r="G47" s="2527">
        <v>1</v>
      </c>
      <c r="H47" s="1729"/>
      <c r="I47" s="1729"/>
      <c r="J47" s="1729"/>
      <c r="K47" s="1729"/>
      <c r="L47" s="1730"/>
      <c r="M47" s="1731"/>
      <c r="N47" s="1731"/>
      <c r="O47" s="1731"/>
      <c r="P47" s="1778"/>
      <c r="Q47" s="1777"/>
      <c r="R47" s="714"/>
      <c r="S47" s="1702" t="str">
        <f>INDEX(PT_DIFFERENTIATION_NUM_CS,MATCH(C47,PT_DIFFERENTIATION_CS_ID,0))</f>
        <v>..</v>
      </c>
      <c r="T47" s="670" t="s">
        <v>399</v>
      </c>
      <c r="U47" s="661"/>
      <c r="V47" s="2522"/>
      <c r="W47" s="2522"/>
      <c r="X47" s="2522"/>
      <c r="Y47" s="2522"/>
      <c r="Z47" s="2522"/>
      <c r="AA47" s="2523"/>
      <c r="AB47" s="2521" t="str">
        <f>INDEX(PT_DIFFERENTIATION_CS,MATCH(C47,PT_DIFFERENTIATION_CS_ID,0))</f>
        <v/>
      </c>
      <c r="AC47" s="2522"/>
      <c r="AD47" s="2522"/>
      <c r="AE47" s="2522"/>
      <c r="AF47" s="2522"/>
      <c r="AG47" s="2522"/>
      <c r="AH47" s="2522"/>
      <c r="AI47" s="2522"/>
      <c r="AJ47" s="2522"/>
      <c r="AK47" s="2522"/>
      <c r="AL47" s="2522"/>
      <c r="AM47" s="2522"/>
      <c r="AN47" s="2522"/>
      <c r="AO47" s="2522"/>
      <c r="AP47" s="2522"/>
      <c r="AQ47" s="2522"/>
      <c r="AR47" s="2522"/>
      <c r="AS47" s="2522"/>
      <c r="AT47" s="2523"/>
      <c r="AU47" s="1623" t="s">
        <v>400</v>
      </c>
      <c r="AW47" s="861"/>
      <c r="AX47" s="861" t="str">
        <f>IF(T47="","",T47)</f>
        <v>Наименование системы теплоснабжения </v>
      </c>
      <c r="AY47" s="861"/>
      <c r="AZ47" s="861"/>
    </row>
    <row customHeight="1" ht="21">
      <c r="A48" s="1729" t="s">
        <v>195</v>
      </c>
      <c r="B48" s="1729" t="s">
        <v>196</v>
      </c>
      <c r="C48" s="1729" t="s">
        <v>197</v>
      </c>
      <c r="D48" s="1729" t="s">
        <v>198</v>
      </c>
      <c r="E48" s="2528"/>
      <c r="F48" s="2528"/>
      <c r="G48" s="2528"/>
      <c r="H48" s="2527">
        <v>1</v>
      </c>
      <c r="I48" s="1729"/>
      <c r="J48" s="1729"/>
      <c r="K48" s="1729"/>
      <c r="L48" s="1730"/>
      <c r="M48" s="1731"/>
      <c r="N48" s="1731"/>
      <c r="O48" s="1731"/>
      <c r="P48" s="1778"/>
      <c r="Q48" s="1777"/>
      <c r="R48" s="714"/>
      <c r="S48" s="1702" t="str">
        <f>INDEX(PT_DIFFERENTIATION_NUM_IST_TE,MATCH(D48,PT_DIFFERENTIATION_IST_TE_ID,0))</f>
        <v>...</v>
      </c>
      <c r="T48" s="671" t="s">
        <v>401</v>
      </c>
      <c r="U48" s="661"/>
      <c r="V48" s="2522"/>
      <c r="W48" s="2522"/>
      <c r="X48" s="2522"/>
      <c r="Y48" s="2522"/>
      <c r="Z48" s="2522"/>
      <c r="AA48" s="2523"/>
      <c r="AB48" s="2521" t="str">
        <f>INDEX(PT_DIFFERENTIATION_IST_TE,MATCH(D48,PT_DIFFERENTIATION_IST_TE_ID,0))</f>
        <v/>
      </c>
      <c r="AC48" s="2522"/>
      <c r="AD48" s="2522"/>
      <c r="AE48" s="2522"/>
      <c r="AF48" s="2522"/>
      <c r="AG48" s="2522"/>
      <c r="AH48" s="2522"/>
      <c r="AI48" s="2522"/>
      <c r="AJ48" s="2522"/>
      <c r="AK48" s="2522"/>
      <c r="AL48" s="2522"/>
      <c r="AM48" s="2522"/>
      <c r="AN48" s="2522"/>
      <c r="AO48" s="2522"/>
      <c r="AP48" s="2522"/>
      <c r="AQ48" s="2522"/>
      <c r="AR48" s="2522"/>
      <c r="AS48" s="2522"/>
      <c r="AT48" s="2523"/>
      <c r="AU48" s="1623" t="s">
        <v>402</v>
      </c>
      <c r="AW48" s="861"/>
      <c r="AX48" s="861" t="str">
        <f>IF(T48="","",T48)</f>
        <v>Источник тепловой энергии  </v>
      </c>
      <c r="AY48" s="861"/>
      <c r="AZ48" s="861"/>
    </row>
    <row s="19219" customFormat="1" customHeight="1" ht="0">
      <c r="A49" s="1709" t="s">
        <v>195</v>
      </c>
      <c r="B49" s="1709" t="s">
        <v>196</v>
      </c>
      <c r="C49" s="1709" t="s">
        <v>197</v>
      </c>
      <c r="D49" s="1709" t="s">
        <v>198</v>
      </c>
      <c r="E49" s="2528"/>
      <c r="F49" s="2528"/>
      <c r="G49" s="2528"/>
      <c r="H49" s="2528"/>
      <c r="I49" s="2529" t="str">
        <f>S48&amp;".1"</f>
        <v>....1</v>
      </c>
      <c r="J49" s="1709"/>
      <c r="K49" s="1709"/>
      <c r="L49" s="1712" t="s">
        <v>403</v>
      </c>
      <c r="M49" s="871"/>
      <c r="N49" s="871"/>
      <c r="O49" s="871"/>
      <c r="P49" s="2531">
        <v>1</v>
      </c>
      <c r="Q49" s="1697"/>
      <c r="R49" s="717"/>
      <c r="S49" s="1404"/>
      <c r="T49" s="1749"/>
      <c r="U49" s="1750"/>
      <c r="V49" s="2570"/>
      <c r="W49" s="2570"/>
      <c r="X49" s="2570"/>
      <c r="Y49" s="2570"/>
      <c r="Z49" s="2570"/>
      <c r="AA49" s="2571"/>
      <c r="AB49" s="2569"/>
      <c r="AC49" s="2570"/>
      <c r="AD49" s="2570"/>
      <c r="AE49" s="2570"/>
      <c r="AF49" s="2570"/>
      <c r="AG49" s="2570"/>
      <c r="AH49" s="2570"/>
      <c r="AI49" s="2570"/>
      <c r="AJ49" s="2570"/>
      <c r="AK49" s="2570"/>
      <c r="AL49" s="2570"/>
      <c r="AM49" s="2570"/>
      <c r="AN49" s="2570"/>
      <c r="AO49" s="2570"/>
      <c r="AP49" s="2570"/>
      <c r="AQ49" s="2570"/>
      <c r="AR49" s="2570"/>
      <c r="AS49" s="2570"/>
      <c r="AT49" s="2571"/>
      <c r="AU49" s="1751"/>
      <c r="AW49" s="861"/>
      <c r="AX49" s="861" t="str">
        <f>IF(T49="","",T49)</f>
        <v/>
      </c>
      <c r="AY49" s="861"/>
      <c r="AZ49" s="861"/>
    </row>
    <row s="19219" customFormat="1" customHeight="1" ht="0">
      <c r="A50" s="1709" t="s">
        <v>195</v>
      </c>
      <c r="B50" s="1709" t="s">
        <v>196</v>
      </c>
      <c r="C50" s="1709" t="s">
        <v>197</v>
      </c>
      <c r="D50" s="1709" t="s">
        <v>198</v>
      </c>
      <c r="E50" s="2528"/>
      <c r="F50" s="2528"/>
      <c r="G50" s="2528"/>
      <c r="H50" s="2528"/>
      <c r="I50" s="2530"/>
      <c r="J50" s="2529" t="str">
        <f>S48&amp;".1"</f>
        <v>....1</v>
      </c>
      <c r="K50" s="1709"/>
      <c r="L50" s="1712"/>
      <c r="M50" s="871"/>
      <c r="N50" s="871"/>
      <c r="O50" s="871"/>
      <c r="P50" s="2531"/>
      <c r="Q50" s="2531">
        <v>1</v>
      </c>
      <c r="R50" s="718"/>
      <c r="S50" s="1404"/>
      <c r="T50" s="1765"/>
      <c r="U50" s="1750"/>
      <c r="V50" s="2570"/>
      <c r="W50" s="2570"/>
      <c r="X50" s="2570"/>
      <c r="Y50" s="2570"/>
      <c r="Z50" s="2570"/>
      <c r="AA50" s="2571"/>
      <c r="AB50" s="2569"/>
      <c r="AC50" s="2570"/>
      <c r="AD50" s="2570"/>
      <c r="AE50" s="2570"/>
      <c r="AF50" s="2570"/>
      <c r="AG50" s="2570"/>
      <c r="AH50" s="2570"/>
      <c r="AI50" s="2570"/>
      <c r="AJ50" s="2570"/>
      <c r="AK50" s="2570"/>
      <c r="AL50" s="2570"/>
      <c r="AM50" s="2570"/>
      <c r="AN50" s="2570"/>
      <c r="AO50" s="2570"/>
      <c r="AP50" s="2570"/>
      <c r="AQ50" s="2570"/>
      <c r="AR50" s="2570"/>
      <c r="AS50" s="2570"/>
      <c r="AT50" s="2571"/>
      <c r="AU50" s="1751"/>
      <c r="AW50" s="861"/>
      <c r="AX50" s="861" t="str">
        <f>IF(T50="","",T50)</f>
        <v/>
      </c>
      <c r="AY50" s="861"/>
      <c r="AZ50" s="861"/>
    </row>
    <row customHeight="1" ht="21">
      <c r="A51" s="1729" t="s">
        <v>195</v>
      </c>
      <c r="B51" s="1729" t="s">
        <v>196</v>
      </c>
      <c r="C51" s="1729" t="s">
        <v>197</v>
      </c>
      <c r="D51" s="1729" t="s">
        <v>198</v>
      </c>
      <c r="E51" s="2528"/>
      <c r="F51" s="2528"/>
      <c r="G51" s="2528"/>
      <c r="H51" s="2528"/>
      <c r="I51" s="2530"/>
      <c r="J51" s="2530"/>
      <c r="K51" s="2529" t="str">
        <f>S48&amp;".1"</f>
        <v>....1</v>
      </c>
      <c r="L51" s="1730"/>
      <c r="P51" s="2531"/>
      <c r="Q51" s="2531"/>
      <c r="R51" s="718">
        <v>1</v>
      </c>
      <c r="S51" s="2604" t="str">
        <f>$K51</f>
        <v>....1</v>
      </c>
      <c r="T51" s="2601"/>
      <c r="U51" s="661"/>
      <c r="V51" s="1112"/>
      <c r="W51" s="1622"/>
      <c r="X51" s="2100"/>
      <c r="Y51" s="1825" t="s">
        <v>59</v>
      </c>
      <c r="Z51" s="2100"/>
      <c r="AA51" s="1825" t="s">
        <v>59</v>
      </c>
      <c r="AB51" s="2402" t="s">
        <v>54</v>
      </c>
      <c r="AC51" s="2600"/>
      <c r="AD51" s="2478">
        <v>1</v>
      </c>
      <c r="AE51" s="2592" t="s">
        <v>24</v>
      </c>
      <c r="AF51" s="2402" t="s">
        <v>54</v>
      </c>
      <c r="AG51" s="2600"/>
      <c r="AH51" s="2478">
        <v>1</v>
      </c>
      <c r="AI51" s="2592" t="s">
        <v>24</v>
      </c>
      <c r="AJ51" s="2402" t="s">
        <v>54</v>
      </c>
      <c r="AK51" s="672"/>
      <c r="AL51" s="1703">
        <v>1</v>
      </c>
      <c r="AM51" s="1768"/>
      <c r="AN51" s="1112"/>
      <c r="AO51" s="1622"/>
      <c r="AP51" s="2100"/>
      <c r="AQ51" s="1825" t="s">
        <v>59</v>
      </c>
      <c r="AR51" s="2100"/>
      <c r="AS51" s="1825" t="s">
        <v>59</v>
      </c>
      <c r="AT51" s="1714"/>
      <c r="AU51" s="2557" t="s">
        <v>478</v>
      </c>
      <c r="AV51" s="872">
        <f>STRCHECKDATE(V54:AT54)</f>
      </c>
      <c r="AW51" s="861"/>
      <c r="AX51" s="861" t="str">
        <f>IF(T51="","",T51)</f>
        <v/>
      </c>
      <c r="AY51" s="861"/>
      <c r="AZ51" s="861"/>
    </row>
    <row customHeight="1" ht="11.25">
      <c r="A52" s="1729" t="s">
        <v>195</v>
      </c>
      <c r="B52" s="1729"/>
      <c r="C52" s="1729"/>
      <c r="D52" s="1729"/>
      <c r="E52" s="2528"/>
      <c r="F52" s="2528"/>
      <c r="G52" s="2528"/>
      <c r="H52" s="2528"/>
      <c r="I52" s="2530"/>
      <c r="J52" s="2530"/>
      <c r="K52" s="2529"/>
      <c r="L52" s="1730"/>
      <c r="P52" s="2531"/>
      <c r="Q52" s="2531"/>
      <c r="R52" s="718"/>
      <c r="S52" s="2605"/>
      <c r="T52" s="2602"/>
      <c r="U52" s="661"/>
      <c r="V52" s="1759"/>
      <c r="W52" s="1862"/>
      <c r="X52" s="1759"/>
      <c r="Y52" s="1759"/>
      <c r="Z52" s="1759"/>
      <c r="AA52" s="1759"/>
      <c r="AB52" s="2402"/>
      <c r="AC52" s="2600"/>
      <c r="AD52" s="2478"/>
      <c r="AE52" s="2592"/>
      <c r="AF52" s="2402"/>
      <c r="AG52" s="2600"/>
      <c r="AH52" s="2478"/>
      <c r="AI52" s="2592"/>
      <c r="AJ52" s="2402"/>
      <c r="AK52" s="677"/>
      <c r="AL52" s="777"/>
      <c r="AM52" s="776" t="s">
        <v>462</v>
      </c>
      <c r="AN52" s="1759"/>
      <c r="AO52" s="1862"/>
      <c r="AP52" s="1759"/>
      <c r="AQ52" s="1759"/>
      <c r="AR52" s="1759"/>
      <c r="AS52" s="1759"/>
      <c r="AT52" s="1756"/>
      <c r="AU52" s="2558"/>
      <c r="AW52" s="861"/>
      <c r="AX52" s="861"/>
      <c r="AY52" s="861"/>
      <c r="AZ52" s="861"/>
    </row>
    <row customHeight="1" ht="11.25">
      <c r="A53" s="1729" t="s">
        <v>195</v>
      </c>
      <c r="B53" s="1729"/>
      <c r="C53" s="1729"/>
      <c r="D53" s="1729"/>
      <c r="E53" s="2528"/>
      <c r="F53" s="2528"/>
      <c r="G53" s="2528"/>
      <c r="H53" s="2528"/>
      <c r="I53" s="2530"/>
      <c r="J53" s="2530"/>
      <c r="K53" s="2529"/>
      <c r="L53" s="1730"/>
      <c r="P53" s="2531"/>
      <c r="Q53" s="2531"/>
      <c r="R53" s="718"/>
      <c r="S53" s="2605"/>
      <c r="T53" s="2602"/>
      <c r="U53" s="661"/>
      <c r="V53" s="1759"/>
      <c r="W53" s="1862"/>
      <c r="X53" s="1759"/>
      <c r="Y53" s="1759"/>
      <c r="Z53" s="1759"/>
      <c r="AA53" s="1759"/>
      <c r="AB53" s="2402"/>
      <c r="AC53" s="2600"/>
      <c r="AD53" s="2478"/>
      <c r="AE53" s="2592"/>
      <c r="AF53" s="2402"/>
      <c r="AG53" s="655"/>
      <c r="AH53" s="776"/>
      <c r="AI53" s="776" t="s">
        <v>463</v>
      </c>
      <c r="AJ53" s="1759"/>
      <c r="AK53" s="1759"/>
      <c r="AL53" s="1759"/>
      <c r="AM53" s="1759"/>
      <c r="AN53" s="1759"/>
      <c r="AO53" s="1862"/>
      <c r="AP53" s="1759"/>
      <c r="AQ53" s="1759"/>
      <c r="AR53" s="1759"/>
      <c r="AS53" s="1759"/>
      <c r="AT53" s="1756"/>
      <c r="AU53" s="2558"/>
      <c r="AW53" s="861"/>
      <c r="AX53" s="861"/>
      <c r="AY53" s="861"/>
      <c r="AZ53" s="861"/>
    </row>
    <row customHeight="1" ht="11.25">
      <c r="A54" s="1729" t="s">
        <v>195</v>
      </c>
      <c r="B54" s="1729" t="s">
        <v>196</v>
      </c>
      <c r="C54" s="1729" t="s">
        <v>197</v>
      </c>
      <c r="D54" s="1729" t="s">
        <v>198</v>
      </c>
      <c r="E54" s="2528"/>
      <c r="F54" s="2528"/>
      <c r="G54" s="2528"/>
      <c r="H54" s="2528"/>
      <c r="I54" s="2530"/>
      <c r="J54" s="2530"/>
      <c r="K54" s="2529"/>
      <c r="L54" s="1730"/>
      <c r="P54" s="2531"/>
      <c r="Q54" s="2531"/>
      <c r="R54" s="718"/>
      <c r="S54" s="2606"/>
      <c r="T54" s="2603"/>
      <c r="U54" s="661"/>
      <c r="V54" s="1759"/>
      <c r="W54" s="1760" t="str">
        <f>X51&amp;"-"&amp;Z51</f>
        <v>-</v>
      </c>
      <c r="X54" s="1759"/>
      <c r="Y54" s="1759"/>
      <c r="Z54" s="1759"/>
      <c r="AA54" s="1759"/>
      <c r="AB54" s="2402"/>
      <c r="AC54" s="673"/>
      <c r="AD54" s="675"/>
      <c r="AE54" s="776" t="s">
        <v>464</v>
      </c>
      <c r="AF54" s="1759"/>
      <c r="AG54" s="1759"/>
      <c r="AH54" s="1759"/>
      <c r="AI54" s="1759"/>
      <c r="AJ54" s="1759"/>
      <c r="AK54" s="1759"/>
      <c r="AL54" s="1759"/>
      <c r="AM54" s="1759"/>
      <c r="AN54" s="1759"/>
      <c r="AO54" s="1760" t="str">
        <f>AP51&amp;"-"&amp;AR51</f>
        <v>-</v>
      </c>
      <c r="AP54" s="1759"/>
      <c r="AQ54" s="1759"/>
      <c r="AR54" s="1759"/>
      <c r="AS54" s="1759"/>
      <c r="AT54" s="1715"/>
      <c r="AU54" s="2558"/>
      <c r="AW54" s="861"/>
      <c r="AX54" s="861" t="str">
        <f>IF(T54="","",T54)</f>
        <v/>
      </c>
      <c r="AY54" s="861"/>
      <c r="AZ54" s="861"/>
    </row>
    <row customHeight="1" ht="11.25">
      <c r="A55" s="1729" t="s">
        <v>195</v>
      </c>
      <c r="B55" s="1729" t="s">
        <v>196</v>
      </c>
      <c r="C55" s="1729" t="s">
        <v>197</v>
      </c>
      <c r="D55" s="1729" t="s">
        <v>198</v>
      </c>
      <c r="E55" s="2528"/>
      <c r="F55" s="2528"/>
      <c r="G55" s="2528"/>
      <c r="H55" s="2528"/>
      <c r="I55" s="2530"/>
      <c r="J55" s="2529"/>
      <c r="K55" s="1729"/>
      <c r="L55" s="1730"/>
      <c r="P55" s="2531"/>
      <c r="Q55" s="2531"/>
      <c r="R55" s="717"/>
      <c r="S55" s="1644"/>
      <c r="T55" s="648" t="s">
        <v>465</v>
      </c>
      <c r="U55" s="728"/>
      <c r="V55" s="728"/>
      <c r="W55" s="728"/>
      <c r="X55" s="728"/>
      <c r="Y55" s="728"/>
      <c r="Z55" s="728"/>
      <c r="AA55" s="685"/>
      <c r="AB55" s="1871"/>
      <c r="AC55" s="728"/>
      <c r="AD55" s="728"/>
      <c r="AE55" s="728"/>
      <c r="AF55" s="728"/>
      <c r="AG55" s="728"/>
      <c r="AH55" s="728"/>
      <c r="AI55" s="728"/>
      <c r="AJ55" s="728"/>
      <c r="AK55" s="728"/>
      <c r="AL55" s="728"/>
      <c r="AM55" s="728"/>
      <c r="AN55" s="728"/>
      <c r="AO55" s="728"/>
      <c r="AP55" s="728"/>
      <c r="AQ55" s="728"/>
      <c r="AR55" s="728"/>
      <c r="AS55" s="728"/>
      <c r="AT55" s="685"/>
      <c r="AU55" s="2559"/>
      <c r="AW55" s="861"/>
      <c r="AX55" s="861" t="str">
        <f>IF(T55="","",T55)</f>
        <v>Добавить строку</v>
      </c>
      <c r="AY55" s="861"/>
      <c r="AZ55" s="861"/>
    </row>
    <row s="19219" customFormat="1" customHeight="1" ht="5.25">
      <c r="A56" s="1709" t="s">
        <v>195</v>
      </c>
      <c r="B56" s="1709" t="s">
        <v>196</v>
      </c>
      <c r="C56" s="1709" t="s">
        <v>197</v>
      </c>
      <c r="D56" s="1709" t="s">
        <v>198</v>
      </c>
      <c r="E56" s="2528"/>
      <c r="F56" s="2528"/>
      <c r="G56" s="2528"/>
      <c r="H56" s="2528"/>
      <c r="I56" s="2529"/>
      <c r="J56" s="1709"/>
      <c r="K56" s="1709"/>
      <c r="L56" s="1712"/>
      <c r="M56" s="871"/>
      <c r="N56" s="871"/>
      <c r="O56" s="871"/>
      <c r="P56" s="2531"/>
      <c r="Q56" s="1697"/>
      <c r="R56" s="717"/>
      <c r="S56" s="1752"/>
      <c r="T56" s="1753" t="s">
        <v>412</v>
      </c>
      <c r="U56" s="1754"/>
      <c r="V56" s="1754"/>
      <c r="W56" s="1754"/>
      <c r="X56" s="1754"/>
      <c r="Y56" s="1754"/>
      <c r="Z56" s="1754"/>
      <c r="AA56" s="1754"/>
      <c r="AB56" s="1754"/>
      <c r="AC56" s="1754"/>
      <c r="AD56" s="1754"/>
      <c r="AE56" s="1754"/>
      <c r="AF56" s="1754"/>
      <c r="AG56" s="1754"/>
      <c r="AH56" s="1754"/>
      <c r="AI56" s="1754"/>
      <c r="AJ56" s="1754"/>
      <c r="AK56" s="1754"/>
      <c r="AL56" s="1754"/>
      <c r="AM56" s="1754"/>
      <c r="AN56" s="1754"/>
      <c r="AO56" s="1754"/>
      <c r="AP56" s="1754"/>
      <c r="AQ56" s="1754"/>
      <c r="AR56" s="1754"/>
      <c r="AS56" s="1754"/>
      <c r="AT56" s="1754"/>
      <c r="AU56" s="1755"/>
      <c r="AW56" s="861"/>
      <c r="AX56" s="861" t="str">
        <f>IF(T56="","",T56)</f>
        <v>Добавить группу потребителей</v>
      </c>
      <c r="AY56" s="861"/>
      <c r="AZ56" s="861"/>
    </row>
    <row s="18977" customFormat="1" customHeight="1" ht="5.25">
      <c r="A57" s="1709" t="s">
        <v>195</v>
      </c>
      <c r="B57" s="1709" t="s">
        <v>196</v>
      </c>
      <c r="C57" s="1709" t="s">
        <v>197</v>
      </c>
      <c r="D57" s="1709" t="s">
        <v>198</v>
      </c>
      <c r="E57" s="2528"/>
      <c r="F57" s="2528"/>
      <c r="G57" s="2528"/>
      <c r="H57" s="2527"/>
      <c r="I57" s="1709"/>
      <c r="J57" s="1709"/>
      <c r="K57" s="1709"/>
      <c r="L57" s="1712"/>
      <c r="M57" s="1681"/>
      <c r="N57" s="1681"/>
      <c r="O57" s="879"/>
      <c r="P57" s="741"/>
      <c r="Q57" s="1710"/>
      <c r="R57" s="1766"/>
      <c r="S57" s="1752"/>
      <c r="T57" s="1753"/>
      <c r="U57" s="1754"/>
      <c r="V57" s="1754"/>
      <c r="W57" s="1754"/>
      <c r="X57" s="1754"/>
      <c r="Y57" s="1754"/>
      <c r="Z57" s="1754"/>
      <c r="AA57" s="1754"/>
      <c r="AB57" s="1754"/>
      <c r="AC57" s="1754"/>
      <c r="AD57" s="1754"/>
      <c r="AE57" s="1754"/>
      <c r="AF57" s="1754"/>
      <c r="AG57" s="1754"/>
      <c r="AH57" s="1754"/>
      <c r="AI57" s="1754"/>
      <c r="AJ57" s="1754"/>
      <c r="AK57" s="1754"/>
      <c r="AL57" s="1754"/>
      <c r="AM57" s="1754"/>
      <c r="AN57" s="1754"/>
      <c r="AO57" s="1754"/>
      <c r="AP57" s="1754"/>
      <c r="AQ57" s="1754"/>
      <c r="AR57" s="1754"/>
      <c r="AS57" s="1754"/>
      <c r="AT57" s="1754"/>
      <c r="AU57" s="1755"/>
      <c r="AV57" s="872"/>
      <c r="AW57" s="861"/>
      <c r="AX57" s="861" t="str">
        <f>IF(T57="","",T57)</f>
        <v/>
      </c>
      <c r="AY57" s="861"/>
      <c r="AZ57" s="861"/>
    </row>
    <row s="19127" customFormat="1" customHeight="1" ht="5.25">
      <c r="A58" s="1709" t="s">
        <v>195</v>
      </c>
      <c r="B58" s="1709" t="s">
        <v>196</v>
      </c>
      <c r="C58" s="1709" t="s">
        <v>197</v>
      </c>
      <c r="D58" s="1680"/>
      <c r="E58" s="2528"/>
      <c r="F58" s="2528"/>
      <c r="G58" s="2527"/>
      <c r="H58" s="1680"/>
      <c r="I58" s="1680"/>
      <c r="J58" s="1680"/>
      <c r="K58" s="1680"/>
      <c r="L58" s="1705"/>
      <c r="M58" s="1681"/>
      <c r="N58" s="1681"/>
      <c r="P58" s="1682"/>
      <c r="Q58" s="1683"/>
      <c r="R58" s="1682"/>
      <c r="S58" s="1688"/>
      <c r="T58" s="1691" t="s">
        <v>414</v>
      </c>
      <c r="U58" s="1690"/>
      <c r="V58" s="1690"/>
      <c r="W58" s="1690"/>
      <c r="X58" s="1690"/>
      <c r="Y58" s="1690"/>
      <c r="Z58" s="1690"/>
      <c r="AA58" s="1690"/>
      <c r="AB58" s="1690"/>
      <c r="AC58" s="1690"/>
      <c r="AD58" s="1690"/>
      <c r="AE58" s="1690"/>
      <c r="AF58" s="1690"/>
      <c r="AG58" s="1690"/>
      <c r="AH58" s="1690"/>
      <c r="AI58" s="1690"/>
      <c r="AJ58" s="1690"/>
      <c r="AK58" s="1690"/>
      <c r="AL58" s="1690"/>
      <c r="AM58" s="1690"/>
      <c r="AN58" s="1690"/>
      <c r="AO58" s="1690"/>
      <c r="AP58" s="1690"/>
      <c r="AQ58" s="1690"/>
      <c r="AR58" s="1690"/>
      <c r="AS58" s="1690"/>
      <c r="AT58" s="1690"/>
      <c r="AU58" s="1690"/>
      <c r="AW58" s="1150"/>
      <c r="AX58" s="1150" t="str">
        <f>IF(T58="","",T58)</f>
        <v>Добавить источник для дифференциации</v>
      </c>
      <c r="AY58" s="1150"/>
      <c r="AZ58" s="1150"/>
    </row>
    <row s="19127" customFormat="1" customHeight="1" ht="5.25">
      <c r="A59" s="1709" t="s">
        <v>195</v>
      </c>
      <c r="B59" s="1709" t="s">
        <v>196</v>
      </c>
      <c r="C59" s="1680"/>
      <c r="D59" s="1680"/>
      <c r="E59" s="2528"/>
      <c r="F59" s="2527"/>
      <c r="G59" s="1680"/>
      <c r="H59" s="1680"/>
      <c r="I59" s="1680"/>
      <c r="J59" s="1680"/>
      <c r="K59" s="1680"/>
      <c r="L59" s="1705"/>
      <c r="M59" s="1687"/>
      <c r="N59" s="1687"/>
      <c r="P59" s="1682"/>
      <c r="Q59" s="1683"/>
      <c r="R59" s="1682"/>
      <c r="S59" s="1688"/>
      <c r="T59" s="1691" t="s">
        <v>251</v>
      </c>
      <c r="U59" s="1690"/>
      <c r="V59" s="1690"/>
      <c r="W59" s="1690"/>
      <c r="X59" s="1690"/>
      <c r="Y59" s="1690"/>
      <c r="Z59" s="1690"/>
      <c r="AA59" s="1690"/>
      <c r="AB59" s="1690"/>
      <c r="AC59" s="1690"/>
      <c r="AD59" s="1690"/>
      <c r="AE59" s="1690"/>
      <c r="AF59" s="1690"/>
      <c r="AG59" s="1690"/>
      <c r="AH59" s="1690"/>
      <c r="AI59" s="1690"/>
      <c r="AJ59" s="1690"/>
      <c r="AK59" s="1690"/>
      <c r="AL59" s="1690"/>
      <c r="AM59" s="1690"/>
      <c r="AN59" s="1690"/>
      <c r="AO59" s="1690"/>
      <c r="AP59" s="1690"/>
      <c r="AQ59" s="1690"/>
      <c r="AR59" s="1690"/>
      <c r="AS59" s="1690"/>
      <c r="AT59" s="1690"/>
      <c r="AU59" s="1690"/>
      <c r="AW59" s="1150"/>
      <c r="AX59" s="1150" t="str">
        <f>IF(T59="","",T59)</f>
        <v>Добавить централизованную систему для дифференциации</v>
      </c>
      <c r="AY59" s="1150"/>
      <c r="AZ59" s="1150"/>
    </row>
    <row s="19219" customFormat="1" customHeight="1" ht="5.25">
      <c r="A60" s="1709" t="s">
        <v>195</v>
      </c>
      <c r="B60" s="1709"/>
      <c r="C60" s="1709"/>
      <c r="D60" s="1709"/>
      <c r="E60" s="2528"/>
      <c r="F60" s="1709"/>
      <c r="G60" s="1709"/>
      <c r="H60" s="1709"/>
      <c r="I60" s="1709"/>
      <c r="J60" s="1709"/>
      <c r="K60" s="1709"/>
      <c r="L60" s="1712"/>
      <c r="M60" s="1687"/>
      <c r="N60" s="1687"/>
      <c r="O60" s="879"/>
      <c r="P60" s="741"/>
      <c r="Q60" s="1710"/>
      <c r="R60" s="741"/>
      <c r="S60" s="1688"/>
      <c r="T60" s="1691" t="s">
        <v>252</v>
      </c>
      <c r="U60" s="1690"/>
      <c r="V60" s="1690"/>
      <c r="W60" s="1690"/>
      <c r="X60" s="1690"/>
      <c r="Y60" s="1690"/>
      <c r="Z60" s="1690"/>
      <c r="AA60" s="1690"/>
      <c r="AB60" s="1690"/>
      <c r="AC60" s="1690"/>
      <c r="AD60" s="1690"/>
      <c r="AE60" s="1690"/>
      <c r="AF60" s="1690"/>
      <c r="AG60" s="1690"/>
      <c r="AH60" s="1690"/>
      <c r="AI60" s="1690"/>
      <c r="AJ60" s="1690"/>
      <c r="AK60" s="1690"/>
      <c r="AL60" s="1690"/>
      <c r="AM60" s="1690"/>
      <c r="AN60" s="1690"/>
      <c r="AO60" s="1690"/>
      <c r="AP60" s="1690"/>
      <c r="AQ60" s="1690"/>
      <c r="AR60" s="1690"/>
      <c r="AS60" s="1690"/>
      <c r="AT60" s="1690"/>
      <c r="AU60" s="1690"/>
      <c r="AW60" s="861"/>
      <c r="AX60" s="861" t="str">
        <f>IF(T60="","",T60)</f>
        <v>Добавить территорию для дифференциации</v>
      </c>
      <c r="AY60" s="861"/>
      <c r="AZ60" s="861"/>
    </row>
    <row s="19219" customFormat="1" customHeight="1" ht="5.25">
      <c r="A61" s="1709" t="s">
        <v>195</v>
      </c>
      <c r="B61" s="1709"/>
      <c r="C61" s="1709"/>
      <c r="D61" s="1709"/>
      <c r="E61" s="2527"/>
      <c r="F61" s="1709"/>
      <c r="G61" s="1709"/>
      <c r="H61" s="1709"/>
      <c r="I61" s="1709"/>
      <c r="J61" s="1709"/>
      <c r="K61" s="1709"/>
      <c r="L61" s="1712"/>
      <c r="M61" s="1687"/>
      <c r="N61" s="1687"/>
      <c r="O61" s="879"/>
      <c r="P61" s="741"/>
      <c r="Q61" s="1710"/>
      <c r="R61" s="741"/>
      <c r="S61" s="1688"/>
      <c r="T61" s="1691" t="s">
        <v>252</v>
      </c>
      <c r="U61" s="1690"/>
      <c r="V61" s="1690"/>
      <c r="W61" s="1690"/>
      <c r="X61" s="1690"/>
      <c r="Y61" s="1690"/>
      <c r="Z61" s="1690"/>
      <c r="AA61" s="1690"/>
      <c r="AB61" s="1690"/>
      <c r="AC61" s="1690"/>
      <c r="AD61" s="1690"/>
      <c r="AE61" s="1690"/>
      <c r="AF61" s="1690"/>
      <c r="AG61" s="1690"/>
      <c r="AH61" s="1690"/>
      <c r="AI61" s="1690"/>
      <c r="AJ61" s="1690"/>
      <c r="AK61" s="1690"/>
      <c r="AL61" s="1690"/>
      <c r="AM61" s="1690"/>
      <c r="AN61" s="1690"/>
      <c r="AO61" s="1690"/>
      <c r="AP61" s="1690"/>
      <c r="AQ61" s="1690"/>
      <c r="AR61" s="1690"/>
      <c r="AS61" s="1690"/>
      <c r="AT61" s="1690"/>
      <c r="AU61" s="1690"/>
      <c r="AW61" s="861"/>
      <c r="AX61" s="861" t="str">
        <f>IF(T61="","",T61)</f>
        <v>Добавить территорию для дифференциации</v>
      </c>
      <c r="AY61" s="861"/>
      <c r="AZ61" s="861"/>
    </row>
    <row s="19127" customFormat="1" customHeight="1" ht="5.25">
      <c r="A62" s="1680"/>
      <c r="B62" s="1680"/>
      <c r="C62" s="1680"/>
      <c r="D62" s="1680"/>
      <c r="E62" s="1709"/>
      <c r="F62" s="1680"/>
      <c r="G62" s="1680"/>
      <c r="H62" s="1680"/>
      <c r="I62" s="1680"/>
      <c r="J62" s="1680"/>
      <c r="K62" s="1680"/>
      <c r="L62" s="1705"/>
      <c r="M62" s="1687"/>
      <c r="N62" s="1687"/>
      <c r="P62" s="1682"/>
      <c r="Q62" s="1683"/>
      <c r="R62" s="1682"/>
      <c r="S62" s="1688"/>
      <c r="T62" s="1691" t="s">
        <v>253</v>
      </c>
      <c r="U62" s="1690"/>
      <c r="V62" s="1690"/>
      <c r="W62" s="1690"/>
      <c r="X62" s="1690"/>
      <c r="Y62" s="1690"/>
      <c r="Z62" s="1690"/>
      <c r="AA62" s="1690"/>
      <c r="AB62" s="1690"/>
      <c r="AC62" s="1690"/>
      <c r="AD62" s="1690"/>
      <c r="AE62" s="1690"/>
      <c r="AF62" s="1690"/>
      <c r="AG62" s="1690"/>
      <c r="AH62" s="1690"/>
      <c r="AI62" s="1690"/>
      <c r="AJ62" s="1690"/>
      <c r="AK62" s="1690"/>
      <c r="AL62" s="1690"/>
      <c r="AM62" s="1690"/>
      <c r="AN62" s="1690"/>
      <c r="AO62" s="1690"/>
      <c r="AP62" s="1690"/>
      <c r="AQ62" s="1690"/>
      <c r="AR62" s="1690"/>
      <c r="AS62" s="1690"/>
      <c r="AT62" s="1690"/>
      <c r="AU62" s="1690"/>
      <c r="AW62" s="1150"/>
      <c r="AX62" s="1150" t="str">
        <f>IF(T62="","",T62)</f>
        <v>Добавить наименование тарифа</v>
      </c>
      <c r="AY62" s="1150"/>
      <c r="AZ62" s="1150"/>
    </row>
    <row customHeight="1" ht="11.25">
      <c r="M63" s="1523"/>
      <c r="N63" s="1523"/>
      <c r="O63" s="898"/>
      <c r="P63" s="1523"/>
      <c r="Q63" s="1523"/>
      <c r="R63" s="1518"/>
      <c r="S63" s="1518"/>
      <c r="AV63" s="1518"/>
      <c r="AW63" s="1518"/>
      <c r="AX63" s="1518"/>
      <c r="AY63" s="1518"/>
      <c r="AZ63" s="1518"/>
    </row>
    <row customHeight="1" ht="18.75">
      <c r="O64" s="898"/>
      <c r="S64" s="1618"/>
      <c r="T64" s="2526"/>
      <c r="U64" s="2526"/>
      <c r="V64" s="2526"/>
      <c r="W64" s="2526"/>
      <c r="X64" s="2526"/>
      <c r="Y64" s="2526"/>
      <c r="Z64" s="2526"/>
      <c r="AA64" s="2526"/>
      <c r="AB64" s="2526"/>
      <c r="AC64" s="2526"/>
      <c r="AD64" s="2526"/>
      <c r="AE64" s="2526"/>
      <c r="AF64" s="2526"/>
      <c r="AG64" s="2526"/>
      <c r="AH64" s="2526"/>
      <c r="AI64" s="2526"/>
      <c r="AJ64" s="2526"/>
      <c r="AK64" s="2526"/>
      <c r="AL64" s="2526"/>
      <c r="AM64" s="2526"/>
      <c r="AN64" s="2526"/>
      <c r="AO64" s="2526"/>
      <c r="AP64" s="2526"/>
      <c r="AQ64" s="2526"/>
      <c r="AR64" s="2526"/>
      <c r="AS64" s="2526"/>
      <c r="AT64" s="2526"/>
      <c r="AU64" s="2526"/>
    </row>
    <row customHeight="1" ht="19.5">
      <c r="O65" s="898"/>
      <c r="T65" s="2526"/>
      <c r="U65" s="2526"/>
      <c r="V65" s="2526"/>
      <c r="W65" s="2526"/>
      <c r="X65" s="2526"/>
      <c r="Y65" s="2526"/>
      <c r="Z65" s="2526"/>
      <c r="AA65" s="2526"/>
      <c r="AB65" s="2526"/>
      <c r="AC65" s="2526"/>
      <c r="AD65" s="2526"/>
      <c r="AE65" s="2526"/>
      <c r="AF65" s="2526"/>
      <c r="AG65" s="2526"/>
      <c r="AH65" s="2526"/>
      <c r="AI65" s="2526"/>
      <c r="AJ65" s="2526"/>
      <c r="AK65" s="2526"/>
      <c r="AL65" s="2526"/>
      <c r="AM65" s="2526"/>
      <c r="AN65" s="2526"/>
      <c r="AO65" s="2526"/>
      <c r="AP65" s="2526"/>
      <c r="AQ65" s="2526"/>
      <c r="AR65" s="2526"/>
      <c r="AS65" s="2526"/>
      <c r="AT65" s="2526"/>
      <c r="AU65" s="2526"/>
    </row>
    <row customHeight="1" ht="14.25">
      <c r="O66" s="898"/>
      <c r="T66" s="1699"/>
      <c r="U66" s="1699"/>
      <c r="V66" s="1699"/>
      <c r="W66" s="1699"/>
      <c r="X66" s="1699"/>
      <c r="Y66" s="1699"/>
      <c r="Z66" s="1699"/>
      <c r="AA66" s="1699"/>
      <c r="AB66" s="1699"/>
      <c r="AC66" s="1699"/>
      <c r="AD66" s="1699"/>
      <c r="AE66" s="1699"/>
      <c r="AF66" s="1699"/>
      <c r="AG66" s="1699"/>
      <c r="AH66" s="1699"/>
      <c r="AI66" s="1699"/>
      <c r="AJ66" s="1699"/>
      <c r="AK66" s="1699"/>
      <c r="AL66" s="1699"/>
      <c r="AM66" s="1699"/>
      <c r="AN66" s="1699"/>
      <c r="AO66" s="1699"/>
      <c r="AP66" s="1699"/>
      <c r="AQ66" s="1699"/>
      <c r="AR66" s="1699"/>
      <c r="AS66" s="1699"/>
      <c r="AT66" s="1699"/>
      <c r="AU66" s="1699"/>
    </row>
    <row customHeight="1" ht="18.75">
      <c r="O67" s="898"/>
      <c r="T67" s="2526"/>
      <c r="U67" s="2526"/>
      <c r="V67" s="2526"/>
      <c r="W67" s="2526"/>
      <c r="X67" s="2526"/>
      <c r="Y67" s="2526"/>
      <c r="Z67" s="2526"/>
      <c r="AA67" s="2526"/>
      <c r="AB67" s="2526"/>
      <c r="AC67" s="2526"/>
      <c r="AD67" s="2526"/>
      <c r="AE67" s="2526"/>
      <c r="AF67" s="2526"/>
      <c r="AG67" s="2526"/>
      <c r="AH67" s="2526"/>
      <c r="AI67" s="2526"/>
      <c r="AJ67" s="2526"/>
      <c r="AK67" s="2526"/>
      <c r="AL67" s="2526"/>
      <c r="AM67" s="2526"/>
      <c r="AN67" s="2526"/>
      <c r="AO67" s="2526"/>
      <c r="AP67" s="2526"/>
      <c r="AQ67" s="2526"/>
      <c r="AR67" s="2526"/>
      <c r="AS67" s="2526"/>
      <c r="AT67" s="2526"/>
      <c r="AU67" s="2526"/>
    </row>
    <row customHeight="1" ht="15.75">
      <c r="O68" s="898"/>
      <c r="T68" s="2526"/>
      <c r="U68" s="2526"/>
      <c r="V68" s="2526"/>
      <c r="W68" s="2526"/>
      <c r="X68" s="2526"/>
      <c r="Y68" s="2526"/>
      <c r="Z68" s="2526"/>
      <c r="AA68" s="2526"/>
      <c r="AB68" s="2526"/>
      <c r="AC68" s="2526"/>
      <c r="AD68" s="2526"/>
      <c r="AE68" s="2526"/>
      <c r="AF68" s="2526"/>
      <c r="AG68" s="2526"/>
      <c r="AH68" s="2526"/>
      <c r="AI68" s="2526"/>
      <c r="AJ68" s="2526"/>
      <c r="AK68" s="2526"/>
      <c r="AL68" s="2526"/>
      <c r="AM68" s="2526"/>
      <c r="AN68" s="2526"/>
      <c r="AO68" s="2526"/>
      <c r="AP68" s="2526"/>
      <c r="AQ68" s="2526"/>
      <c r="AR68" s="2526"/>
      <c r="AS68" s="2526"/>
      <c r="AT68" s="2526"/>
      <c r="AU68" s="2526"/>
    </row>
    <row customHeight="1" ht="14.25">
      <c r="O69" s="898"/>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3134A1-8A9F-0C68-52F7-B5267D0FF097}"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9146" width="10.57421875" hidden="1"/>
    <col min="2" max="2" style="19146" width="11.00390625" hidden="1" customWidth="1"/>
    <col min="3" max="3" style="19146" width="10.57421875" hidden="1"/>
    <col min="4" max="4" style="19146" width="11.8515625" hidden="1" customWidth="1"/>
    <col min="5" max="5" style="19146" width="10.00390625" hidden="1" customWidth="1"/>
    <col min="6" max="6" style="19146" width="8.7109375" hidden="1" customWidth="1"/>
    <col min="7" max="7" style="19146" width="7.57421875" hidden="1" customWidth="1"/>
    <col min="8" max="8" style="19146" width="11.421875" hidden="1" customWidth="1"/>
    <col min="9" max="9" style="19146" width="14.140625" hidden="1" customWidth="1"/>
    <col min="10" max="10" style="19146" width="9.8515625" hidden="1" customWidth="1"/>
    <col min="11" max="11" style="19146" width="14.7109375" hidden="1" customWidth="1"/>
    <col min="12" max="12" style="19429" width="19.140625" hidden="1" customWidth="1"/>
    <col min="13" max="14" style="19228" width="12.28125" hidden="1" customWidth="1"/>
    <col min="15" max="15" style="19228" width="23.421875" hidden="1" customWidth="1"/>
    <col min="16" max="16" style="19430" width="3.7109375" customWidth="1"/>
    <col min="17" max="18" style="19230" width="3.7109375" customWidth="1"/>
    <col min="19" max="19" style="19231" width="12.7109375" customWidth="1"/>
    <col min="20" max="20" style="19232" width="35.7109375" customWidth="1"/>
    <col min="21" max="21" style="19232" width="0.140625" customWidth="1"/>
    <col min="22" max="24" style="19232" width="24.7109375" hidden="1" customWidth="1"/>
    <col min="25" max="25" style="19232" width="11.7109375" hidden="1" customWidth="1"/>
    <col min="26" max="26" style="19232" width="3.7109375" hidden="1" customWidth="1"/>
    <col min="27" max="27" style="19232" width="11.7109375" hidden="1" customWidth="1"/>
    <col min="28" max="28" style="19232" width="8.57421875" hidden="1" customWidth="1"/>
    <col min="29" max="31" style="19232" width="24.7109375" customWidth="1"/>
    <col min="32" max="32" style="19232" width="11.7109375" customWidth="1"/>
    <col min="33" max="33" style="19232" width="3.7109375" customWidth="1"/>
    <col min="34" max="34" style="19232" width="11.7109375" customWidth="1"/>
    <col min="35" max="35" style="19232" width="8.57421875" hidden="1" customWidth="1"/>
    <col min="36" max="36" style="19232" width="4.7109375" customWidth="1"/>
    <col min="37" max="37" style="19232" width="115.7109375" customWidth="1"/>
    <col min="38" max="39" style="19219" width="10.57421875"/>
    <col min="40" max="40" style="19219" width="11.140625" customWidth="1"/>
    <col min="41" max="42" style="19219" width="10.57421875"/>
  </cols>
  <sheetData>
    <row customHeight="1" ht="14.25" hidden="1">
      <c r="X1" s="688"/>
      <c r="Y1" s="688"/>
      <c r="AE1" s="688"/>
      <c r="AF1" s="688"/>
    </row>
    <row customHeight="1" ht="23.25" hidden="1">
      <c r="A2" s="1729"/>
      <c r="B2" s="1729"/>
      <c r="C2" s="1729"/>
      <c r="D2" s="1729"/>
      <c r="E2" s="2527">
        <v>1</v>
      </c>
      <c r="F2" s="1729"/>
      <c r="G2" s="1729"/>
      <c r="H2" s="1729"/>
      <c r="I2" s="1729"/>
      <c r="J2" s="1729"/>
      <c r="K2" s="1729"/>
      <c r="L2" s="1730"/>
      <c r="M2" s="1731"/>
      <c r="N2" s="1731"/>
      <c r="O2" s="1731"/>
      <c r="P2" s="722"/>
      <c r="Q2" s="721"/>
      <c r="R2" s="716"/>
      <c r="S2" s="1791">
        <f>INDEX(PT_DIFFERENTIATION_NUM_NTAR,MATCH(A2,PT_DIFFERENTIATION_NTAR_ID,0))</f>
      </c>
      <c r="T2" s="659" t="s">
        <v>120</v>
      </c>
      <c r="U2" s="661"/>
      <c r="V2" s="2521"/>
      <c r="W2" s="2522"/>
      <c r="X2" s="2522"/>
      <c r="Y2" s="2522"/>
      <c r="Z2" s="2522"/>
      <c r="AA2" s="2522"/>
      <c r="AB2" s="2523"/>
      <c r="AC2" s="2521">
        <f>INDEX(PT_DIFFERENTIATION_NTAR,MATCH(A2,PT_DIFFERENTIATION_NTAR_ID,0))</f>
      </c>
      <c r="AD2" s="2522"/>
      <c r="AE2" s="2522"/>
      <c r="AF2" s="2522"/>
      <c r="AG2" s="2522"/>
      <c r="AH2" s="2522"/>
      <c r="AI2" s="2522"/>
      <c r="AJ2" s="2523"/>
      <c r="AK2" s="16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861"/>
      <c r="AN2" s="861" t="str">
        <f>IF(T2="","",T2)</f>
        <v>Наименование тарифа</v>
      </c>
      <c r="AO2" s="861"/>
      <c r="AP2" s="861"/>
    </row>
    <row customHeight="1" ht="23.25" hidden="1">
      <c r="A3" s="1729"/>
      <c r="B3" s="1729"/>
      <c r="C3" s="1729"/>
      <c r="D3" s="1729"/>
      <c r="E3" s="2528"/>
      <c r="F3" s="2527">
        <v>1</v>
      </c>
      <c r="G3" s="1729"/>
      <c r="H3" s="1729"/>
      <c r="I3" s="1729"/>
      <c r="J3" s="1729"/>
      <c r="K3" s="1729"/>
      <c r="L3" s="1730"/>
      <c r="M3" s="1731"/>
      <c r="N3" s="1731"/>
      <c r="O3" s="1731"/>
      <c r="P3" s="1789"/>
      <c r="Q3" s="713"/>
      <c r="R3" s="714"/>
      <c r="S3" s="1791">
        <f>INDEX(PT_DIFFERENTIATION_NUM_TER,MATCH(B3,PT_DIFFERENTIATION_TER_ID,0))</f>
      </c>
      <c r="T3" s="669" t="s">
        <v>397</v>
      </c>
      <c r="U3" s="661"/>
      <c r="V3" s="2521"/>
      <c r="W3" s="2522"/>
      <c r="X3" s="2522"/>
      <c r="Y3" s="2522"/>
      <c r="Z3" s="2522"/>
      <c r="AA3" s="2522"/>
      <c r="AB3" s="2523"/>
      <c r="AC3" s="2521">
        <f>INDEX(PT_DIFFERENTIATION_TER,MATCH(B3,PT_DIFFERENTIATION_TER_ID,0))</f>
      </c>
      <c r="AD3" s="2522"/>
      <c r="AE3" s="2522"/>
      <c r="AF3" s="2522"/>
      <c r="AG3" s="2522"/>
      <c r="AH3" s="2522"/>
      <c r="AI3" s="2522"/>
      <c r="AJ3" s="2523"/>
      <c r="AK3" s="1623" t="s">
        <v>398</v>
      </c>
      <c r="AM3" s="861"/>
      <c r="AN3" s="861" t="str">
        <f>IF(T3="","",T3)</f>
        <v>Территория действия тарифа</v>
      </c>
      <c r="AO3" s="861"/>
      <c r="AP3" s="861"/>
    </row>
    <row customHeight="1" ht="23.25" hidden="1">
      <c r="A4" s="1729"/>
      <c r="B4" s="1729"/>
      <c r="C4" s="1729"/>
      <c r="D4" s="1729"/>
      <c r="E4" s="2528"/>
      <c r="F4" s="2528"/>
      <c r="G4" s="2527">
        <v>1</v>
      </c>
      <c r="H4" s="1729"/>
      <c r="I4" s="1729"/>
      <c r="J4" s="1729"/>
      <c r="K4" s="1729"/>
      <c r="L4" s="1730"/>
      <c r="M4" s="1731"/>
      <c r="N4" s="1731"/>
      <c r="O4" s="1731"/>
      <c r="P4" s="715"/>
      <c r="Q4" s="713"/>
      <c r="R4" s="714"/>
      <c r="S4" s="1791">
        <f>INDEX(PT_DIFFERENTIATION_NUM_CS,MATCH(C4,PT_DIFFERENTIATION_CS_ID,0))</f>
      </c>
      <c r="T4" s="670" t="s">
        <v>479</v>
      </c>
      <c r="U4" s="661"/>
      <c r="V4" s="2521"/>
      <c r="W4" s="2522"/>
      <c r="X4" s="2522"/>
      <c r="Y4" s="2522"/>
      <c r="Z4" s="2522"/>
      <c r="AA4" s="2522"/>
      <c r="AB4" s="2523"/>
      <c r="AC4" s="2521">
        <f>INDEX(PT_DIFFERENTIATION_CS,MATCH(C4,PT_DIFFERENTIATION_CS_ID,0))</f>
      </c>
      <c r="AD4" s="2522"/>
      <c r="AE4" s="2522"/>
      <c r="AF4" s="2522"/>
      <c r="AG4" s="2522"/>
      <c r="AH4" s="2522"/>
      <c r="AI4" s="2522"/>
      <c r="AJ4" s="2523"/>
      <c r="AK4" s="1623" t="s">
        <v>480</v>
      </c>
      <c r="AM4" s="861"/>
      <c r="AN4" s="861" t="str">
        <f>IF(T4="","",T4)</f>
        <v>Наименование централизованной системы холодного водоснабжения</v>
      </c>
      <c r="AO4" s="861"/>
      <c r="AP4" s="861"/>
    </row>
    <row customHeight="1" ht="23.25" hidden="1">
      <c r="A5" s="1729"/>
      <c r="B5" s="1729"/>
      <c r="C5" s="1729"/>
      <c r="D5" s="1729"/>
      <c r="E5" s="2528"/>
      <c r="F5" s="2528"/>
      <c r="G5" s="2528"/>
      <c r="H5" s="2528"/>
      <c r="I5" s="2529">
        <f>S4&amp;".1"</f>
      </c>
      <c r="J5" s="1729"/>
      <c r="K5" s="1729"/>
      <c r="L5" s="1730"/>
      <c r="P5" s="2531">
        <v>1</v>
      </c>
      <c r="Q5" s="1788"/>
      <c r="R5" s="717"/>
      <c r="S5" s="1791">
        <f>$I5</f>
      </c>
      <c r="T5" s="646" t="s">
        <v>481</v>
      </c>
      <c r="U5" s="661"/>
      <c r="V5" s="2614"/>
      <c r="W5" s="2615"/>
      <c r="X5" s="2615"/>
      <c r="Y5" s="2615"/>
      <c r="Z5" s="2615"/>
      <c r="AA5" s="2615"/>
      <c r="AB5" s="2616"/>
      <c r="AC5" s="2617"/>
      <c r="AD5" s="2618"/>
      <c r="AE5" s="2618"/>
      <c r="AF5" s="2618"/>
      <c r="AG5" s="2618"/>
      <c r="AH5" s="2618"/>
      <c r="AI5" s="2618"/>
      <c r="AJ5" s="2619"/>
      <c r="AK5" s="1623" t="s">
        <v>482</v>
      </c>
      <c r="AM5" s="861"/>
      <c r="AN5" s="861" t="str">
        <f>IF(T5="","",T5)</f>
        <v>Наименование признака дифференциации</v>
      </c>
      <c r="AO5" s="861"/>
      <c r="AP5" s="861"/>
    </row>
    <row customHeight="1" ht="23.25" hidden="1">
      <c r="A6" s="1729"/>
      <c r="B6" s="1729"/>
      <c r="C6" s="1729"/>
      <c r="D6" s="1729"/>
      <c r="E6" s="2528"/>
      <c r="F6" s="2528"/>
      <c r="G6" s="2528"/>
      <c r="H6" s="2528"/>
      <c r="I6" s="2530"/>
      <c r="J6" s="2529">
        <f>I5&amp;".1"</f>
      </c>
      <c r="K6" s="1729"/>
      <c r="L6" s="1730" t="s">
        <v>406</v>
      </c>
      <c r="P6" s="2531"/>
      <c r="Q6" s="2531">
        <v>1</v>
      </c>
      <c r="R6" s="718"/>
      <c r="S6" s="1791">
        <f>$J6</f>
      </c>
      <c r="T6" s="647" t="s">
        <v>407</v>
      </c>
      <c r="U6" s="661"/>
      <c r="V6" s="2515"/>
      <c r="W6" s="2516"/>
      <c r="X6" s="2516"/>
      <c r="Y6" s="2516"/>
      <c r="Z6" s="2516"/>
      <c r="AA6" s="2516"/>
      <c r="AB6" s="2517"/>
      <c r="AC6" s="2515"/>
      <c r="AD6" s="2516"/>
      <c r="AE6" s="2516"/>
      <c r="AF6" s="2516"/>
      <c r="AG6" s="2516"/>
      <c r="AH6" s="2516"/>
      <c r="AI6" s="2516"/>
      <c r="AJ6" s="2517"/>
      <c r="AK6" s="1673" t="s">
        <v>483</v>
      </c>
      <c r="AM6" s="861"/>
      <c r="AN6" s="861" t="str">
        <f>IF(T6="","",T6)</f>
        <v>Группа потребителей</v>
      </c>
      <c r="AO6" s="861"/>
      <c r="AP6" s="861"/>
    </row>
    <row customHeight="1" ht="23.25" hidden="1">
      <c r="A7" s="1729"/>
      <c r="B7" s="1729"/>
      <c r="C7" s="1729"/>
      <c r="D7" s="1729"/>
      <c r="E7" s="2528"/>
      <c r="F7" s="2528"/>
      <c r="G7" s="2528"/>
      <c r="H7" s="2528"/>
      <c r="I7" s="2530"/>
      <c r="J7" s="2530"/>
      <c r="K7" s="2529">
        <f>J6&amp;".1"</f>
      </c>
      <c r="L7" s="1730"/>
      <c r="P7" s="2531"/>
      <c r="Q7" s="2531"/>
      <c r="R7" s="718">
        <v>1</v>
      </c>
      <c r="S7" s="1791">
        <f>$K7</f>
      </c>
      <c r="T7" s="1803"/>
      <c r="U7" s="661"/>
      <c r="V7" s="1112"/>
      <c r="W7" s="1112"/>
      <c r="X7" s="1622"/>
      <c r="Y7" s="2532"/>
      <c r="Z7" s="2402" t="s">
        <v>59</v>
      </c>
      <c r="AA7" s="2532"/>
      <c r="AB7" s="2402" t="s">
        <v>59</v>
      </c>
      <c r="AC7" s="1112"/>
      <c r="AD7" s="1112"/>
      <c r="AE7" s="1622"/>
      <c r="AF7" s="2532"/>
      <c r="AG7" s="2402" t="s">
        <v>59</v>
      </c>
      <c r="AH7" s="2534"/>
      <c r="AI7" s="2402" t="s">
        <v>59</v>
      </c>
      <c r="AJ7" s="1804"/>
      <c r="AK7" s="26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872">
        <f>STRCHECKDATE(V8:AJ8)</f>
      </c>
      <c r="AM7" s="861"/>
      <c r="AN7" s="861" t="str">
        <f>IF(T7="","",T7)</f>
        <v/>
      </c>
      <c r="AO7" s="861"/>
      <c r="AP7" s="861"/>
    </row>
    <row customHeight="1" ht="14.25" hidden="1">
      <c r="A8" s="1729"/>
      <c r="B8" s="1729"/>
      <c r="C8" s="1729"/>
      <c r="D8" s="1729"/>
      <c r="E8" s="2528"/>
      <c r="F8" s="2528"/>
      <c r="G8" s="2528"/>
      <c r="H8" s="2528"/>
      <c r="I8" s="2530"/>
      <c r="J8" s="2530"/>
      <c r="K8" s="2529"/>
      <c r="L8" s="1730"/>
      <c r="P8" s="2531"/>
      <c r="Q8" s="2531"/>
      <c r="R8" s="718"/>
      <c r="S8" s="1790"/>
      <c r="T8" s="661"/>
      <c r="U8" s="661"/>
      <c r="V8" s="686"/>
      <c r="W8" s="686"/>
      <c r="X8" s="689" t="str">
        <f>Y7&amp;"-"&amp;AA7</f>
        <v>-</v>
      </c>
      <c r="Y8" s="2533"/>
      <c r="Z8" s="2402"/>
      <c r="AA8" s="2533"/>
      <c r="AB8" s="2402"/>
      <c r="AC8" s="686"/>
      <c r="AD8" s="686"/>
      <c r="AE8" s="689" t="str">
        <f>AF7&amp;"-"&amp;AH7</f>
        <v>-</v>
      </c>
      <c r="AF8" s="2533"/>
      <c r="AG8" s="2402"/>
      <c r="AH8" s="2535"/>
      <c r="AI8" s="2402"/>
      <c r="AJ8" s="1805"/>
      <c r="AK8" s="2620"/>
      <c r="AM8" s="861"/>
      <c r="AN8" s="861" t="str">
        <f>IF(T8="","",T8)</f>
        <v/>
      </c>
      <c r="AO8" s="861"/>
      <c r="AP8" s="861"/>
    </row>
    <row customHeight="1" ht="21" hidden="1">
      <c r="A9" s="1729"/>
      <c r="B9" s="1729"/>
      <c r="C9" s="1729"/>
      <c r="D9" s="1729"/>
      <c r="E9" s="2528"/>
      <c r="F9" s="2528"/>
      <c r="G9" s="2528"/>
      <c r="H9" s="2528"/>
      <c r="I9" s="2530"/>
      <c r="J9" s="2529"/>
      <c r="K9" s="1729"/>
      <c r="L9" s="1730"/>
      <c r="P9" s="2531"/>
      <c r="Q9" s="2531"/>
      <c r="R9" s="717"/>
      <c r="S9" s="1644"/>
      <c r="T9" s="648" t="s">
        <v>484</v>
      </c>
      <c r="U9" s="728"/>
      <c r="V9" s="728"/>
      <c r="W9" s="728"/>
      <c r="X9" s="728"/>
      <c r="Y9" s="728"/>
      <c r="Z9" s="728"/>
      <c r="AA9" s="728"/>
      <c r="AB9" s="728"/>
      <c r="AC9" s="728"/>
      <c r="AD9" s="728"/>
      <c r="AE9" s="728"/>
      <c r="AF9" s="728"/>
      <c r="AG9" s="728"/>
      <c r="AH9" s="728"/>
      <c r="AI9" s="728"/>
      <c r="AJ9" s="728"/>
      <c r="AK9" s="1623" t="s">
        <v>485</v>
      </c>
      <c r="AM9" s="861"/>
      <c r="AN9" s="861" t="str">
        <f>IF(T9="","",T9)</f>
        <v>Добавить значение признака дифференциации</v>
      </c>
      <c r="AO9" s="861"/>
      <c r="AP9" s="861"/>
    </row>
    <row customHeight="1" ht="21" hidden="1">
      <c r="A10" s="1729"/>
      <c r="B10" s="1729"/>
      <c r="C10" s="1729"/>
      <c r="D10" s="1729"/>
      <c r="E10" s="2528"/>
      <c r="F10" s="2528"/>
      <c r="G10" s="2528"/>
      <c r="H10" s="2528"/>
      <c r="I10" s="2529"/>
      <c r="J10" s="1729"/>
      <c r="K10" s="1729"/>
      <c r="L10" s="1730"/>
      <c r="P10" s="2531"/>
      <c r="Q10" s="1788"/>
      <c r="R10" s="717"/>
      <c r="S10" s="1644"/>
      <c r="T10" s="726" t="s">
        <v>412</v>
      </c>
      <c r="U10" s="728"/>
      <c r="V10" s="728"/>
      <c r="W10" s="728"/>
      <c r="X10" s="728"/>
      <c r="Y10" s="728"/>
      <c r="Z10" s="728"/>
      <c r="AA10" s="728"/>
      <c r="AB10" s="727"/>
      <c r="AC10" s="728"/>
      <c r="AD10" s="728"/>
      <c r="AE10" s="728"/>
      <c r="AF10" s="728"/>
      <c r="AG10" s="728"/>
      <c r="AH10" s="728"/>
      <c r="AI10" s="727"/>
      <c r="AJ10" s="728"/>
      <c r="AK10" s="1806"/>
      <c r="AM10" s="861"/>
      <c r="AN10" s="861" t="str">
        <f>IF(T10="","",T10)</f>
        <v>Добавить группу потребителей</v>
      </c>
      <c r="AO10" s="861"/>
      <c r="AP10" s="861"/>
    </row>
    <row customHeight="1" ht="14.25" hidden="1">
      <c r="A11" s="1729"/>
      <c r="B11" s="1729"/>
      <c r="C11" s="1729"/>
      <c r="D11" s="1729"/>
      <c r="E11" s="2528"/>
      <c r="F11" s="2528"/>
      <c r="G11" s="2528"/>
      <c r="H11" s="2527"/>
      <c r="I11" s="1729"/>
      <c r="J11" s="1729"/>
      <c r="K11" s="1729"/>
      <c r="L11" s="1730"/>
      <c r="M11" s="1731"/>
      <c r="N11" s="1731"/>
      <c r="O11" s="898"/>
      <c r="P11" s="721"/>
      <c r="Q11" s="736"/>
      <c r="R11" s="716"/>
      <c r="S11" s="1644"/>
      <c r="T11" s="733" t="s">
        <v>486</v>
      </c>
      <c r="U11" s="728"/>
      <c r="V11" s="728"/>
      <c r="W11" s="728"/>
      <c r="X11" s="728"/>
      <c r="Y11" s="728"/>
      <c r="Z11" s="728"/>
      <c r="AA11" s="728"/>
      <c r="AB11" s="727"/>
      <c r="AC11" s="728"/>
      <c r="AD11" s="728"/>
      <c r="AE11" s="728"/>
      <c r="AF11" s="728"/>
      <c r="AG11" s="728"/>
      <c r="AH11" s="728"/>
      <c r="AI11" s="727"/>
      <c r="AJ11" s="728"/>
      <c r="AK11" s="664"/>
      <c r="AM11" s="861"/>
      <c r="AN11" s="861" t="str">
        <f>IF(T11="","",T11)</f>
        <v>Добавить наименование признака дифференциации</v>
      </c>
      <c r="AO11" s="861"/>
      <c r="AP11" s="861"/>
    </row>
    <row s="19127" customFormat="1" customHeight="1" ht="14.25" hidden="1">
      <c r="A12" s="1709"/>
      <c r="B12" s="1709"/>
      <c r="C12" s="1680"/>
      <c r="D12" s="1680"/>
      <c r="E12" s="2528"/>
      <c r="F12" s="2527"/>
      <c r="G12" s="1680"/>
      <c r="H12" s="1680"/>
      <c r="I12" s="1680"/>
      <c r="J12" s="1680"/>
      <c r="K12" s="1680"/>
      <c r="L12" s="1792"/>
      <c r="M12" s="1687"/>
      <c r="N12" s="1687"/>
      <c r="P12" s="1682"/>
      <c r="Q12" s="1683"/>
      <c r="R12" s="1682"/>
      <c r="S12" s="1688"/>
      <c r="T12" s="1691" t="s">
        <v>251</v>
      </c>
      <c r="U12" s="1690"/>
      <c r="V12" s="1690"/>
      <c r="W12" s="1690"/>
      <c r="X12" s="1690"/>
      <c r="Y12" s="1690"/>
      <c r="Z12" s="1690"/>
      <c r="AA12" s="1690"/>
      <c r="AB12" s="1690"/>
      <c r="AC12" s="1690"/>
      <c r="AD12" s="1690"/>
      <c r="AE12" s="1690"/>
      <c r="AF12" s="1690"/>
      <c r="AG12" s="1690"/>
      <c r="AH12" s="1690"/>
      <c r="AI12" s="1690"/>
      <c r="AJ12" s="1690"/>
      <c r="AK12" s="1690"/>
      <c r="AM12" s="1150"/>
      <c r="AN12" s="1150" t="str">
        <f>IF(T12="","",T12)</f>
        <v>Добавить централизованную систему для дифференциации</v>
      </c>
      <c r="AO12" s="1150"/>
      <c r="AP12" s="1150"/>
    </row>
    <row s="19219" customFormat="1" customHeight="1" ht="14.25" hidden="1">
      <c r="A13" s="1709"/>
      <c r="B13" s="1709"/>
      <c r="C13" s="1709"/>
      <c r="D13" s="1709"/>
      <c r="E13" s="2527"/>
      <c r="F13" s="1709"/>
      <c r="G13" s="1709"/>
      <c r="H13" s="1709"/>
      <c r="I13" s="1709"/>
      <c r="J13" s="1709"/>
      <c r="K13" s="1709"/>
      <c r="L13" s="1712"/>
      <c r="M13" s="1687"/>
      <c r="N13" s="1687"/>
      <c r="O13" s="879"/>
      <c r="P13" s="741"/>
      <c r="Q13" s="1710"/>
      <c r="R13" s="741"/>
      <c r="S13" s="1688"/>
      <c r="T13" s="1691" t="s">
        <v>252</v>
      </c>
      <c r="U13" s="1690"/>
      <c r="V13" s="1690"/>
      <c r="W13" s="1690"/>
      <c r="X13" s="1690"/>
      <c r="Y13" s="1690"/>
      <c r="Z13" s="1690"/>
      <c r="AA13" s="1690"/>
      <c r="AB13" s="1690"/>
      <c r="AC13" s="1690"/>
      <c r="AD13" s="1690"/>
      <c r="AE13" s="1690"/>
      <c r="AF13" s="1690"/>
      <c r="AG13" s="1690"/>
      <c r="AH13" s="1690"/>
      <c r="AI13" s="1690"/>
      <c r="AJ13" s="1690"/>
      <c r="AK13" s="1690"/>
      <c r="AM13" s="861"/>
      <c r="AN13" s="861" t="str">
        <f>IF(T13="","",T13)</f>
        <v>Добавить территорию для дифференциации</v>
      </c>
      <c r="AO13" s="861"/>
      <c r="AP13" s="861"/>
    </row>
    <row customHeight="1" ht="14.25" hidden="1">
      <c r="AB14" s="688"/>
      <c r="AI14" s="688"/>
    </row>
    <row customHeight="1" ht="14.25" hidden="1">
      <c r="AC15" s="1726"/>
      <c r="AD15" s="1726"/>
      <c r="AE15" s="1727"/>
      <c r="AF15" s="2525"/>
      <c r="AG15" s="2524" t="s">
        <v>59</v>
      </c>
      <c r="AH15" s="2525"/>
      <c r="AI15" s="2524" t="s">
        <v>59</v>
      </c>
    </row>
    <row customHeight="1" ht="14.25" hidden="1">
      <c r="AC16" s="1726"/>
      <c r="AD16" s="1726"/>
      <c r="AE16" s="689" t="str">
        <f>AF15&amp;"-"&amp;AH15</f>
        <v>-</v>
      </c>
      <c r="AF16" s="2524"/>
      <c r="AG16" s="2524"/>
      <c r="AH16" s="2524"/>
      <c r="AI16" s="2524"/>
    </row>
    <row customHeight="1" ht="14.25" hidden="1">
      <c r="AI17" s="688"/>
    </row>
    <row s="19146" customFormat="1" customHeight="1" ht="22.5" hidden="1">
      <c r="L18" s="1787"/>
      <c r="M18" s="1728"/>
      <c r="N18" s="1728"/>
      <c r="O18" s="1733" t="s">
        <v>415</v>
      </c>
      <c r="P18" s="1728"/>
      <c r="Q18" s="1737"/>
      <c r="R18" s="1737"/>
      <c r="S18" s="1090"/>
      <c r="Y18" s="1733"/>
      <c r="AA18" s="1733"/>
      <c r="AB18" s="1732"/>
      <c r="AF18" s="1733"/>
      <c r="AH18" s="1733"/>
      <c r="AI18" s="1732"/>
      <c r="AL18" s="872"/>
      <c r="AM18" s="872"/>
      <c r="AN18" s="872"/>
      <c r="AO18" s="872"/>
      <c r="AP18" s="872"/>
    </row>
    <row s="19146" customFormat="1" customHeight="1" ht="14.25" hidden="1">
      <c r="L19" s="1787"/>
      <c r="M19" s="1728"/>
      <c r="N19" s="1728"/>
      <c r="O19" s="1728"/>
      <c r="P19" s="1728"/>
      <c r="Q19" s="1737"/>
      <c r="R19" s="1737"/>
      <c r="S19" s="1090"/>
      <c r="AB19" s="1732"/>
      <c r="AI19" s="1732"/>
      <c r="AL19" s="872"/>
      <c r="AM19" s="872"/>
      <c r="AN19" s="872"/>
      <c r="AO19" s="872"/>
      <c r="AP19" s="872"/>
    </row>
    <row s="19146" customFormat="1" customHeight="1" ht="12" hidden="1">
      <c r="L20" s="1787"/>
      <c r="M20" s="1728"/>
      <c r="N20" s="1728"/>
      <c r="O20" s="1730" t="s">
        <v>416</v>
      </c>
      <c r="P20" s="1728"/>
      <c r="Q20" s="1808"/>
      <c r="R20" s="1808"/>
      <c r="S20" s="1090"/>
      <c r="T20" s="1523" t="s">
        <v>417</v>
      </c>
      <c r="Z20" s="547" t="s">
        <v>418</v>
      </c>
      <c r="AB20" s="547" t="s">
        <v>419</v>
      </c>
      <c r="AC20" s="1523" t="s">
        <v>417</v>
      </c>
      <c r="AG20" s="547" t="s">
        <v>420</v>
      </c>
      <c r="AI20" s="547" t="s">
        <v>419</v>
      </c>
    </row>
    <row customHeight="1" ht="14.25" hidden="1">
      <c r="O21" s="1730"/>
    </row>
    <row customHeight="1" ht="14.25" hidden="1">
      <c r="O22" s="1730"/>
    </row>
    <row customHeight="1" ht="14.25">
      <c r="Q23" s="737"/>
      <c r="R23" s="737"/>
      <c r="S23" s="1641"/>
      <c r="T23" s="724"/>
      <c r="U23" s="724"/>
      <c r="V23" s="870"/>
      <c r="W23" s="870"/>
      <c r="X23" s="870"/>
      <c r="Y23" s="870"/>
      <c r="Z23" s="870"/>
      <c r="AA23" s="870"/>
      <c r="AB23" s="870"/>
      <c r="AC23" s="870"/>
      <c r="AD23" s="870"/>
      <c r="AE23" s="870"/>
      <c r="AF23" s="870"/>
      <c r="AG23" s="870"/>
      <c r="AH23" s="870"/>
      <c r="AI23" s="870"/>
    </row>
    <row customHeight="1" ht="14.25">
      <c r="Q24" s="737"/>
      <c r="R24" s="737"/>
      <c r="S24" s="256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560"/>
      <c r="U24" s="2560"/>
      <c r="V24" s="2560"/>
      <c r="W24" s="2560"/>
      <c r="X24" s="2560"/>
      <c r="Y24" s="2560"/>
      <c r="Z24" s="2560"/>
      <c r="AA24" s="2560"/>
      <c r="AB24" s="2560"/>
      <c r="AC24" s="2560"/>
      <c r="AD24" s="2560"/>
      <c r="AE24" s="2560"/>
      <c r="AF24" s="2560"/>
      <c r="AG24" s="2560"/>
      <c r="AH24" s="2560"/>
      <c r="AI24" s="1608"/>
    </row>
    <row customHeight="1" ht="14.25">
      <c r="Q25" s="737"/>
      <c r="R25" s="737"/>
      <c r="S25" s="2561" t="str">
        <f>IF(org=0,"Не определено",org)</f>
        <v>Филиал "Шатурская ГРЭС" ПАО "Юнипро"</v>
      </c>
      <c r="T25" s="2561"/>
      <c r="U25" s="2561"/>
      <c r="V25" s="2561"/>
      <c r="W25" s="2561"/>
      <c r="X25" s="2561"/>
      <c r="Y25" s="2561"/>
      <c r="Z25" s="2561"/>
      <c r="AA25" s="2561"/>
      <c r="AB25" s="2561"/>
      <c r="AC25" s="2561"/>
      <c r="AD25" s="2561"/>
      <c r="AE25" s="2561"/>
      <c r="AF25" s="2561"/>
      <c r="AG25" s="2561"/>
      <c r="AH25" s="2561"/>
      <c r="AI25" s="1608"/>
    </row>
    <row customHeight="1" ht="14.25">
      <c r="Q26" s="737"/>
      <c r="R26" s="737"/>
      <c r="S26" s="1641"/>
      <c r="T26" s="724"/>
      <c r="U26" s="724"/>
      <c r="V26" s="683"/>
      <c r="W26" s="683"/>
      <c r="X26" s="683"/>
      <c r="Y26" s="683"/>
      <c r="Z26" s="683"/>
      <c r="AA26" s="683"/>
      <c r="AB26" s="683"/>
      <c r="AC26" s="683"/>
      <c r="AD26" s="683"/>
      <c r="AE26" s="683"/>
      <c r="AF26" s="683"/>
      <c r="AG26" s="683"/>
      <c r="AH26" s="683"/>
      <c r="AI26" s="683"/>
      <c r="AJ26" s="870"/>
    </row>
    <row s="19160" customFormat="1" customHeight="1" ht="25.5">
      <c r="A27" s="1734"/>
      <c r="B27" s="1734"/>
      <c r="C27" s="1734"/>
      <c r="D27" s="1734"/>
      <c r="E27" s="1734"/>
      <c r="F27" s="1734"/>
      <c r="G27" s="1734"/>
      <c r="H27" s="1734"/>
      <c r="I27" s="1734"/>
      <c r="J27" s="1734"/>
      <c r="K27" s="1734"/>
      <c r="L27" s="1735"/>
      <c r="M27" s="1734"/>
      <c r="N27" s="1734"/>
      <c r="O27" s="1734"/>
      <c r="S27" s="2518" t="s">
        <v>38</v>
      </c>
      <c r="T27" s="2518"/>
      <c r="U27" s="1738"/>
      <c r="V27" s="2520" t="str">
        <f>IF(TITLE_NAME_OR_PR_CHANGE="",IF(TITLE_NAME_OR_PR="","",TITLE_NAME_OR_PR),TITLE_NAME_OR_PR_CHANGE)</f>
        <v>Комитет по ценам и тарифам по Московской области</v>
      </c>
      <c r="W27" s="2520"/>
      <c r="X27" s="2520"/>
      <c r="Y27" s="2520"/>
      <c r="Z27" s="2520"/>
      <c r="AA27" s="2520"/>
      <c r="AB27" s="687"/>
      <c r="AC27" s="2520" t="str">
        <f>IF(TITLE_NAME_OR_PR_CHANGE="",IF(TITLE_NAME_OR_PR="","",TITLE_NAME_OR_PR),TITLE_NAME_OR_PR_CHANGE)</f>
        <v>Комитет по ценам и тарифам по Московской области</v>
      </c>
      <c r="AD27" s="2520"/>
      <c r="AE27" s="2520"/>
      <c r="AF27" s="2520"/>
      <c r="AG27" s="2520"/>
      <c r="AH27" s="2520"/>
      <c r="AI27" s="687"/>
      <c r="AJ27" s="687"/>
      <c r="AK27" s="641"/>
      <c r="AL27" s="729"/>
      <c r="AM27" s="729"/>
      <c r="AN27" s="729"/>
      <c r="AO27" s="729"/>
      <c r="AP27" s="729"/>
    </row>
    <row s="19160" customFormat="1" customHeight="1" ht="18.75">
      <c r="A28" s="1734"/>
      <c r="B28" s="1734"/>
      <c r="C28" s="1734"/>
      <c r="D28" s="1734"/>
      <c r="E28" s="1734"/>
      <c r="F28" s="1734"/>
      <c r="G28" s="1734"/>
      <c r="H28" s="1734"/>
      <c r="I28" s="1734"/>
      <c r="J28" s="1734"/>
      <c r="K28" s="1734"/>
      <c r="L28" s="1735"/>
      <c r="M28" s="1734"/>
      <c r="N28" s="1734"/>
      <c r="O28" s="1734"/>
      <c r="S28" s="2518" t="s">
        <v>421</v>
      </c>
      <c r="T28" s="2518"/>
      <c r="U28" s="1738"/>
      <c r="V28" s="2519" t="str">
        <f>IF(TITLE_DATE_PR_CHANGE="",IF(TITLE_DATE_PR="","",TITLE_DATE_PR),TITLE_DATE_PR_CHANGE)</f>
        <v>45280.70914351852</v>
      </c>
      <c r="W28" s="2519"/>
      <c r="X28" s="2519"/>
      <c r="Y28" s="2519"/>
      <c r="Z28" s="2519"/>
      <c r="AA28" s="2519"/>
      <c r="AB28" s="687"/>
      <c r="AC28" s="2519" t="str">
        <f>IF(TITLE_DATE_PR_CHANGE="",IF(TITLE_DATE_PR="","",TITLE_DATE_PR),TITLE_DATE_PR_CHANGE)</f>
        <v>45280.70914351852</v>
      </c>
      <c r="AD28" s="2519"/>
      <c r="AE28" s="2519"/>
      <c r="AF28" s="2519"/>
      <c r="AG28" s="2519"/>
      <c r="AH28" s="2519"/>
      <c r="AI28" s="687"/>
      <c r="AJ28" s="687"/>
      <c r="AK28" s="641"/>
      <c r="AL28" s="729"/>
      <c r="AM28" s="729"/>
      <c r="AN28" s="729"/>
      <c r="AO28" s="729"/>
      <c r="AP28" s="729"/>
    </row>
    <row s="19160" customFormat="1" customHeight="1" ht="18.75">
      <c r="A29" s="1734"/>
      <c r="B29" s="1734"/>
      <c r="C29" s="1734"/>
      <c r="D29" s="1734"/>
      <c r="E29" s="1734"/>
      <c r="F29" s="1734"/>
      <c r="G29" s="1734"/>
      <c r="H29" s="1734"/>
      <c r="I29" s="1734"/>
      <c r="J29" s="1734"/>
      <c r="K29" s="1734"/>
      <c r="L29" s="1735"/>
      <c r="M29" s="1734"/>
      <c r="N29" s="1734"/>
      <c r="O29" s="1734"/>
      <c r="S29" s="2518" t="s">
        <v>422</v>
      </c>
      <c r="T29" s="2518"/>
      <c r="U29" s="1738"/>
      <c r="V29" s="2520" t="str">
        <f>IF(TITLE_NUMBER_PR_CHANGE="",IF(TITLE_NUMBER_PR="","",TITLE_NUMBER_PR),TITLE_NUMBER_PR_CHANGE)</f>
        <v>317-Р</v>
      </c>
      <c r="W29" s="2520"/>
      <c r="X29" s="2520"/>
      <c r="Y29" s="2520"/>
      <c r="Z29" s="2520"/>
      <c r="AA29" s="2520"/>
      <c r="AB29" s="687"/>
      <c r="AC29" s="2520" t="str">
        <f>IF(TITLE_NUMBER_PR_CHANGE="",IF(TITLE_NUMBER_PR="","",TITLE_NUMBER_PR),TITLE_NUMBER_PR_CHANGE)</f>
        <v>317-Р</v>
      </c>
      <c r="AD29" s="2520"/>
      <c r="AE29" s="2520"/>
      <c r="AF29" s="2520"/>
      <c r="AG29" s="2520"/>
      <c r="AH29" s="2520"/>
      <c r="AI29" s="687"/>
      <c r="AJ29" s="687"/>
      <c r="AK29" s="641"/>
      <c r="AL29" s="729"/>
      <c r="AM29" s="729"/>
      <c r="AN29" s="729"/>
      <c r="AO29" s="729"/>
      <c r="AP29" s="729"/>
    </row>
    <row s="19160" customFormat="1" customHeight="1" ht="18.75">
      <c r="A30" s="1734"/>
      <c r="B30" s="1734"/>
      <c r="C30" s="1734"/>
      <c r="D30" s="1734"/>
      <c r="E30" s="1734"/>
      <c r="F30" s="1734"/>
      <c r="G30" s="1734"/>
      <c r="H30" s="1734"/>
      <c r="I30" s="1734"/>
      <c r="J30" s="1734"/>
      <c r="K30" s="1734"/>
      <c r="L30" s="1735"/>
      <c r="M30" s="1734"/>
      <c r="N30" s="1734"/>
      <c r="O30" s="1734"/>
      <c r="S30" s="2518" t="s">
        <v>40</v>
      </c>
      <c r="T30" s="2518"/>
      <c r="U30" s="1738"/>
      <c r="V30"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520"/>
      <c r="X30" s="2520"/>
      <c r="Y30" s="2520"/>
      <c r="Z30" s="2520"/>
      <c r="AA30" s="2520"/>
      <c r="AB30" s="687"/>
      <c r="AC30"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520"/>
      <c r="AE30" s="2520"/>
      <c r="AF30" s="2520"/>
      <c r="AG30" s="2520"/>
      <c r="AH30" s="2520"/>
      <c r="AI30" s="687"/>
      <c r="AJ30" s="687"/>
      <c r="AK30" s="641"/>
      <c r="AL30" s="729"/>
      <c r="AM30" s="729"/>
      <c r="AN30" s="729"/>
      <c r="AO30" s="729"/>
      <c r="AP30" s="729"/>
    </row>
    <row customHeight="1" ht="14.25" hidden="1">
      <c r="Q31" s="737"/>
      <c r="R31" s="737"/>
      <c r="S31" s="1641"/>
      <c r="T31" s="724"/>
      <c r="U31" s="724"/>
      <c r="V31" s="683"/>
      <c r="W31" s="683"/>
      <c r="X31" s="683"/>
      <c r="Y31" s="683"/>
      <c r="Z31" s="683"/>
      <c r="AA31" s="683"/>
      <c r="AB31" s="683"/>
      <c r="AC31" s="683"/>
      <c r="AD31" s="683"/>
      <c r="AE31" s="683"/>
      <c r="AF31" s="683"/>
      <c r="AG31" s="683"/>
      <c r="AH31" s="683"/>
      <c r="AI31" s="683"/>
      <c r="AJ31" s="870"/>
    </row>
    <row s="19160" customFormat="1" customHeight="1" ht="18.75" hidden="1">
      <c r="A32" s="1734"/>
      <c r="B32" s="1734"/>
      <c r="C32" s="1734"/>
      <c r="D32" s="1734"/>
      <c r="E32" s="1734"/>
      <c r="F32" s="1734"/>
      <c r="G32" s="1734"/>
      <c r="H32" s="1734"/>
      <c r="I32" s="1734"/>
      <c r="J32" s="1734"/>
      <c r="K32" s="1734"/>
      <c r="L32" s="1735"/>
      <c r="M32" s="1734"/>
      <c r="N32" s="1734"/>
      <c r="O32" s="1734"/>
      <c r="S32" s="2518" t="s">
        <v>423</v>
      </c>
      <c r="T32" s="2518"/>
      <c r="U32" s="1738"/>
      <c r="V32" s="2519" t="str">
        <f>IF(TITLE_DATE_PR_CHANGE="",IF(TITLE_DATE_PR="","",TITLE_DATE_PR),TITLE_DATE_PR_CHANGE)</f>
        <v>45280.70914351852</v>
      </c>
      <c r="W32" s="2519"/>
      <c r="X32" s="2519"/>
      <c r="Y32" s="2519"/>
      <c r="Z32" s="2519"/>
      <c r="AA32" s="2519"/>
      <c r="AB32" s="687"/>
      <c r="AC32" s="2519" t="str">
        <f>IF(TITLE_DATE_PR_CHANGE="",IF(TITLE_DATE_PR="","",TITLE_DATE_PR),TITLE_DATE_PR_CHANGE)</f>
        <v>45280.70914351852</v>
      </c>
      <c r="AD32" s="2519"/>
      <c r="AE32" s="2519"/>
      <c r="AF32" s="2519"/>
      <c r="AG32" s="2519"/>
      <c r="AH32" s="2519"/>
      <c r="AI32" s="687"/>
      <c r="AJ32" s="687"/>
      <c r="AK32" s="641"/>
      <c r="AL32" s="729"/>
      <c r="AM32" s="729"/>
      <c r="AN32" s="729"/>
      <c r="AO32" s="729"/>
      <c r="AP32" s="729"/>
    </row>
    <row s="19160" customFormat="1" customHeight="1" ht="18.75" hidden="1">
      <c r="A33" s="1734"/>
      <c r="B33" s="1734"/>
      <c r="C33" s="1734"/>
      <c r="D33" s="1734"/>
      <c r="E33" s="1734"/>
      <c r="F33" s="1734"/>
      <c r="G33" s="1734"/>
      <c r="H33" s="1734"/>
      <c r="I33" s="1734"/>
      <c r="J33" s="1734"/>
      <c r="K33" s="1734"/>
      <c r="L33" s="1735"/>
      <c r="M33" s="1734"/>
      <c r="N33" s="1734"/>
      <c r="O33" s="1734"/>
      <c r="S33" s="2518" t="s">
        <v>424</v>
      </c>
      <c r="T33" s="2518"/>
      <c r="U33" s="1738"/>
      <c r="V33" s="2520" t="str">
        <f>IF(TITLE_NUMBER_PR_CHANGE="",IF(TITLE_NUMBER_PR="","",TITLE_NUMBER_PR),TITLE_NUMBER_PR_CHANGE)</f>
        <v>317-Р</v>
      </c>
      <c r="W33" s="2520"/>
      <c r="X33" s="2520"/>
      <c r="Y33" s="2520"/>
      <c r="Z33" s="2520"/>
      <c r="AA33" s="2520"/>
      <c r="AB33" s="687"/>
      <c r="AC33" s="2520" t="str">
        <f>IF(TITLE_NUMBER_PR_CHANGE="",IF(TITLE_NUMBER_PR="","",TITLE_NUMBER_PR),TITLE_NUMBER_PR_CHANGE)</f>
        <v>317-Р</v>
      </c>
      <c r="AD33" s="2520"/>
      <c r="AE33" s="2520"/>
      <c r="AF33" s="2520"/>
      <c r="AG33" s="2520"/>
      <c r="AH33" s="2520"/>
      <c r="AI33" s="687"/>
      <c r="AJ33" s="687"/>
      <c r="AK33" s="641"/>
      <c r="AL33" s="729"/>
      <c r="AM33" s="729"/>
      <c r="AN33" s="729"/>
      <c r="AO33" s="729"/>
      <c r="AP33" s="729"/>
    </row>
    <row s="19160" customFormat="1" customHeight="1" ht="0.75">
      <c r="A34" s="1734"/>
      <c r="B34" s="1734"/>
      <c r="C34" s="1734"/>
      <c r="D34" s="1734"/>
      <c r="E34" s="1734"/>
      <c r="F34" s="1734"/>
      <c r="G34" s="1734"/>
      <c r="H34" s="1734"/>
      <c r="I34" s="1734"/>
      <c r="J34" s="1734"/>
      <c r="K34" s="1734"/>
      <c r="L34" s="1735"/>
      <c r="M34" s="1734"/>
      <c r="N34" s="1734"/>
      <c r="O34" s="1734"/>
      <c r="S34" s="684"/>
      <c r="T34" s="684"/>
      <c r="U34" s="1721"/>
      <c r="V34" s="687"/>
      <c r="W34" s="687"/>
      <c r="X34" s="687"/>
      <c r="Y34" s="687"/>
      <c r="Z34" s="687"/>
      <c r="AA34" s="687"/>
      <c r="AB34" s="639" t="s">
        <v>425</v>
      </c>
      <c r="AC34" s="687"/>
      <c r="AD34" s="687"/>
      <c r="AE34" s="687"/>
      <c r="AF34" s="687"/>
      <c r="AG34" s="687"/>
      <c r="AH34" s="687"/>
      <c r="AI34" s="639" t="s">
        <v>425</v>
      </c>
      <c r="AL34" s="729"/>
      <c r="AM34" s="729"/>
      <c r="AN34" s="729"/>
      <c r="AO34" s="729"/>
      <c r="AP34" s="729"/>
    </row>
    <row customHeight="1" ht="14.25">
      <c r="Q35" s="737"/>
      <c r="R35" s="737"/>
      <c r="S35" s="1641"/>
      <c r="T35" s="724"/>
      <c r="U35" s="1609"/>
      <c r="V35" s="2544"/>
      <c r="W35" s="2544"/>
      <c r="X35" s="2544"/>
      <c r="Y35" s="2544"/>
      <c r="Z35" s="2544"/>
      <c r="AA35" s="2544"/>
      <c r="AB35" s="2544"/>
      <c r="AC35" s="2544"/>
      <c r="AD35" s="2544"/>
      <c r="AE35" s="2544"/>
      <c r="AF35" s="2544"/>
      <c r="AG35" s="2544"/>
      <c r="AH35" s="2544"/>
      <c r="AI35" s="2544"/>
    </row>
    <row customHeight="1" ht="14.25">
      <c r="Q36" s="737"/>
      <c r="R36" s="737"/>
      <c r="S36" s="2392" t="s">
        <v>300</v>
      </c>
      <c r="T36" s="2392"/>
      <c r="U36" s="2392"/>
      <c r="V36" s="2392"/>
      <c r="W36" s="2392"/>
      <c r="X36" s="2392"/>
      <c r="Y36" s="2392"/>
      <c r="Z36" s="2392"/>
      <c r="AA36" s="2392"/>
      <c r="AB36" s="2392"/>
      <c r="AC36" s="2392"/>
      <c r="AD36" s="2392"/>
      <c r="AE36" s="2392"/>
      <c r="AF36" s="2392"/>
      <c r="AG36" s="2392"/>
      <c r="AH36" s="2392"/>
      <c r="AI36" s="2392"/>
      <c r="AJ36" s="2392"/>
      <c r="AK36" s="2392" t="s">
        <v>301</v>
      </c>
    </row>
    <row customHeight="1" ht="14.25">
      <c r="Q37" s="737"/>
      <c r="R37" s="737"/>
      <c r="S37" s="2545" t="s">
        <v>85</v>
      </c>
      <c r="T37" s="2482" t="s">
        <v>426</v>
      </c>
      <c r="U37" s="662"/>
      <c r="V37" s="2546" t="s">
        <v>427</v>
      </c>
      <c r="W37" s="2547"/>
      <c r="X37" s="2547"/>
      <c r="Y37" s="2547"/>
      <c r="Z37" s="2547"/>
      <c r="AA37" s="2548"/>
      <c r="AB37" s="2549" t="s">
        <v>428</v>
      </c>
      <c r="AC37" s="2546" t="s">
        <v>427</v>
      </c>
      <c r="AD37" s="2547"/>
      <c r="AE37" s="2547"/>
      <c r="AF37" s="2547"/>
      <c r="AG37" s="2547"/>
      <c r="AH37" s="2548"/>
      <c r="AI37" s="2549" t="s">
        <v>429</v>
      </c>
      <c r="AJ37" s="2552" t="s">
        <v>430</v>
      </c>
      <c r="AK37" s="2392"/>
    </row>
    <row customHeight="1" ht="33.75">
      <c r="Q38" s="737"/>
      <c r="R38" s="737"/>
      <c r="S38" s="2545"/>
      <c r="T38" s="2482"/>
      <c r="U38" s="1393"/>
      <c r="V38" s="1718" t="s">
        <v>487</v>
      </c>
      <c r="W38" s="2538" t="s">
        <v>433</v>
      </c>
      <c r="X38" s="2540"/>
      <c r="Y38" s="2538" t="s">
        <v>434</v>
      </c>
      <c r="Z38" s="2539"/>
      <c r="AA38" s="2540"/>
      <c r="AB38" s="2550"/>
      <c r="AC38" s="1718" t="s">
        <v>487</v>
      </c>
      <c r="AD38" s="2538" t="s">
        <v>433</v>
      </c>
      <c r="AE38" s="2540"/>
      <c r="AF38" s="2538" t="s">
        <v>434</v>
      </c>
      <c r="AG38" s="2539"/>
      <c r="AH38" s="2540"/>
      <c r="AI38" s="2550"/>
      <c r="AJ38" s="2553"/>
      <c r="AK38" s="2392"/>
    </row>
    <row customHeight="1" ht="33.75">
      <c r="A39" s="1736"/>
      <c r="B39" s="1736" t="s">
        <v>132</v>
      </c>
      <c r="C39" s="1736" t="s">
        <v>133</v>
      </c>
      <c r="D39" s="1736" t="s">
        <v>134</v>
      </c>
      <c r="E39" s="1730" t="s">
        <v>435</v>
      </c>
      <c r="F39" s="1730" t="s">
        <v>436</v>
      </c>
      <c r="G39" s="1730" t="s">
        <v>437</v>
      </c>
      <c r="H39" s="1730"/>
      <c r="I39" s="1730" t="s">
        <v>488</v>
      </c>
      <c r="J39" s="1730" t="s">
        <v>440</v>
      </c>
      <c r="K39" s="1730" t="s">
        <v>489</v>
      </c>
      <c r="L39" s="1730" t="s">
        <v>416</v>
      </c>
      <c r="Q39" s="737"/>
      <c r="R39" s="737"/>
      <c r="S39" s="2545"/>
      <c r="T39" s="2482"/>
      <c r="U39" s="663"/>
      <c r="V39" s="1718" t="s">
        <v>490</v>
      </c>
      <c r="W39" s="1587" t="s">
        <v>491</v>
      </c>
      <c r="X39" s="1587" t="s">
        <v>492</v>
      </c>
      <c r="Y39" s="1723" t="s">
        <v>444</v>
      </c>
      <c r="Z39" s="2541" t="s">
        <v>445</v>
      </c>
      <c r="AA39" s="2542"/>
      <c r="AB39" s="2551"/>
      <c r="AC39" s="1718" t="s">
        <v>490</v>
      </c>
      <c r="AD39" s="1587" t="s">
        <v>491</v>
      </c>
      <c r="AE39" s="1587" t="s">
        <v>492</v>
      </c>
      <c r="AF39" s="1723" t="s">
        <v>444</v>
      </c>
      <c r="AG39" s="2541" t="s">
        <v>445</v>
      </c>
      <c r="AH39" s="2542"/>
      <c r="AI39" s="2551"/>
      <c r="AJ39" s="2554"/>
      <c r="AK39" s="2392"/>
    </row>
    <row s="18977" customFormat="1" customHeight="1" ht="11.25" hidden="1">
      <c r="A40" s="1736"/>
      <c r="B40" s="1736"/>
      <c r="C40" s="1736"/>
      <c r="D40" s="1736"/>
      <c r="E40" s="1736"/>
      <c r="F40" s="1736"/>
      <c r="G40" s="1736"/>
      <c r="H40" s="1736"/>
      <c r="I40" s="1736"/>
      <c r="J40" s="1736"/>
      <c r="K40" s="1736"/>
      <c r="L40" s="1730"/>
      <c r="M40" s="1728"/>
      <c r="N40" s="1728"/>
      <c r="O40" s="1728"/>
      <c r="P40" s="1611"/>
      <c r="Q40" s="1612"/>
      <c r="R40" s="1619">
        <v>1</v>
      </c>
      <c r="S40" s="1643" t="s">
        <v>106</v>
      </c>
      <c r="T40" s="1620" t="s">
        <v>107</v>
      </c>
      <c r="U40" s="1610" t="str">
        <f>OFFSET(U40,0,-1)</f>
        <v>2</v>
      </c>
      <c r="V40" s="1719">
        <f>OFFSET(V40,0,-1)+1</f>
        <v>3</v>
      </c>
      <c r="W40" s="1719">
        <f>OFFSET(W40,0,-1)+1</f>
        <v>4</v>
      </c>
      <c r="X40" s="1719">
        <f>OFFSET(X40,0,-1)+1</f>
        <v>5</v>
      </c>
      <c r="Y40" s="1719">
        <f>OFFSET(Y40,0,-1)+1</f>
        <v>6</v>
      </c>
      <c r="Z40" s="2543">
        <f>OFFSET(Z40,0,-1)+1</f>
        <v>7</v>
      </c>
      <c r="AA40" s="2543"/>
      <c r="AB40" s="1719">
        <f>OFFSET(AB40,0,-2)+1</f>
        <v>8</v>
      </c>
      <c r="AC40" s="1719">
        <f>OFFSET(AC40,0,-1)+1</f>
        <v>9</v>
      </c>
      <c r="AD40" s="1719">
        <f>OFFSET(AD40,0,-1)+1</f>
        <v>10</v>
      </c>
      <c r="AE40" s="1719">
        <f>OFFSET(AE40,0,-1)+1</f>
        <v>11</v>
      </c>
      <c r="AF40" s="1719">
        <f>OFFSET(AF40,0,-1)+1</f>
        <v>12</v>
      </c>
      <c r="AG40" s="2543">
        <f>OFFSET(AG40,0,-1)+1</f>
        <v>13</v>
      </c>
      <c r="AH40" s="2543"/>
      <c r="AI40" s="1719">
        <f>OFFSET(AI40,0,-2)+1</f>
        <v>14</v>
      </c>
      <c r="AJ40" s="1610">
        <f>OFFSET(AJ40,0,-1)</f>
        <v>14</v>
      </c>
      <c r="AK40" s="1719">
        <f>OFFSET(AK40,0,-1)+1</f>
        <v>15</v>
      </c>
      <c r="AL40" s="872"/>
      <c r="AM40" s="872"/>
      <c r="AN40" s="872"/>
      <c r="AO40" s="872"/>
      <c r="AP40" s="872"/>
    </row>
    <row customHeight="1" ht="23.25">
      <c r="A41" s="1729" t="s">
        <v>221</v>
      </c>
      <c r="B41" s="1729"/>
      <c r="C41" s="1729"/>
      <c r="D41" s="1729"/>
      <c r="E41" s="2527">
        <v>1</v>
      </c>
      <c r="F41" s="1729"/>
      <c r="G41" s="1729"/>
      <c r="H41" s="1729"/>
      <c r="I41" s="1729"/>
      <c r="J41" s="1729"/>
      <c r="K41" s="1729"/>
      <c r="L41" s="1730"/>
      <c r="M41" s="1731"/>
      <c r="N41" s="1731"/>
      <c r="O41" s="1731"/>
      <c r="P41" s="722"/>
      <c r="Q41" s="721"/>
      <c r="R41" s="716"/>
      <c r="S41" s="1724">
        <f>INDEX(PT_DIFFERENTIATION_NUM_NTAR,MATCH(A41,PT_DIFFERENTIATION_NTAR_ID,0))</f>
        <v>0</v>
      </c>
      <c r="T41" s="659" t="s">
        <v>120</v>
      </c>
      <c r="U41" s="661"/>
      <c r="V41" s="2521"/>
      <c r="W41" s="2522"/>
      <c r="X41" s="2522"/>
      <c r="Y41" s="2522"/>
      <c r="Z41" s="2522"/>
      <c r="AA41" s="2522"/>
      <c r="AB41" s="2523"/>
      <c r="AC41" s="2521" t="str">
        <f>INDEX(PT_DIFFERENTIATION_NTAR,MATCH(A41,PT_DIFFERENTIATION_NTAR_ID,0))</f>
        <v/>
      </c>
      <c r="AD41" s="2522"/>
      <c r="AE41" s="2522"/>
      <c r="AF41" s="2522"/>
      <c r="AG41" s="2522"/>
      <c r="AH41" s="2522"/>
      <c r="AI41" s="2522"/>
      <c r="AJ41" s="2523"/>
      <c r="AK41" s="16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861"/>
      <c r="AN41" s="861" t="str">
        <f>IF(T41="","",T41)</f>
        <v>Наименование тарифа</v>
      </c>
      <c r="AO41" s="861"/>
      <c r="AP41" s="861"/>
    </row>
    <row customHeight="1" ht="23.25">
      <c r="A42" s="1729" t="s">
        <v>221</v>
      </c>
      <c r="B42" s="1729" t="s">
        <v>222</v>
      </c>
      <c r="C42" s="1729"/>
      <c r="D42" s="1729"/>
      <c r="E42" s="2528"/>
      <c r="F42" s="2527">
        <v>1</v>
      </c>
      <c r="G42" s="1729"/>
      <c r="H42" s="1729"/>
      <c r="I42" s="1729"/>
      <c r="J42" s="1729"/>
      <c r="K42" s="1729"/>
      <c r="L42" s="1730"/>
      <c r="M42" s="1731"/>
      <c r="N42" s="1731"/>
      <c r="O42" s="1731"/>
      <c r="P42" s="1722"/>
      <c r="Q42" s="713"/>
      <c r="R42" s="714"/>
      <c r="S42" s="1724" t="str">
        <f>INDEX(PT_DIFFERENTIATION_NUM_TER,MATCH(B42,PT_DIFFERENTIATION_TER_ID,0))</f>
        <v>.</v>
      </c>
      <c r="T42" s="669" t="s">
        <v>397</v>
      </c>
      <c r="U42" s="661"/>
      <c r="V42" s="2521"/>
      <c r="W42" s="2522"/>
      <c r="X42" s="2522"/>
      <c r="Y42" s="2522"/>
      <c r="Z42" s="2522"/>
      <c r="AA42" s="2522"/>
      <c r="AB42" s="2523"/>
      <c r="AC42" s="2521" t="str">
        <f>INDEX(PT_DIFFERENTIATION_TER,MATCH(B42,PT_DIFFERENTIATION_TER_ID,0))</f>
        <v/>
      </c>
      <c r="AD42" s="2522"/>
      <c r="AE42" s="2522"/>
      <c r="AF42" s="2522"/>
      <c r="AG42" s="2522"/>
      <c r="AH42" s="2522"/>
      <c r="AI42" s="2522"/>
      <c r="AJ42" s="2523"/>
      <c r="AK42" s="1623" t="s">
        <v>398</v>
      </c>
      <c r="AM42" s="861"/>
      <c r="AN42" s="861" t="str">
        <f>IF(T42="","",T42)</f>
        <v>Территория действия тарифа</v>
      </c>
      <c r="AO42" s="861"/>
      <c r="AP42" s="861"/>
    </row>
    <row customHeight="1" ht="23.25">
      <c r="A43" s="1729" t="s">
        <v>221</v>
      </c>
      <c r="B43" s="1729" t="s">
        <v>222</v>
      </c>
      <c r="C43" s="1729" t="s">
        <v>223</v>
      </c>
      <c r="D43" s="1729"/>
      <c r="E43" s="2528"/>
      <c r="F43" s="2528"/>
      <c r="G43" s="2527">
        <v>1</v>
      </c>
      <c r="H43" s="1729"/>
      <c r="I43" s="1729"/>
      <c r="J43" s="1729"/>
      <c r="K43" s="1729"/>
      <c r="L43" s="1730"/>
      <c r="M43" s="1731"/>
      <c r="N43" s="1731"/>
      <c r="O43" s="1731"/>
      <c r="P43" s="715"/>
      <c r="Q43" s="713"/>
      <c r="R43" s="714"/>
      <c r="S43" s="1724" t="str">
        <f>INDEX(PT_DIFFERENTIATION_NUM_CS,MATCH(C43,PT_DIFFERENTIATION_CS_ID,0))</f>
        <v>..</v>
      </c>
      <c r="T43" s="670" t="s">
        <v>479</v>
      </c>
      <c r="U43" s="661"/>
      <c r="V43" s="2521"/>
      <c r="W43" s="2522"/>
      <c r="X43" s="2522"/>
      <c r="Y43" s="2522"/>
      <c r="Z43" s="2522"/>
      <c r="AA43" s="2522"/>
      <c r="AB43" s="2523"/>
      <c r="AC43" s="2521" t="str">
        <f>INDEX(PT_DIFFERENTIATION_CS,MATCH(C43,PT_DIFFERENTIATION_CS_ID,0))</f>
        <v/>
      </c>
      <c r="AD43" s="2522"/>
      <c r="AE43" s="2522"/>
      <c r="AF43" s="2522"/>
      <c r="AG43" s="2522"/>
      <c r="AH43" s="2522"/>
      <c r="AI43" s="2522"/>
      <c r="AJ43" s="2523"/>
      <c r="AK43" s="1623" t="s">
        <v>480</v>
      </c>
      <c r="AM43" s="861"/>
      <c r="AN43" s="861" t="str">
        <f>IF(T43="","",T43)</f>
        <v>Наименование централизованной системы холодного водоснабжения</v>
      </c>
      <c r="AO43" s="861"/>
      <c r="AP43" s="861"/>
    </row>
    <row customHeight="1" ht="23.25">
      <c r="A44" s="1729" t="s">
        <v>221</v>
      </c>
      <c r="B44" s="1729" t="s">
        <v>222</v>
      </c>
      <c r="C44" s="1729" t="s">
        <v>223</v>
      </c>
      <c r="D44" s="1729" t="s">
        <v>493</v>
      </c>
      <c r="E44" s="2528"/>
      <c r="F44" s="2528"/>
      <c r="G44" s="2528"/>
      <c r="H44" s="2528"/>
      <c r="I44" s="2529" t="str">
        <f>S43&amp;".1"</f>
        <v>...1</v>
      </c>
      <c r="J44" s="1729"/>
      <c r="K44" s="1729"/>
      <c r="L44" s="1730"/>
      <c r="P44" s="2531">
        <v>1</v>
      </c>
      <c r="Q44" s="1720"/>
      <c r="R44" s="717"/>
      <c r="S44" s="1724" t="str">
        <f>$I44</f>
        <v>...1</v>
      </c>
      <c r="T44" s="646" t="s">
        <v>481</v>
      </c>
      <c r="U44" s="661"/>
      <c r="V44" s="2614"/>
      <c r="W44" s="2615"/>
      <c r="X44" s="2615"/>
      <c r="Y44" s="2615"/>
      <c r="Z44" s="2615"/>
      <c r="AA44" s="2615"/>
      <c r="AB44" s="2616"/>
      <c r="AC44" s="2617"/>
      <c r="AD44" s="2618"/>
      <c r="AE44" s="2618"/>
      <c r="AF44" s="2618"/>
      <c r="AG44" s="2618"/>
      <c r="AH44" s="2618"/>
      <c r="AI44" s="2618"/>
      <c r="AJ44" s="2619"/>
      <c r="AK44" s="1623" t="s">
        <v>482</v>
      </c>
      <c r="AM44" s="861"/>
      <c r="AN44" s="861" t="str">
        <f>IF(T44="","",T44)</f>
        <v>Наименование признака дифференциации</v>
      </c>
      <c r="AO44" s="861"/>
      <c r="AP44" s="861"/>
    </row>
    <row customHeight="1" ht="23.25">
      <c r="A45" s="1729" t="s">
        <v>221</v>
      </c>
      <c r="B45" s="1729" t="s">
        <v>222</v>
      </c>
      <c r="C45" s="1729" t="s">
        <v>223</v>
      </c>
      <c r="D45" s="1729" t="s">
        <v>493</v>
      </c>
      <c r="E45" s="2528"/>
      <c r="F45" s="2528"/>
      <c r="G45" s="2528"/>
      <c r="H45" s="2528"/>
      <c r="I45" s="2530"/>
      <c r="J45" s="2529" t="str">
        <f>I44&amp;".1"</f>
        <v>...1.1</v>
      </c>
      <c r="K45" s="1729"/>
      <c r="L45" s="1730" t="s">
        <v>406</v>
      </c>
      <c r="P45" s="2531"/>
      <c r="Q45" s="2531">
        <v>1</v>
      </c>
      <c r="R45" s="718"/>
      <c r="S45" s="1724" t="str">
        <f>$J45</f>
        <v>...1.1</v>
      </c>
      <c r="T45" s="647" t="s">
        <v>407</v>
      </c>
      <c r="U45" s="661"/>
      <c r="V45" s="2515"/>
      <c r="W45" s="2516"/>
      <c r="X45" s="2516"/>
      <c r="Y45" s="2516"/>
      <c r="Z45" s="2516"/>
      <c r="AA45" s="2516"/>
      <c r="AB45" s="2517"/>
      <c r="AC45" s="2515"/>
      <c r="AD45" s="2516"/>
      <c r="AE45" s="2516"/>
      <c r="AF45" s="2516"/>
      <c r="AG45" s="2516"/>
      <c r="AH45" s="2516"/>
      <c r="AI45" s="2516"/>
      <c r="AJ45" s="2517"/>
      <c r="AK45" s="1673" t="s">
        <v>483</v>
      </c>
      <c r="AM45" s="861"/>
      <c r="AN45" s="861" t="str">
        <f>IF(T45="","",T45)</f>
        <v>Группа потребителей</v>
      </c>
      <c r="AO45" s="861"/>
      <c r="AP45" s="861"/>
    </row>
    <row customHeight="1" ht="23.25">
      <c r="A46" s="1729" t="s">
        <v>221</v>
      </c>
      <c r="B46" s="1729" t="s">
        <v>222</v>
      </c>
      <c r="C46" s="1729" t="s">
        <v>223</v>
      </c>
      <c r="D46" s="1729" t="s">
        <v>493</v>
      </c>
      <c r="E46" s="2528"/>
      <c r="F46" s="2528"/>
      <c r="G46" s="2528"/>
      <c r="H46" s="2528"/>
      <c r="I46" s="2530"/>
      <c r="J46" s="2530"/>
      <c r="K46" s="2529" t="str">
        <f>J45&amp;".1"</f>
        <v>...1.1.1</v>
      </c>
      <c r="L46" s="1730"/>
      <c r="P46" s="2531"/>
      <c r="Q46" s="2531"/>
      <c r="R46" s="718">
        <v>1</v>
      </c>
      <c r="S46" s="1724" t="str">
        <f>$K46</f>
        <v>...1.1.1</v>
      </c>
      <c r="T46" s="1803"/>
      <c r="U46" s="661"/>
      <c r="V46" s="1726"/>
      <c r="W46" s="1726"/>
      <c r="X46" s="1727"/>
      <c r="Y46" s="2525"/>
      <c r="Z46" s="2524" t="s">
        <v>59</v>
      </c>
      <c r="AA46" s="2525"/>
      <c r="AB46" s="2524" t="s">
        <v>59</v>
      </c>
      <c r="AC46" s="1112"/>
      <c r="AD46" s="1112"/>
      <c r="AE46" s="1622"/>
      <c r="AF46" s="2532"/>
      <c r="AG46" s="2402" t="s">
        <v>59</v>
      </c>
      <c r="AH46" s="2534"/>
      <c r="AI46" s="2402" t="s">
        <v>54</v>
      </c>
      <c r="AJ46" s="1804"/>
      <c r="AK46" s="26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872">
        <f>STRCHECKDATE(V47:AJ47)</f>
      </c>
      <c r="AM46" s="861"/>
      <c r="AN46" s="861" t="str">
        <f>IF(T46="","",T46)</f>
        <v/>
      </c>
      <c r="AO46" s="861"/>
      <c r="AP46" s="861"/>
    </row>
    <row customHeight="1" ht="0">
      <c r="A47" s="1729" t="s">
        <v>221</v>
      </c>
      <c r="B47" s="1729" t="s">
        <v>222</v>
      </c>
      <c r="C47" s="1729" t="s">
        <v>223</v>
      </c>
      <c r="D47" s="1729" t="s">
        <v>493</v>
      </c>
      <c r="E47" s="2528"/>
      <c r="F47" s="2528"/>
      <c r="G47" s="2528"/>
      <c r="H47" s="2528"/>
      <c r="I47" s="2530"/>
      <c r="J47" s="2530"/>
      <c r="K47" s="2529"/>
      <c r="L47" s="1730"/>
      <c r="P47" s="2531"/>
      <c r="Q47" s="2531"/>
      <c r="R47" s="718"/>
      <c r="S47" s="1725"/>
      <c r="T47" s="661"/>
      <c r="U47" s="661"/>
      <c r="V47" s="1726"/>
      <c r="W47" s="1726"/>
      <c r="X47" s="689" t="str">
        <f>Y46&amp;"-"&amp;AA46</f>
        <v>-</v>
      </c>
      <c r="Y47" s="2524"/>
      <c r="Z47" s="2524"/>
      <c r="AA47" s="2524"/>
      <c r="AB47" s="2524"/>
      <c r="AC47" s="686"/>
      <c r="AD47" s="686"/>
      <c r="AE47" s="689" t="str">
        <f>AF46&amp;"-"&amp;AH46</f>
        <v>-</v>
      </c>
      <c r="AF47" s="2533"/>
      <c r="AG47" s="2402"/>
      <c r="AH47" s="2535"/>
      <c r="AI47" s="2402"/>
      <c r="AJ47" s="1805"/>
      <c r="AK47" s="2620"/>
      <c r="AM47" s="861"/>
      <c r="AN47" s="861" t="str">
        <f>IF(T47="","",T47)</f>
        <v/>
      </c>
      <c r="AO47" s="861"/>
      <c r="AP47" s="861"/>
    </row>
    <row customHeight="1" ht="21">
      <c r="A48" s="1729" t="s">
        <v>221</v>
      </c>
      <c r="B48" s="1729" t="s">
        <v>222</v>
      </c>
      <c r="C48" s="1729" t="s">
        <v>223</v>
      </c>
      <c r="D48" s="1729" t="s">
        <v>493</v>
      </c>
      <c r="E48" s="2528"/>
      <c r="F48" s="2528"/>
      <c r="G48" s="2528"/>
      <c r="H48" s="2528"/>
      <c r="I48" s="2530"/>
      <c r="J48" s="2529"/>
      <c r="K48" s="1729"/>
      <c r="L48" s="1730"/>
      <c r="P48" s="2531"/>
      <c r="Q48" s="2531"/>
      <c r="R48" s="717"/>
      <c r="S48" s="1644"/>
      <c r="T48" s="648" t="s">
        <v>484</v>
      </c>
      <c r="U48" s="728"/>
      <c r="V48" s="728"/>
      <c r="W48" s="728"/>
      <c r="X48" s="728"/>
      <c r="Y48" s="728"/>
      <c r="Z48" s="728"/>
      <c r="AA48" s="728"/>
      <c r="AB48" s="728"/>
      <c r="AC48" s="728"/>
      <c r="AD48" s="728"/>
      <c r="AE48" s="728"/>
      <c r="AF48" s="728"/>
      <c r="AG48" s="728"/>
      <c r="AH48" s="728"/>
      <c r="AI48" s="728"/>
      <c r="AJ48" s="728"/>
      <c r="AK48" s="1623" t="s">
        <v>485</v>
      </c>
      <c r="AM48" s="861"/>
      <c r="AN48" s="861" t="str">
        <f>IF(T48="","",T48)</f>
        <v>Добавить значение признака дифференциации</v>
      </c>
      <c r="AO48" s="861"/>
      <c r="AP48" s="861"/>
    </row>
    <row customHeight="1" ht="21">
      <c r="A49" s="1729" t="s">
        <v>221</v>
      </c>
      <c r="B49" s="1729" t="s">
        <v>222</v>
      </c>
      <c r="C49" s="1729" t="s">
        <v>223</v>
      </c>
      <c r="D49" s="1729" t="s">
        <v>493</v>
      </c>
      <c r="E49" s="2528"/>
      <c r="F49" s="2528"/>
      <c r="G49" s="2528"/>
      <c r="H49" s="2528"/>
      <c r="I49" s="2529"/>
      <c r="J49" s="1729"/>
      <c r="K49" s="1729"/>
      <c r="L49" s="1730"/>
      <c r="P49" s="2531"/>
      <c r="Q49" s="1720"/>
      <c r="R49" s="717"/>
      <c r="S49" s="1644"/>
      <c r="T49" s="726" t="s">
        <v>412</v>
      </c>
      <c r="U49" s="728"/>
      <c r="V49" s="728"/>
      <c r="W49" s="728"/>
      <c r="X49" s="728"/>
      <c r="Y49" s="728"/>
      <c r="Z49" s="728"/>
      <c r="AA49" s="728"/>
      <c r="AB49" s="727"/>
      <c r="AC49" s="728"/>
      <c r="AD49" s="728"/>
      <c r="AE49" s="728"/>
      <c r="AF49" s="728"/>
      <c r="AG49" s="728"/>
      <c r="AH49" s="728"/>
      <c r="AI49" s="727"/>
      <c r="AJ49" s="728"/>
      <c r="AK49" s="1806"/>
      <c r="AM49" s="861"/>
      <c r="AN49" s="861" t="str">
        <f>IF(T49="","",T49)</f>
        <v>Добавить группу потребителей</v>
      </c>
      <c r="AO49" s="861"/>
      <c r="AP49" s="861"/>
    </row>
    <row customHeight="1" ht="21">
      <c r="A50" s="1729" t="s">
        <v>221</v>
      </c>
      <c r="B50" s="1729" t="s">
        <v>222</v>
      </c>
      <c r="C50" s="1729" t="s">
        <v>223</v>
      </c>
      <c r="D50" s="1729" t="s">
        <v>493</v>
      </c>
      <c r="E50" s="2528"/>
      <c r="F50" s="2528"/>
      <c r="G50" s="2528"/>
      <c r="H50" s="2527"/>
      <c r="I50" s="1729"/>
      <c r="J50" s="1729"/>
      <c r="K50" s="1729"/>
      <c r="L50" s="1730"/>
      <c r="M50" s="1731"/>
      <c r="N50" s="1731"/>
      <c r="O50" s="898"/>
      <c r="P50" s="721"/>
      <c r="Q50" s="736"/>
      <c r="R50" s="716"/>
      <c r="S50" s="1644"/>
      <c r="T50" s="733" t="s">
        <v>486</v>
      </c>
      <c r="U50" s="728"/>
      <c r="V50" s="728"/>
      <c r="W50" s="728"/>
      <c r="X50" s="728"/>
      <c r="Y50" s="728"/>
      <c r="Z50" s="728"/>
      <c r="AA50" s="728"/>
      <c r="AB50" s="727"/>
      <c r="AC50" s="728"/>
      <c r="AD50" s="728"/>
      <c r="AE50" s="728"/>
      <c r="AF50" s="728"/>
      <c r="AG50" s="728"/>
      <c r="AH50" s="728"/>
      <c r="AI50" s="727"/>
      <c r="AJ50" s="728"/>
      <c r="AK50" s="664"/>
      <c r="AM50" s="861"/>
      <c r="AN50" s="861" t="str">
        <f>IF(T50="","",T50)</f>
        <v>Добавить наименование признака дифференциации</v>
      </c>
      <c r="AO50" s="861"/>
      <c r="AP50" s="861"/>
    </row>
    <row s="19127" customFormat="1" customHeight="1" ht="0">
      <c r="A51" s="1709" t="s">
        <v>221</v>
      </c>
      <c r="B51" s="1709" t="s">
        <v>222</v>
      </c>
      <c r="C51" s="1680"/>
      <c r="D51" s="1680"/>
      <c r="E51" s="2528"/>
      <c r="F51" s="2527"/>
      <c r="G51" s="1680"/>
      <c r="H51" s="1680"/>
      <c r="I51" s="1680"/>
      <c r="J51" s="1680"/>
      <c r="K51" s="1680"/>
      <c r="L51" s="1792"/>
      <c r="M51" s="1687"/>
      <c r="N51" s="1687"/>
      <c r="P51" s="1682"/>
      <c r="Q51" s="1683"/>
      <c r="R51" s="1682"/>
      <c r="S51" s="1688"/>
      <c r="T51" s="1691" t="s">
        <v>251</v>
      </c>
      <c r="U51" s="1690"/>
      <c r="V51" s="1690"/>
      <c r="W51" s="1690"/>
      <c r="X51" s="1690"/>
      <c r="Y51" s="1690"/>
      <c r="Z51" s="1690"/>
      <c r="AA51" s="1690"/>
      <c r="AB51" s="1690"/>
      <c r="AC51" s="1690"/>
      <c r="AD51" s="1690"/>
      <c r="AE51" s="1690"/>
      <c r="AF51" s="1690"/>
      <c r="AG51" s="1690"/>
      <c r="AH51" s="1690"/>
      <c r="AI51" s="1690"/>
      <c r="AJ51" s="1690"/>
      <c r="AK51" s="1690"/>
      <c r="AM51" s="1150"/>
      <c r="AN51" s="1150" t="str">
        <f>IF(T51="","",T51)</f>
        <v>Добавить централизованную систему для дифференциации</v>
      </c>
      <c r="AO51" s="1150"/>
      <c r="AP51" s="1150"/>
    </row>
    <row s="19219" customFormat="1" customHeight="1" ht="0">
      <c r="A52" s="1709" t="s">
        <v>221</v>
      </c>
      <c r="B52" s="1709"/>
      <c r="C52" s="1709"/>
      <c r="D52" s="1709"/>
      <c r="E52" s="2527"/>
      <c r="F52" s="1709"/>
      <c r="G52" s="1709"/>
      <c r="H52" s="1709"/>
      <c r="I52" s="1709"/>
      <c r="J52" s="1709"/>
      <c r="K52" s="1709"/>
      <c r="L52" s="1712"/>
      <c r="M52" s="1687"/>
      <c r="N52" s="1687"/>
      <c r="O52" s="879"/>
      <c r="P52" s="741"/>
      <c r="Q52" s="1710"/>
      <c r="R52" s="741"/>
      <c r="S52" s="1688"/>
      <c r="T52" s="1691" t="s">
        <v>252</v>
      </c>
      <c r="U52" s="1690"/>
      <c r="V52" s="1690"/>
      <c r="W52" s="1690"/>
      <c r="X52" s="1690"/>
      <c r="Y52" s="1690"/>
      <c r="Z52" s="1690"/>
      <c r="AA52" s="1690"/>
      <c r="AB52" s="1690"/>
      <c r="AC52" s="1690"/>
      <c r="AD52" s="1690"/>
      <c r="AE52" s="1690"/>
      <c r="AF52" s="1690"/>
      <c r="AG52" s="1690"/>
      <c r="AH52" s="1690"/>
      <c r="AI52" s="1690"/>
      <c r="AJ52" s="1690"/>
      <c r="AK52" s="1690"/>
      <c r="AM52" s="861"/>
      <c r="AN52" s="861" t="str">
        <f>IF(T52="","",T52)</f>
        <v>Добавить территорию для дифференциации</v>
      </c>
      <c r="AO52" s="861"/>
      <c r="AP52" s="861"/>
    </row>
    <row s="19127" customFormat="1" customHeight="1" ht="0">
      <c r="A53" s="1680"/>
      <c r="B53" s="1680"/>
      <c r="C53" s="1680"/>
      <c r="D53" s="1680"/>
      <c r="E53" s="1709"/>
      <c r="F53" s="1680"/>
      <c r="G53" s="1680"/>
      <c r="H53" s="1680"/>
      <c r="I53" s="1680"/>
      <c r="J53" s="1680"/>
      <c r="K53" s="1680"/>
      <c r="L53" s="1792"/>
      <c r="M53" s="1687"/>
      <c r="N53" s="1687"/>
      <c r="P53" s="1682"/>
      <c r="Q53" s="1683"/>
      <c r="R53" s="1682"/>
      <c r="S53" s="1688"/>
      <c r="T53" s="1691" t="s">
        <v>253</v>
      </c>
      <c r="U53" s="1690"/>
      <c r="V53" s="1690"/>
      <c r="W53" s="1690"/>
      <c r="X53" s="1690"/>
      <c r="Y53" s="1690"/>
      <c r="Z53" s="1690"/>
      <c r="AA53" s="1690"/>
      <c r="AB53" s="1690"/>
      <c r="AC53" s="1690"/>
      <c r="AD53" s="1690"/>
      <c r="AE53" s="1690"/>
      <c r="AF53" s="1690"/>
      <c r="AG53" s="1690"/>
      <c r="AH53" s="1690"/>
      <c r="AI53" s="1690"/>
      <c r="AJ53" s="1690"/>
      <c r="AK53" s="1690"/>
      <c r="AM53" s="1150"/>
      <c r="AN53" s="1150" t="str">
        <f>IF(T53="","",T53)</f>
        <v>Добавить наименование тарифа</v>
      </c>
      <c r="AO53" s="1150"/>
      <c r="AP53" s="1150"/>
    </row>
    <row customHeight="1" ht="11.25">
      <c r="M54" s="1523"/>
      <c r="N54" s="1523"/>
      <c r="O54" s="898"/>
      <c r="P54" s="1518"/>
      <c r="Q54" s="1518"/>
      <c r="R54" s="1518"/>
      <c r="S54" s="1518"/>
      <c r="AL54" s="1518"/>
      <c r="AM54" s="1518"/>
      <c r="AN54" s="1518"/>
      <c r="AO54" s="1518"/>
      <c r="AP54" s="1518"/>
    </row>
    <row customHeight="1" ht="14.25">
      <c r="O55" s="898"/>
      <c r="S55" s="1618"/>
      <c r="T55" s="2526"/>
      <c r="U55" s="2526"/>
      <c r="V55" s="2526"/>
      <c r="W55" s="2526"/>
      <c r="X55" s="2526"/>
      <c r="Y55" s="2526"/>
      <c r="Z55" s="2526"/>
      <c r="AA55" s="2526"/>
      <c r="AB55" s="2526"/>
      <c r="AC55" s="2526"/>
      <c r="AD55" s="2526"/>
      <c r="AE55" s="2526"/>
      <c r="AF55" s="2526"/>
      <c r="AG55" s="2526"/>
      <c r="AH55" s="2526"/>
      <c r="AI55" s="2526"/>
      <c r="AJ55" s="2526"/>
      <c r="AK55" s="2526"/>
    </row>
    <row customHeight="1" ht="14.25">
      <c r="O56" s="898"/>
    </row>
    <row customHeight="1" ht="14.25">
      <c r="O57" s="898"/>
      <c r="S57" s="1618"/>
      <c r="T57" s="2526"/>
      <c r="U57" s="2526"/>
      <c r="V57" s="2526"/>
      <c r="W57" s="2526"/>
      <c r="X57" s="2526"/>
      <c r="Y57" s="2526"/>
      <c r="Z57" s="2526"/>
      <c r="AA57" s="2526"/>
      <c r="AB57" s="2526"/>
      <c r="AC57" s="2526"/>
      <c r="AD57" s="2526"/>
      <c r="AE57" s="2526"/>
      <c r="AF57" s="2526"/>
      <c r="AG57" s="2526"/>
      <c r="AH57" s="2526"/>
      <c r="AI57" s="2526"/>
      <c r="AJ57" s="2526"/>
      <c r="AK57" s="2526"/>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F617FB-7E94-EE6E-E35F-60131C2BC60E}"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9146" width="10.57421875" hidden="1"/>
    <col min="2" max="2" style="19146" width="11.00390625" hidden="1" customWidth="1"/>
    <col min="3" max="3" style="19146" width="10.57421875" hidden="1"/>
    <col min="4" max="4" style="19146" width="11.8515625" hidden="1" customWidth="1"/>
    <col min="5" max="5" style="19146" width="10.00390625" hidden="1" customWidth="1"/>
    <col min="6" max="6" style="19146" width="8.7109375" hidden="1" customWidth="1"/>
    <col min="7" max="7" style="19146" width="7.57421875" hidden="1" customWidth="1"/>
    <col min="8" max="8" style="19146" width="11.421875" hidden="1" customWidth="1"/>
    <col min="9" max="9" style="19146" width="14.140625" hidden="1" customWidth="1"/>
    <col min="10" max="10" style="19146" width="9.8515625" hidden="1" customWidth="1"/>
    <col min="11" max="11" style="19146" width="14.7109375" hidden="1" customWidth="1"/>
    <col min="12" max="12" style="19441" width="19.140625" hidden="1" customWidth="1"/>
    <col min="13" max="14" style="19228" width="12.28125" hidden="1" customWidth="1"/>
    <col min="15" max="15" style="19228" width="23.421875" hidden="1" customWidth="1"/>
    <col min="16" max="16" style="19442" width="3.7109375" customWidth="1"/>
    <col min="17" max="18" style="19230" width="3.7109375" customWidth="1"/>
    <col min="19" max="19" style="19231" width="12.7109375" customWidth="1"/>
    <col min="20" max="20" style="19232" width="35.7109375" customWidth="1"/>
    <col min="21" max="21" style="19232" width="0.140625" customWidth="1"/>
    <col min="22" max="24" style="19232" width="24.7109375" hidden="1" customWidth="1"/>
    <col min="25" max="25" style="19232" width="11.7109375" hidden="1" customWidth="1"/>
    <col min="26" max="26" style="19232" width="3.7109375" hidden="1" customWidth="1"/>
    <col min="27" max="27" style="19232" width="11.7109375" hidden="1" customWidth="1"/>
    <col min="28" max="28" style="19232" width="8.57421875" hidden="1" customWidth="1"/>
    <col min="29" max="31" style="19232" width="24.7109375" customWidth="1"/>
    <col min="32" max="32" style="19232" width="11.7109375" customWidth="1"/>
    <col min="33" max="33" style="19232" width="3.7109375" customWidth="1"/>
    <col min="34" max="34" style="19232" width="11.7109375" customWidth="1"/>
    <col min="35" max="35" style="19232" width="8.57421875" hidden="1" customWidth="1"/>
    <col min="36" max="36" style="19232" width="4.7109375" customWidth="1"/>
    <col min="37" max="37" style="19232" width="115.7109375" customWidth="1"/>
    <col min="38" max="39" style="19219" width="10.57421875"/>
    <col min="40" max="40" style="19219" width="11.140625" customWidth="1"/>
    <col min="41" max="42" style="19219" width="10.57421875"/>
  </cols>
  <sheetData>
    <row customHeight="1" ht="14.25" hidden="1">
      <c r="X1" s="688"/>
      <c r="Y1" s="688"/>
      <c r="AE1" s="688"/>
      <c r="AF1" s="688"/>
    </row>
    <row customHeight="1" ht="23.25" hidden="1">
      <c r="A2" s="1729"/>
      <c r="B2" s="1729"/>
      <c r="C2" s="1729"/>
      <c r="D2" s="1729"/>
      <c r="E2" s="2527">
        <v>1</v>
      </c>
      <c r="F2" s="1729"/>
      <c r="G2" s="1729"/>
      <c r="H2" s="1729"/>
      <c r="I2" s="1729"/>
      <c r="J2" s="1729"/>
      <c r="K2" s="1729"/>
      <c r="L2" s="1730"/>
      <c r="M2" s="1731"/>
      <c r="N2" s="1731"/>
      <c r="O2" s="1731"/>
      <c r="P2" s="722"/>
      <c r="Q2" s="721"/>
      <c r="R2" s="716"/>
      <c r="S2" s="1823">
        <f>INDEX(PT_DIFFERENTIATION_NUM_NTAR,MATCH(A2,PT_DIFFERENTIATION_NTAR_ID,0))</f>
      </c>
      <c r="T2" s="659" t="s">
        <v>120</v>
      </c>
      <c r="U2" s="661"/>
      <c r="V2" s="2521"/>
      <c r="W2" s="2522"/>
      <c r="X2" s="2522"/>
      <c r="Y2" s="2522"/>
      <c r="Z2" s="2522"/>
      <c r="AA2" s="2522"/>
      <c r="AB2" s="2523"/>
      <c r="AC2" s="2521">
        <f>INDEX(PT_DIFFERENTIATION_NTAR,MATCH(A2,PT_DIFFERENTIATION_NTAR_ID,0))</f>
      </c>
      <c r="AD2" s="2522"/>
      <c r="AE2" s="2522"/>
      <c r="AF2" s="2522"/>
      <c r="AG2" s="2522"/>
      <c r="AH2" s="2522"/>
      <c r="AI2" s="2522"/>
      <c r="AJ2" s="2523"/>
      <c r="AK2" s="16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861"/>
      <c r="AN2" s="861" t="str">
        <f>IF(T2="","",T2)</f>
        <v>Наименование тарифа</v>
      </c>
      <c r="AO2" s="861"/>
      <c r="AP2" s="861"/>
    </row>
    <row customHeight="1" ht="23.25" hidden="1">
      <c r="A3" s="1729"/>
      <c r="B3" s="1729"/>
      <c r="C3" s="1729"/>
      <c r="D3" s="1729"/>
      <c r="E3" s="2528"/>
      <c r="F3" s="2527">
        <v>1</v>
      </c>
      <c r="G3" s="1729"/>
      <c r="H3" s="1729"/>
      <c r="I3" s="1729"/>
      <c r="J3" s="1729"/>
      <c r="K3" s="1729"/>
      <c r="L3" s="1730"/>
      <c r="M3" s="1731"/>
      <c r="N3" s="1731"/>
      <c r="O3" s="1731"/>
      <c r="P3" s="1819"/>
      <c r="Q3" s="713"/>
      <c r="R3" s="714"/>
      <c r="S3" s="1823">
        <f>INDEX(PT_DIFFERENTIATION_NUM_TER,MATCH(B3,PT_DIFFERENTIATION_TER_ID,0))</f>
      </c>
      <c r="T3" s="669" t="s">
        <v>397</v>
      </c>
      <c r="U3" s="661"/>
      <c r="V3" s="2521"/>
      <c r="W3" s="2522"/>
      <c r="X3" s="2522"/>
      <c r="Y3" s="2522"/>
      <c r="Z3" s="2522"/>
      <c r="AA3" s="2522"/>
      <c r="AB3" s="2523"/>
      <c r="AC3" s="2521">
        <f>INDEX(PT_DIFFERENTIATION_TER,MATCH(B3,PT_DIFFERENTIATION_TER_ID,0))</f>
      </c>
      <c r="AD3" s="2522"/>
      <c r="AE3" s="2522"/>
      <c r="AF3" s="2522"/>
      <c r="AG3" s="2522"/>
      <c r="AH3" s="2522"/>
      <c r="AI3" s="2522"/>
      <c r="AJ3" s="2523"/>
      <c r="AK3" s="1623" t="s">
        <v>398</v>
      </c>
      <c r="AM3" s="861"/>
      <c r="AN3" s="861" t="str">
        <f>IF(T3="","",T3)</f>
        <v>Территория действия тарифа</v>
      </c>
      <c r="AO3" s="861"/>
      <c r="AP3" s="861"/>
    </row>
    <row customHeight="1" ht="23.25" hidden="1">
      <c r="A4" s="1729"/>
      <c r="B4" s="1729"/>
      <c r="C4" s="1729"/>
      <c r="D4" s="1729"/>
      <c r="E4" s="2528"/>
      <c r="F4" s="2528"/>
      <c r="G4" s="2527">
        <v>1</v>
      </c>
      <c r="H4" s="1729"/>
      <c r="I4" s="1729"/>
      <c r="J4" s="1729"/>
      <c r="K4" s="1729"/>
      <c r="L4" s="1730"/>
      <c r="M4" s="1731"/>
      <c r="N4" s="1731"/>
      <c r="O4" s="1731"/>
      <c r="P4" s="715"/>
      <c r="Q4" s="713"/>
      <c r="R4" s="714"/>
      <c r="S4" s="1823">
        <f>INDEX(PT_DIFFERENTIATION_NUM_CS,MATCH(C4,PT_DIFFERENTIATION_CS_ID,0))</f>
      </c>
      <c r="T4" s="670" t="s">
        <v>479</v>
      </c>
      <c r="U4" s="661"/>
      <c r="V4" s="2521"/>
      <c r="W4" s="2522"/>
      <c r="X4" s="2522"/>
      <c r="Y4" s="2522"/>
      <c r="Z4" s="2522"/>
      <c r="AA4" s="2522"/>
      <c r="AB4" s="2523"/>
      <c r="AC4" s="2521">
        <f>INDEX(PT_DIFFERENTIATION_CS,MATCH(C4,PT_DIFFERENTIATION_CS_ID,0))</f>
      </c>
      <c r="AD4" s="2522"/>
      <c r="AE4" s="2522"/>
      <c r="AF4" s="2522"/>
      <c r="AG4" s="2522"/>
      <c r="AH4" s="2522"/>
      <c r="AI4" s="2522"/>
      <c r="AJ4" s="2523"/>
      <c r="AK4" s="1623" t="s">
        <v>480</v>
      </c>
      <c r="AM4" s="861"/>
      <c r="AN4" s="861" t="str">
        <f>IF(T4="","",T4)</f>
        <v>Наименование централизованной системы холодного водоснабжения</v>
      </c>
      <c r="AO4" s="861"/>
      <c r="AP4" s="861"/>
    </row>
    <row customHeight="1" ht="23.25" hidden="1">
      <c r="A5" s="1729"/>
      <c r="B5" s="1729"/>
      <c r="C5" s="1729"/>
      <c r="D5" s="1729"/>
      <c r="E5" s="2528"/>
      <c r="F5" s="2528"/>
      <c r="G5" s="2528"/>
      <c r="H5" s="2528"/>
      <c r="I5" s="2529">
        <f>S4&amp;".1"</f>
      </c>
      <c r="J5" s="1729"/>
      <c r="K5" s="1729"/>
      <c r="L5" s="1730"/>
      <c r="P5" s="2531">
        <v>1</v>
      </c>
      <c r="Q5" s="1816"/>
      <c r="R5" s="717"/>
      <c r="S5" s="1823">
        <f>$I5</f>
      </c>
      <c r="T5" s="646" t="s">
        <v>481</v>
      </c>
      <c r="U5" s="661"/>
      <c r="V5" s="2614"/>
      <c r="W5" s="2615"/>
      <c r="X5" s="2615"/>
      <c r="Y5" s="2615"/>
      <c r="Z5" s="2615"/>
      <c r="AA5" s="2615"/>
      <c r="AB5" s="2616"/>
      <c r="AC5" s="2617"/>
      <c r="AD5" s="2618"/>
      <c r="AE5" s="2618"/>
      <c r="AF5" s="2618"/>
      <c r="AG5" s="2618"/>
      <c r="AH5" s="2618"/>
      <c r="AI5" s="2618"/>
      <c r="AJ5" s="2619"/>
      <c r="AK5" s="1623" t="s">
        <v>482</v>
      </c>
      <c r="AM5" s="861"/>
      <c r="AN5" s="861" t="str">
        <f>IF(T5="","",T5)</f>
        <v>Наименование признака дифференциации</v>
      </c>
      <c r="AO5" s="861"/>
      <c r="AP5" s="861"/>
    </row>
    <row customHeight="1" ht="23.25" hidden="1">
      <c r="A6" s="1729"/>
      <c r="B6" s="1729"/>
      <c r="C6" s="1729"/>
      <c r="D6" s="1729"/>
      <c r="E6" s="2528"/>
      <c r="F6" s="2528"/>
      <c r="G6" s="2528"/>
      <c r="H6" s="2528"/>
      <c r="I6" s="2530"/>
      <c r="J6" s="2529">
        <f>I5&amp;".1"</f>
      </c>
      <c r="K6" s="1729"/>
      <c r="L6" s="1730" t="s">
        <v>406</v>
      </c>
      <c r="P6" s="2531"/>
      <c r="Q6" s="2531">
        <v>1</v>
      </c>
      <c r="R6" s="718"/>
      <c r="S6" s="1823">
        <f>$J6</f>
      </c>
      <c r="T6" s="647" t="s">
        <v>407</v>
      </c>
      <c r="U6" s="661"/>
      <c r="V6" s="2515"/>
      <c r="W6" s="2516"/>
      <c r="X6" s="2516"/>
      <c r="Y6" s="2516"/>
      <c r="Z6" s="2516"/>
      <c r="AA6" s="2516"/>
      <c r="AB6" s="2517"/>
      <c r="AC6" s="2515"/>
      <c r="AD6" s="2516"/>
      <c r="AE6" s="2516"/>
      <c r="AF6" s="2516"/>
      <c r="AG6" s="2516"/>
      <c r="AH6" s="2516"/>
      <c r="AI6" s="2516"/>
      <c r="AJ6" s="2517"/>
      <c r="AK6" s="1673" t="s">
        <v>483</v>
      </c>
      <c r="AM6" s="861"/>
      <c r="AN6" s="861" t="str">
        <f>IF(T6="","",T6)</f>
        <v>Группа потребителей</v>
      </c>
      <c r="AO6" s="861"/>
      <c r="AP6" s="861"/>
    </row>
    <row customHeight="1" ht="23.25" hidden="1">
      <c r="A7" s="1729"/>
      <c r="B7" s="1729"/>
      <c r="C7" s="1729"/>
      <c r="D7" s="1729"/>
      <c r="E7" s="2528"/>
      <c r="F7" s="2528"/>
      <c r="G7" s="2528"/>
      <c r="H7" s="2528"/>
      <c r="I7" s="2530"/>
      <c r="J7" s="2530"/>
      <c r="K7" s="2529">
        <f>J6&amp;".1"</f>
      </c>
      <c r="L7" s="1730"/>
      <c r="P7" s="2531"/>
      <c r="Q7" s="2531"/>
      <c r="R7" s="718">
        <v>1</v>
      </c>
      <c r="S7" s="1823">
        <f>$K7</f>
      </c>
      <c r="T7" s="1803"/>
      <c r="U7" s="661"/>
      <c r="V7" s="1112"/>
      <c r="W7" s="1112"/>
      <c r="X7" s="1622"/>
      <c r="Y7" s="2532"/>
      <c r="Z7" s="2402" t="s">
        <v>59</v>
      </c>
      <c r="AA7" s="2532"/>
      <c r="AB7" s="2402" t="s">
        <v>59</v>
      </c>
      <c r="AC7" s="1112"/>
      <c r="AD7" s="1112"/>
      <c r="AE7" s="1622"/>
      <c r="AF7" s="2532"/>
      <c r="AG7" s="2402" t="s">
        <v>59</v>
      </c>
      <c r="AH7" s="2534"/>
      <c r="AI7" s="2402" t="s">
        <v>59</v>
      </c>
      <c r="AJ7" s="1804"/>
      <c r="AK7" s="26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872">
        <f>STRCHECKDATE(V8:AJ8)</f>
      </c>
      <c r="AM7" s="861"/>
      <c r="AN7" s="861" t="str">
        <f>IF(T7="","",T7)</f>
        <v/>
      </c>
      <c r="AO7" s="861"/>
      <c r="AP7" s="861"/>
    </row>
    <row customHeight="1" ht="14.25" hidden="1">
      <c r="A8" s="1729"/>
      <c r="B8" s="1729"/>
      <c r="C8" s="1729"/>
      <c r="D8" s="1729"/>
      <c r="E8" s="2528"/>
      <c r="F8" s="2528"/>
      <c r="G8" s="2528"/>
      <c r="H8" s="2528"/>
      <c r="I8" s="2530"/>
      <c r="J8" s="2530"/>
      <c r="K8" s="2529"/>
      <c r="L8" s="1730"/>
      <c r="P8" s="2531"/>
      <c r="Q8" s="2531"/>
      <c r="R8" s="718"/>
      <c r="S8" s="1822"/>
      <c r="T8" s="661"/>
      <c r="U8" s="661"/>
      <c r="V8" s="686"/>
      <c r="W8" s="686"/>
      <c r="X8" s="689" t="str">
        <f>Y7&amp;"-"&amp;AA7</f>
        <v>-</v>
      </c>
      <c r="Y8" s="2533"/>
      <c r="Z8" s="2402"/>
      <c r="AA8" s="2533"/>
      <c r="AB8" s="2402"/>
      <c r="AC8" s="686"/>
      <c r="AD8" s="686"/>
      <c r="AE8" s="689" t="str">
        <f>AF7&amp;"-"&amp;AH7</f>
        <v>-</v>
      </c>
      <c r="AF8" s="2533"/>
      <c r="AG8" s="2402"/>
      <c r="AH8" s="2535"/>
      <c r="AI8" s="2402"/>
      <c r="AJ8" s="1805"/>
      <c r="AK8" s="2620"/>
      <c r="AM8" s="861"/>
      <c r="AN8" s="861" t="str">
        <f>IF(T8="","",T8)</f>
        <v/>
      </c>
      <c r="AO8" s="861"/>
      <c r="AP8" s="861"/>
    </row>
    <row customHeight="1" ht="21" hidden="1">
      <c r="A9" s="1729"/>
      <c r="B9" s="1729"/>
      <c r="C9" s="1729"/>
      <c r="D9" s="1729"/>
      <c r="E9" s="2528"/>
      <c r="F9" s="2528"/>
      <c r="G9" s="2528"/>
      <c r="H9" s="2528"/>
      <c r="I9" s="2530"/>
      <c r="J9" s="2529"/>
      <c r="K9" s="1729"/>
      <c r="L9" s="1730"/>
      <c r="P9" s="2531"/>
      <c r="Q9" s="2531"/>
      <c r="R9" s="717"/>
      <c r="S9" s="1644"/>
      <c r="T9" s="648" t="s">
        <v>484</v>
      </c>
      <c r="U9" s="728"/>
      <c r="V9" s="728"/>
      <c r="W9" s="728"/>
      <c r="X9" s="728"/>
      <c r="Y9" s="728"/>
      <c r="Z9" s="728"/>
      <c r="AA9" s="728"/>
      <c r="AB9" s="728"/>
      <c r="AC9" s="728"/>
      <c r="AD9" s="728"/>
      <c r="AE9" s="728"/>
      <c r="AF9" s="728"/>
      <c r="AG9" s="728"/>
      <c r="AH9" s="728"/>
      <c r="AI9" s="728"/>
      <c r="AJ9" s="728"/>
      <c r="AK9" s="1623" t="s">
        <v>485</v>
      </c>
      <c r="AM9" s="861"/>
      <c r="AN9" s="861" t="str">
        <f>IF(T9="","",T9)</f>
        <v>Добавить значение признака дифференциации</v>
      </c>
      <c r="AO9" s="861"/>
      <c r="AP9" s="861"/>
    </row>
    <row customHeight="1" ht="21" hidden="1">
      <c r="A10" s="1729"/>
      <c r="B10" s="1729"/>
      <c r="C10" s="1729"/>
      <c r="D10" s="1729"/>
      <c r="E10" s="2528"/>
      <c r="F10" s="2528"/>
      <c r="G10" s="2528"/>
      <c r="H10" s="2528"/>
      <c r="I10" s="2529"/>
      <c r="J10" s="1729"/>
      <c r="K10" s="1729"/>
      <c r="L10" s="1730"/>
      <c r="P10" s="2531"/>
      <c r="Q10" s="1816"/>
      <c r="R10" s="717"/>
      <c r="S10" s="1644"/>
      <c r="T10" s="726" t="s">
        <v>412</v>
      </c>
      <c r="U10" s="728"/>
      <c r="V10" s="728"/>
      <c r="W10" s="728"/>
      <c r="X10" s="728"/>
      <c r="Y10" s="728"/>
      <c r="Z10" s="728"/>
      <c r="AA10" s="728"/>
      <c r="AB10" s="727"/>
      <c r="AC10" s="728"/>
      <c r="AD10" s="728"/>
      <c r="AE10" s="728"/>
      <c r="AF10" s="728"/>
      <c r="AG10" s="728"/>
      <c r="AH10" s="728"/>
      <c r="AI10" s="727"/>
      <c r="AJ10" s="728"/>
      <c r="AK10" s="1806"/>
      <c r="AM10" s="861"/>
      <c r="AN10" s="861" t="str">
        <f>IF(T10="","",T10)</f>
        <v>Добавить группу потребителей</v>
      </c>
      <c r="AO10" s="861"/>
      <c r="AP10" s="861"/>
    </row>
    <row customHeight="1" ht="21" hidden="1">
      <c r="A11" s="1729"/>
      <c r="B11" s="1729"/>
      <c r="C11" s="1729"/>
      <c r="D11" s="1729"/>
      <c r="E11" s="2528"/>
      <c r="F11" s="2528"/>
      <c r="G11" s="2528"/>
      <c r="H11" s="2527"/>
      <c r="I11" s="1729"/>
      <c r="J11" s="1729"/>
      <c r="K11" s="1729"/>
      <c r="L11" s="1730"/>
      <c r="M11" s="1731"/>
      <c r="N11" s="1731"/>
      <c r="O11" s="898"/>
      <c r="P11" s="721"/>
      <c r="Q11" s="736"/>
      <c r="R11" s="716"/>
      <c r="S11" s="1644"/>
      <c r="T11" s="733" t="s">
        <v>486</v>
      </c>
      <c r="U11" s="728"/>
      <c r="V11" s="728"/>
      <c r="W11" s="728"/>
      <c r="X11" s="728"/>
      <c r="Y11" s="728"/>
      <c r="Z11" s="728"/>
      <c r="AA11" s="728"/>
      <c r="AB11" s="727"/>
      <c r="AC11" s="728"/>
      <c r="AD11" s="728"/>
      <c r="AE11" s="728"/>
      <c r="AF11" s="728"/>
      <c r="AG11" s="728"/>
      <c r="AH11" s="728"/>
      <c r="AI11" s="727"/>
      <c r="AJ11" s="728"/>
      <c r="AK11" s="664"/>
      <c r="AM11" s="861"/>
      <c r="AN11" s="861" t="str">
        <f>IF(T11="","",T11)</f>
        <v>Добавить наименование признака дифференциации</v>
      </c>
      <c r="AO11" s="861"/>
      <c r="AP11" s="861"/>
    </row>
    <row s="19127" customFormat="1" customHeight="1" ht="14.25" hidden="1">
      <c r="A12" s="1709"/>
      <c r="B12" s="1709"/>
      <c r="C12" s="1680"/>
      <c r="D12" s="1680"/>
      <c r="E12" s="2528"/>
      <c r="F12" s="2527"/>
      <c r="G12" s="1680"/>
      <c r="H12" s="1680"/>
      <c r="I12" s="1680"/>
      <c r="J12" s="1680"/>
      <c r="K12" s="1680"/>
      <c r="L12" s="1824"/>
      <c r="M12" s="1687"/>
      <c r="N12" s="1687"/>
      <c r="P12" s="1682"/>
      <c r="Q12" s="1683"/>
      <c r="R12" s="1682"/>
      <c r="S12" s="1688"/>
      <c r="T12" s="1691" t="s">
        <v>251</v>
      </c>
      <c r="U12" s="1690"/>
      <c r="V12" s="1690"/>
      <c r="W12" s="1690"/>
      <c r="X12" s="1690"/>
      <c r="Y12" s="1690"/>
      <c r="Z12" s="1690"/>
      <c r="AA12" s="1690"/>
      <c r="AB12" s="1690"/>
      <c r="AC12" s="1690"/>
      <c r="AD12" s="1690"/>
      <c r="AE12" s="1690"/>
      <c r="AF12" s="1690"/>
      <c r="AG12" s="1690"/>
      <c r="AH12" s="1690"/>
      <c r="AI12" s="1690"/>
      <c r="AJ12" s="1690"/>
      <c r="AK12" s="1690"/>
      <c r="AM12" s="1150"/>
      <c r="AN12" s="1150" t="str">
        <f>IF(T12="","",T12)</f>
        <v>Добавить централизованную систему для дифференциации</v>
      </c>
      <c r="AO12" s="1150"/>
      <c r="AP12" s="1150"/>
    </row>
    <row s="19219" customFormat="1" customHeight="1" ht="14.25" hidden="1">
      <c r="A13" s="1709"/>
      <c r="B13" s="1709"/>
      <c r="C13" s="1709"/>
      <c r="D13" s="1709"/>
      <c r="E13" s="2527"/>
      <c r="F13" s="1709"/>
      <c r="G13" s="1709"/>
      <c r="H13" s="1709"/>
      <c r="I13" s="1709"/>
      <c r="J13" s="1709"/>
      <c r="K13" s="1709"/>
      <c r="L13" s="1712"/>
      <c r="M13" s="1687"/>
      <c r="N13" s="1687"/>
      <c r="O13" s="879"/>
      <c r="P13" s="741"/>
      <c r="Q13" s="1710"/>
      <c r="R13" s="741"/>
      <c r="S13" s="1688"/>
      <c r="T13" s="1691" t="s">
        <v>252</v>
      </c>
      <c r="U13" s="1690"/>
      <c r="V13" s="1690"/>
      <c r="W13" s="1690"/>
      <c r="X13" s="1690"/>
      <c r="Y13" s="1690"/>
      <c r="Z13" s="1690"/>
      <c r="AA13" s="1690"/>
      <c r="AB13" s="1690"/>
      <c r="AC13" s="1690"/>
      <c r="AD13" s="1690"/>
      <c r="AE13" s="1690"/>
      <c r="AF13" s="1690"/>
      <c r="AG13" s="1690"/>
      <c r="AH13" s="1690"/>
      <c r="AI13" s="1690"/>
      <c r="AJ13" s="1690"/>
      <c r="AK13" s="1690"/>
      <c r="AM13" s="861"/>
      <c r="AN13" s="861" t="str">
        <f>IF(T13="","",T13)</f>
        <v>Добавить территорию для дифференциации</v>
      </c>
      <c r="AO13" s="861"/>
      <c r="AP13" s="861"/>
    </row>
    <row customHeight="1" ht="14.25" hidden="1">
      <c r="AB14" s="688"/>
      <c r="AI14" s="688"/>
    </row>
    <row customHeight="1" ht="14.25" hidden="1">
      <c r="AC15" s="1726"/>
      <c r="AD15" s="1726"/>
      <c r="AE15" s="1727"/>
      <c r="AF15" s="2525"/>
      <c r="AG15" s="2524" t="s">
        <v>59</v>
      </c>
      <c r="AH15" s="2525"/>
      <c r="AI15" s="2524" t="s">
        <v>59</v>
      </c>
    </row>
    <row customHeight="1" ht="14.25" hidden="1">
      <c r="AC16" s="1726"/>
      <c r="AD16" s="1726"/>
      <c r="AE16" s="689" t="str">
        <f>AF15&amp;"-"&amp;AH15</f>
        <v>-</v>
      </c>
      <c r="AF16" s="2524"/>
      <c r="AG16" s="2524"/>
      <c r="AH16" s="2524"/>
      <c r="AI16" s="2524"/>
    </row>
    <row customHeight="1" ht="14.25" hidden="1">
      <c r="AI17" s="688"/>
    </row>
    <row s="19146" customFormat="1" customHeight="1" ht="22.5" hidden="1">
      <c r="L18" s="1813"/>
      <c r="M18" s="1728"/>
      <c r="N18" s="1728"/>
      <c r="O18" s="1733" t="s">
        <v>415</v>
      </c>
      <c r="P18" s="1728"/>
      <c r="Q18" s="1737"/>
      <c r="R18" s="1737"/>
      <c r="S18" s="1090"/>
      <c r="Y18" s="1733"/>
      <c r="AA18" s="1733"/>
      <c r="AB18" s="1732"/>
      <c r="AF18" s="1733"/>
      <c r="AH18" s="1733"/>
      <c r="AI18" s="1732"/>
      <c r="AL18" s="872"/>
      <c r="AM18" s="872"/>
      <c r="AN18" s="872"/>
      <c r="AO18" s="872"/>
      <c r="AP18" s="872"/>
    </row>
    <row s="19146" customFormat="1" customHeight="1" ht="14.25" hidden="1">
      <c r="L19" s="1813"/>
      <c r="M19" s="1728"/>
      <c r="N19" s="1728"/>
      <c r="O19" s="1728"/>
      <c r="P19" s="1728"/>
      <c r="Q19" s="1737"/>
      <c r="R19" s="1737"/>
      <c r="S19" s="1090"/>
      <c r="AB19" s="1732"/>
      <c r="AI19" s="1732"/>
      <c r="AL19" s="872"/>
      <c r="AM19" s="872"/>
      <c r="AN19" s="872"/>
      <c r="AO19" s="872"/>
      <c r="AP19" s="872"/>
    </row>
    <row s="19146" customFormat="1" customHeight="1" ht="12" hidden="1">
      <c r="L20" s="1813"/>
      <c r="M20" s="1728"/>
      <c r="N20" s="1728"/>
      <c r="O20" s="1730" t="s">
        <v>416</v>
      </c>
      <c r="P20" s="1728"/>
      <c r="Q20" s="1808"/>
      <c r="R20" s="1808"/>
      <c r="S20" s="1090"/>
      <c r="T20" s="1523" t="s">
        <v>417</v>
      </c>
      <c r="Z20" s="547" t="s">
        <v>418</v>
      </c>
      <c r="AB20" s="547" t="s">
        <v>419</v>
      </c>
      <c r="AC20" s="1523" t="s">
        <v>417</v>
      </c>
      <c r="AG20" s="547" t="s">
        <v>420</v>
      </c>
      <c r="AI20" s="547" t="s">
        <v>419</v>
      </c>
    </row>
    <row customHeight="1" ht="14.25" hidden="1">
      <c r="O21" s="1730"/>
    </row>
    <row customHeight="1" ht="14.25" hidden="1">
      <c r="O22" s="1730"/>
    </row>
    <row customHeight="1" ht="14.25">
      <c r="Q23" s="737"/>
      <c r="R23" s="737"/>
      <c r="S23" s="1641"/>
      <c r="T23" s="724"/>
      <c r="U23" s="724"/>
      <c r="V23" s="870"/>
      <c r="W23" s="870"/>
      <c r="X23" s="870"/>
      <c r="Y23" s="870"/>
      <c r="Z23" s="870"/>
      <c r="AA23" s="870"/>
      <c r="AB23" s="870"/>
      <c r="AC23" s="870"/>
      <c r="AD23" s="870"/>
      <c r="AE23" s="870"/>
      <c r="AF23" s="870"/>
      <c r="AG23" s="870"/>
      <c r="AH23" s="870"/>
      <c r="AI23" s="870"/>
    </row>
    <row customHeight="1" ht="14.25">
      <c r="Q24" s="737"/>
      <c r="R24" s="737"/>
      <c r="S24" s="256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560"/>
      <c r="U24" s="2560"/>
      <c r="V24" s="2560"/>
      <c r="W24" s="2560"/>
      <c r="X24" s="2560"/>
      <c r="Y24" s="2560"/>
      <c r="Z24" s="2560"/>
      <c r="AA24" s="2560"/>
      <c r="AB24" s="2560"/>
      <c r="AC24" s="2560"/>
      <c r="AD24" s="2560"/>
      <c r="AE24" s="2560"/>
      <c r="AF24" s="2560"/>
      <c r="AG24" s="2560"/>
      <c r="AH24" s="2560"/>
      <c r="AI24" s="1608"/>
    </row>
    <row customHeight="1" ht="14.25">
      <c r="Q25" s="737"/>
      <c r="R25" s="737"/>
      <c r="S25" s="2561" t="str">
        <f>IF(org=0,"Не определено",org)</f>
        <v>Филиал "Шатурская ГРЭС" ПАО "Юнипро"</v>
      </c>
      <c r="T25" s="2561"/>
      <c r="U25" s="2561"/>
      <c r="V25" s="2561"/>
      <c r="W25" s="2561"/>
      <c r="X25" s="2561"/>
      <c r="Y25" s="2561"/>
      <c r="Z25" s="2561"/>
      <c r="AA25" s="2561"/>
      <c r="AB25" s="2561"/>
      <c r="AC25" s="2561"/>
      <c r="AD25" s="2561"/>
      <c r="AE25" s="2561"/>
      <c r="AF25" s="2561"/>
      <c r="AG25" s="2561"/>
      <c r="AH25" s="2561"/>
      <c r="AI25" s="1608"/>
    </row>
    <row customHeight="1" ht="14.25">
      <c r="Q26" s="737"/>
      <c r="R26" s="737"/>
      <c r="S26" s="1641"/>
      <c r="T26" s="724"/>
      <c r="U26" s="724"/>
      <c r="V26" s="683"/>
      <c r="W26" s="683"/>
      <c r="X26" s="683"/>
      <c r="Y26" s="683"/>
      <c r="Z26" s="683"/>
      <c r="AA26" s="683"/>
      <c r="AB26" s="683"/>
      <c r="AC26" s="683"/>
      <c r="AD26" s="683"/>
      <c r="AE26" s="683"/>
      <c r="AF26" s="683"/>
      <c r="AG26" s="683"/>
      <c r="AH26" s="683"/>
      <c r="AI26" s="683"/>
      <c r="AJ26" s="870"/>
    </row>
    <row s="19160" customFormat="1" customHeight="1" ht="25.5">
      <c r="A27" s="1734"/>
      <c r="B27" s="1734"/>
      <c r="C27" s="1734"/>
      <c r="D27" s="1734"/>
      <c r="E27" s="1734"/>
      <c r="F27" s="1734"/>
      <c r="G27" s="1734"/>
      <c r="H27" s="1734"/>
      <c r="I27" s="1734"/>
      <c r="J27" s="1734"/>
      <c r="K27" s="1734"/>
      <c r="L27" s="1735"/>
      <c r="M27" s="1734"/>
      <c r="N27" s="1734"/>
      <c r="O27" s="1734"/>
      <c r="S27" s="2518" t="s">
        <v>38</v>
      </c>
      <c r="T27" s="2518"/>
      <c r="U27" s="1738"/>
      <c r="V27" s="2520" t="str">
        <f>IF(TITLE_NAME_OR_PR_CHANGE="",IF(TITLE_NAME_OR_PR="","",TITLE_NAME_OR_PR),TITLE_NAME_OR_PR_CHANGE)</f>
        <v>Комитет по ценам и тарифам по Московской области</v>
      </c>
      <c r="W27" s="2520"/>
      <c r="X27" s="2520"/>
      <c r="Y27" s="2520"/>
      <c r="Z27" s="2520"/>
      <c r="AA27" s="2520"/>
      <c r="AB27" s="687"/>
      <c r="AC27" s="2520" t="str">
        <f>IF(TITLE_NAME_OR_PR_CHANGE="",IF(TITLE_NAME_OR_PR="","",TITLE_NAME_OR_PR),TITLE_NAME_OR_PR_CHANGE)</f>
        <v>Комитет по ценам и тарифам по Московской области</v>
      </c>
      <c r="AD27" s="2520"/>
      <c r="AE27" s="2520"/>
      <c r="AF27" s="2520"/>
      <c r="AG27" s="2520"/>
      <c r="AH27" s="2520"/>
      <c r="AI27" s="687"/>
      <c r="AJ27" s="687"/>
      <c r="AK27" s="641"/>
      <c r="AL27" s="729"/>
      <c r="AM27" s="729"/>
      <c r="AN27" s="729"/>
      <c r="AO27" s="729"/>
      <c r="AP27" s="729"/>
    </row>
    <row s="19160" customFormat="1" customHeight="1" ht="18.75">
      <c r="A28" s="1734"/>
      <c r="B28" s="1734"/>
      <c r="C28" s="1734"/>
      <c r="D28" s="1734"/>
      <c r="E28" s="1734"/>
      <c r="F28" s="1734"/>
      <c r="G28" s="1734"/>
      <c r="H28" s="1734"/>
      <c r="I28" s="1734"/>
      <c r="J28" s="1734"/>
      <c r="K28" s="1734"/>
      <c r="L28" s="1735"/>
      <c r="M28" s="1734"/>
      <c r="N28" s="1734"/>
      <c r="O28" s="1734"/>
      <c r="S28" s="2518" t="s">
        <v>421</v>
      </c>
      <c r="T28" s="2518"/>
      <c r="U28" s="1738"/>
      <c r="V28" s="2519" t="str">
        <f>IF(TITLE_DATE_PR_CHANGE="",IF(TITLE_DATE_PR="","",TITLE_DATE_PR),TITLE_DATE_PR_CHANGE)</f>
        <v>45280.70914351852</v>
      </c>
      <c r="W28" s="2519"/>
      <c r="X28" s="2519"/>
      <c r="Y28" s="2519"/>
      <c r="Z28" s="2519"/>
      <c r="AA28" s="2519"/>
      <c r="AB28" s="687"/>
      <c r="AC28" s="2519" t="str">
        <f>IF(TITLE_DATE_PR_CHANGE="",IF(TITLE_DATE_PR="","",TITLE_DATE_PR),TITLE_DATE_PR_CHANGE)</f>
        <v>45280.70914351852</v>
      </c>
      <c r="AD28" s="2519"/>
      <c r="AE28" s="2519"/>
      <c r="AF28" s="2519"/>
      <c r="AG28" s="2519"/>
      <c r="AH28" s="2519"/>
      <c r="AI28" s="687"/>
      <c r="AJ28" s="687"/>
      <c r="AK28" s="641"/>
      <c r="AL28" s="729"/>
      <c r="AM28" s="729"/>
      <c r="AN28" s="729"/>
      <c r="AO28" s="729"/>
      <c r="AP28" s="729"/>
    </row>
    <row s="19160" customFormat="1" customHeight="1" ht="18.75">
      <c r="A29" s="1734"/>
      <c r="B29" s="1734"/>
      <c r="C29" s="1734"/>
      <c r="D29" s="1734"/>
      <c r="E29" s="1734"/>
      <c r="F29" s="1734"/>
      <c r="G29" s="1734"/>
      <c r="H29" s="1734"/>
      <c r="I29" s="1734"/>
      <c r="J29" s="1734"/>
      <c r="K29" s="1734"/>
      <c r="L29" s="1735"/>
      <c r="M29" s="1734"/>
      <c r="N29" s="1734"/>
      <c r="O29" s="1734"/>
      <c r="S29" s="2518" t="s">
        <v>422</v>
      </c>
      <c r="T29" s="2518"/>
      <c r="U29" s="1738"/>
      <c r="V29" s="2520" t="str">
        <f>IF(TITLE_NUMBER_PR_CHANGE="",IF(TITLE_NUMBER_PR="","",TITLE_NUMBER_PR),TITLE_NUMBER_PR_CHANGE)</f>
        <v>317-Р</v>
      </c>
      <c r="W29" s="2520"/>
      <c r="X29" s="2520"/>
      <c r="Y29" s="2520"/>
      <c r="Z29" s="2520"/>
      <c r="AA29" s="2520"/>
      <c r="AB29" s="687"/>
      <c r="AC29" s="2520" t="str">
        <f>IF(TITLE_NUMBER_PR_CHANGE="",IF(TITLE_NUMBER_PR="","",TITLE_NUMBER_PR),TITLE_NUMBER_PR_CHANGE)</f>
        <v>317-Р</v>
      </c>
      <c r="AD29" s="2520"/>
      <c r="AE29" s="2520"/>
      <c r="AF29" s="2520"/>
      <c r="AG29" s="2520"/>
      <c r="AH29" s="2520"/>
      <c r="AI29" s="687"/>
      <c r="AJ29" s="687"/>
      <c r="AK29" s="641"/>
      <c r="AL29" s="729"/>
      <c r="AM29" s="729"/>
      <c r="AN29" s="729"/>
      <c r="AO29" s="729"/>
      <c r="AP29" s="729"/>
    </row>
    <row s="19160" customFormat="1" customHeight="1" ht="18.75">
      <c r="A30" s="1734"/>
      <c r="B30" s="1734"/>
      <c r="C30" s="1734"/>
      <c r="D30" s="1734"/>
      <c r="E30" s="1734"/>
      <c r="F30" s="1734"/>
      <c r="G30" s="1734"/>
      <c r="H30" s="1734"/>
      <c r="I30" s="1734"/>
      <c r="J30" s="1734"/>
      <c r="K30" s="1734"/>
      <c r="L30" s="1735"/>
      <c r="M30" s="1734"/>
      <c r="N30" s="1734"/>
      <c r="O30" s="1734"/>
      <c r="S30" s="2518" t="s">
        <v>40</v>
      </c>
      <c r="T30" s="2518"/>
      <c r="U30" s="1738"/>
      <c r="V30"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520"/>
      <c r="X30" s="2520"/>
      <c r="Y30" s="2520"/>
      <c r="Z30" s="2520"/>
      <c r="AA30" s="2520"/>
      <c r="AB30" s="687"/>
      <c r="AC30"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520"/>
      <c r="AE30" s="2520"/>
      <c r="AF30" s="2520"/>
      <c r="AG30" s="2520"/>
      <c r="AH30" s="2520"/>
      <c r="AI30" s="687"/>
      <c r="AJ30" s="687"/>
      <c r="AK30" s="641"/>
      <c r="AL30" s="729"/>
      <c r="AM30" s="729"/>
      <c r="AN30" s="729"/>
      <c r="AO30" s="729"/>
      <c r="AP30" s="729"/>
    </row>
    <row customHeight="1" ht="14.25" hidden="1">
      <c r="Q31" s="737"/>
      <c r="R31" s="737"/>
      <c r="S31" s="1641"/>
      <c r="T31" s="724"/>
      <c r="U31" s="724"/>
      <c r="V31" s="683"/>
      <c r="W31" s="683"/>
      <c r="X31" s="683"/>
      <c r="Y31" s="683"/>
      <c r="Z31" s="683"/>
      <c r="AA31" s="683"/>
      <c r="AB31" s="683"/>
      <c r="AC31" s="683"/>
      <c r="AD31" s="683"/>
      <c r="AE31" s="683"/>
      <c r="AF31" s="683"/>
      <c r="AG31" s="683"/>
      <c r="AH31" s="683"/>
      <c r="AI31" s="683"/>
      <c r="AJ31" s="870"/>
    </row>
    <row s="19160" customFormat="1" customHeight="1" ht="18.75" hidden="1">
      <c r="A32" s="1734"/>
      <c r="B32" s="1734"/>
      <c r="C32" s="1734"/>
      <c r="D32" s="1734"/>
      <c r="E32" s="1734"/>
      <c r="F32" s="1734"/>
      <c r="G32" s="1734"/>
      <c r="H32" s="1734"/>
      <c r="I32" s="1734"/>
      <c r="J32" s="1734"/>
      <c r="K32" s="1734"/>
      <c r="L32" s="1735"/>
      <c r="M32" s="1734"/>
      <c r="N32" s="1734"/>
      <c r="O32" s="1734"/>
      <c r="S32" s="2518" t="s">
        <v>423</v>
      </c>
      <c r="T32" s="2518"/>
      <c r="U32" s="1738"/>
      <c r="V32" s="2519" t="str">
        <f>IF(TITLE_DATE_PR_CHANGE="",IF(TITLE_DATE_PR="","",TITLE_DATE_PR),TITLE_DATE_PR_CHANGE)</f>
        <v>45280.70914351852</v>
      </c>
      <c r="W32" s="2519"/>
      <c r="X32" s="2519"/>
      <c r="Y32" s="2519"/>
      <c r="Z32" s="2519"/>
      <c r="AA32" s="2519"/>
      <c r="AB32" s="687"/>
      <c r="AC32" s="2519" t="str">
        <f>IF(TITLE_DATE_PR_CHANGE="",IF(TITLE_DATE_PR="","",TITLE_DATE_PR),TITLE_DATE_PR_CHANGE)</f>
        <v>45280.70914351852</v>
      </c>
      <c r="AD32" s="2519"/>
      <c r="AE32" s="2519"/>
      <c r="AF32" s="2519"/>
      <c r="AG32" s="2519"/>
      <c r="AH32" s="2519"/>
      <c r="AI32" s="687"/>
      <c r="AJ32" s="687"/>
      <c r="AK32" s="641"/>
      <c r="AL32" s="729"/>
      <c r="AM32" s="729"/>
      <c r="AN32" s="729"/>
      <c r="AO32" s="729"/>
      <c r="AP32" s="729"/>
    </row>
    <row s="19160" customFormat="1" customHeight="1" ht="18.75" hidden="1">
      <c r="A33" s="1734"/>
      <c r="B33" s="1734"/>
      <c r="C33" s="1734"/>
      <c r="D33" s="1734"/>
      <c r="E33" s="1734"/>
      <c r="F33" s="1734"/>
      <c r="G33" s="1734"/>
      <c r="H33" s="1734"/>
      <c r="I33" s="1734"/>
      <c r="J33" s="1734"/>
      <c r="K33" s="1734"/>
      <c r="L33" s="1735"/>
      <c r="M33" s="1734"/>
      <c r="N33" s="1734"/>
      <c r="O33" s="1734"/>
      <c r="S33" s="2518" t="s">
        <v>424</v>
      </c>
      <c r="T33" s="2518"/>
      <c r="U33" s="1738"/>
      <c r="V33" s="2520" t="str">
        <f>IF(TITLE_NUMBER_PR_CHANGE="",IF(TITLE_NUMBER_PR="","",TITLE_NUMBER_PR),TITLE_NUMBER_PR_CHANGE)</f>
        <v>317-Р</v>
      </c>
      <c r="W33" s="2520"/>
      <c r="X33" s="2520"/>
      <c r="Y33" s="2520"/>
      <c r="Z33" s="2520"/>
      <c r="AA33" s="2520"/>
      <c r="AB33" s="687"/>
      <c r="AC33" s="2520" t="str">
        <f>IF(TITLE_NUMBER_PR_CHANGE="",IF(TITLE_NUMBER_PR="","",TITLE_NUMBER_PR),TITLE_NUMBER_PR_CHANGE)</f>
        <v>317-Р</v>
      </c>
      <c r="AD33" s="2520"/>
      <c r="AE33" s="2520"/>
      <c r="AF33" s="2520"/>
      <c r="AG33" s="2520"/>
      <c r="AH33" s="2520"/>
      <c r="AI33" s="687"/>
      <c r="AJ33" s="687"/>
      <c r="AK33" s="641"/>
      <c r="AL33" s="729"/>
      <c r="AM33" s="729"/>
      <c r="AN33" s="729"/>
      <c r="AO33" s="729"/>
      <c r="AP33" s="729"/>
    </row>
    <row s="19160" customFormat="1" customHeight="1" ht="0.75">
      <c r="A34" s="1734"/>
      <c r="B34" s="1734"/>
      <c r="C34" s="1734"/>
      <c r="D34" s="1734"/>
      <c r="E34" s="1734"/>
      <c r="F34" s="1734"/>
      <c r="G34" s="1734"/>
      <c r="H34" s="1734"/>
      <c r="I34" s="1734"/>
      <c r="J34" s="1734"/>
      <c r="K34" s="1734"/>
      <c r="L34" s="1735"/>
      <c r="M34" s="1734"/>
      <c r="N34" s="1734"/>
      <c r="O34" s="1734"/>
      <c r="S34" s="684"/>
      <c r="T34" s="684"/>
      <c r="U34" s="1820"/>
      <c r="V34" s="687"/>
      <c r="W34" s="687"/>
      <c r="X34" s="687"/>
      <c r="Y34" s="687"/>
      <c r="Z34" s="687"/>
      <c r="AA34" s="687"/>
      <c r="AB34" s="639" t="s">
        <v>425</v>
      </c>
      <c r="AC34" s="687"/>
      <c r="AD34" s="687"/>
      <c r="AE34" s="687"/>
      <c r="AF34" s="687"/>
      <c r="AG34" s="687"/>
      <c r="AH34" s="687"/>
      <c r="AI34" s="639" t="s">
        <v>425</v>
      </c>
      <c r="AL34" s="729"/>
      <c r="AM34" s="729"/>
      <c r="AN34" s="729"/>
      <c r="AO34" s="729"/>
      <c r="AP34" s="729"/>
    </row>
    <row customHeight="1" ht="14.25">
      <c r="Q35" s="737"/>
      <c r="R35" s="737"/>
      <c r="S35" s="1641"/>
      <c r="T35" s="724"/>
      <c r="U35" s="1609"/>
      <c r="V35" s="2544"/>
      <c r="W35" s="2544"/>
      <c r="X35" s="2544"/>
      <c r="Y35" s="2544"/>
      <c r="Z35" s="2544"/>
      <c r="AA35" s="2544"/>
      <c r="AB35" s="2544"/>
      <c r="AC35" s="2544"/>
      <c r="AD35" s="2544"/>
      <c r="AE35" s="2544"/>
      <c r="AF35" s="2544"/>
      <c r="AG35" s="2544"/>
      <c r="AH35" s="2544"/>
      <c r="AI35" s="2544"/>
    </row>
    <row customHeight="1" ht="14.25">
      <c r="Q36" s="737"/>
      <c r="R36" s="737"/>
      <c r="S36" s="2392" t="s">
        <v>300</v>
      </c>
      <c r="T36" s="2392"/>
      <c r="U36" s="2392"/>
      <c r="V36" s="2392"/>
      <c r="W36" s="2392"/>
      <c r="X36" s="2392"/>
      <c r="Y36" s="2392"/>
      <c r="Z36" s="2392"/>
      <c r="AA36" s="2392"/>
      <c r="AB36" s="2392"/>
      <c r="AC36" s="2392"/>
      <c r="AD36" s="2392"/>
      <c r="AE36" s="2392"/>
      <c r="AF36" s="2392"/>
      <c r="AG36" s="2392"/>
      <c r="AH36" s="2392"/>
      <c r="AI36" s="2392"/>
      <c r="AJ36" s="2392"/>
      <c r="AK36" s="2392" t="s">
        <v>301</v>
      </c>
    </row>
    <row customHeight="1" ht="14.25">
      <c r="Q37" s="737"/>
      <c r="R37" s="737"/>
      <c r="S37" s="2545" t="s">
        <v>85</v>
      </c>
      <c r="T37" s="2482" t="s">
        <v>426</v>
      </c>
      <c r="U37" s="662"/>
      <c r="V37" s="2546" t="s">
        <v>427</v>
      </c>
      <c r="W37" s="2547"/>
      <c r="X37" s="2547"/>
      <c r="Y37" s="2547"/>
      <c r="Z37" s="2547"/>
      <c r="AA37" s="2548"/>
      <c r="AB37" s="2549" t="s">
        <v>428</v>
      </c>
      <c r="AC37" s="2546" t="s">
        <v>427</v>
      </c>
      <c r="AD37" s="2547"/>
      <c r="AE37" s="2547"/>
      <c r="AF37" s="2547"/>
      <c r="AG37" s="2547"/>
      <c r="AH37" s="2548"/>
      <c r="AI37" s="2549" t="s">
        <v>429</v>
      </c>
      <c r="AJ37" s="2552" t="s">
        <v>430</v>
      </c>
      <c r="AK37" s="2392"/>
    </row>
    <row customHeight="1" ht="33.75">
      <c r="Q38" s="737"/>
      <c r="R38" s="737"/>
      <c r="S38" s="2545"/>
      <c r="T38" s="2482"/>
      <c r="U38" s="1393"/>
      <c r="V38" s="1818" t="s">
        <v>487</v>
      </c>
      <c r="W38" s="2538" t="s">
        <v>433</v>
      </c>
      <c r="X38" s="2540"/>
      <c r="Y38" s="2538" t="s">
        <v>434</v>
      </c>
      <c r="Z38" s="2539"/>
      <c r="AA38" s="2540"/>
      <c r="AB38" s="2550"/>
      <c r="AC38" s="1818" t="s">
        <v>487</v>
      </c>
      <c r="AD38" s="2538" t="s">
        <v>433</v>
      </c>
      <c r="AE38" s="2540"/>
      <c r="AF38" s="2538" t="s">
        <v>434</v>
      </c>
      <c r="AG38" s="2539"/>
      <c r="AH38" s="2540"/>
      <c r="AI38" s="2550"/>
      <c r="AJ38" s="2553"/>
      <c r="AK38" s="2392"/>
    </row>
    <row customHeight="1" ht="33.75">
      <c r="A39" s="1736"/>
      <c r="B39" s="1736" t="s">
        <v>132</v>
      </c>
      <c r="C39" s="1736" t="s">
        <v>133</v>
      </c>
      <c r="D39" s="1736" t="s">
        <v>134</v>
      </c>
      <c r="E39" s="1730" t="s">
        <v>435</v>
      </c>
      <c r="F39" s="1730" t="s">
        <v>436</v>
      </c>
      <c r="G39" s="1730" t="s">
        <v>437</v>
      </c>
      <c r="H39" s="1730"/>
      <c r="I39" s="1730" t="s">
        <v>488</v>
      </c>
      <c r="J39" s="1730" t="s">
        <v>440</v>
      </c>
      <c r="K39" s="1730" t="s">
        <v>489</v>
      </c>
      <c r="L39" s="1730" t="s">
        <v>416</v>
      </c>
      <c r="Q39" s="737"/>
      <c r="R39" s="737"/>
      <c r="S39" s="2545"/>
      <c r="T39" s="2482"/>
      <c r="U39" s="663"/>
      <c r="V39" s="1818" t="s">
        <v>490</v>
      </c>
      <c r="W39" s="1587" t="s">
        <v>491</v>
      </c>
      <c r="X39" s="1587" t="s">
        <v>492</v>
      </c>
      <c r="Y39" s="1821" t="s">
        <v>444</v>
      </c>
      <c r="Z39" s="2541" t="s">
        <v>445</v>
      </c>
      <c r="AA39" s="2542"/>
      <c r="AB39" s="2551"/>
      <c r="AC39" s="1818" t="s">
        <v>490</v>
      </c>
      <c r="AD39" s="1587" t="s">
        <v>491</v>
      </c>
      <c r="AE39" s="1587" t="s">
        <v>492</v>
      </c>
      <c r="AF39" s="1821" t="s">
        <v>444</v>
      </c>
      <c r="AG39" s="2541" t="s">
        <v>445</v>
      </c>
      <c r="AH39" s="2542"/>
      <c r="AI39" s="2551"/>
      <c r="AJ39" s="2554"/>
      <c r="AK39" s="2392"/>
    </row>
    <row s="18977" customFormat="1" customHeight="1" ht="0">
      <c r="A40" s="1736"/>
      <c r="B40" s="1736"/>
      <c r="C40" s="1736"/>
      <c r="D40" s="1736"/>
      <c r="E40" s="1736"/>
      <c r="F40" s="1736"/>
      <c r="G40" s="1736"/>
      <c r="H40" s="1736"/>
      <c r="I40" s="1736"/>
      <c r="J40" s="1736"/>
      <c r="K40" s="1736"/>
      <c r="L40" s="1730"/>
      <c r="M40" s="1728"/>
      <c r="N40" s="1728"/>
      <c r="O40" s="1728"/>
      <c r="P40" s="1611"/>
      <c r="Q40" s="1612"/>
      <c r="R40" s="1619">
        <v>1</v>
      </c>
      <c r="S40" s="1643" t="s">
        <v>106</v>
      </c>
      <c r="T40" s="1620" t="s">
        <v>107</v>
      </c>
      <c r="U40" s="1610" t="str">
        <f>OFFSET(U40,0,-1)</f>
        <v>2</v>
      </c>
      <c r="V40" s="1817">
        <f>OFFSET(V40,0,-1)+1</f>
        <v>3</v>
      </c>
      <c r="W40" s="1817">
        <f>OFFSET(W40,0,-1)+1</f>
        <v>4</v>
      </c>
      <c r="X40" s="1817">
        <f>OFFSET(X40,0,-1)+1</f>
        <v>5</v>
      </c>
      <c r="Y40" s="1817">
        <f>OFFSET(Y40,0,-1)+1</f>
        <v>6</v>
      </c>
      <c r="Z40" s="2543">
        <f>OFFSET(Z40,0,-1)+1</f>
        <v>7</v>
      </c>
      <c r="AA40" s="2543"/>
      <c r="AB40" s="1817">
        <f>OFFSET(AB40,0,-2)+1</f>
        <v>8</v>
      </c>
      <c r="AC40" s="1817">
        <f>OFFSET(AC40,0,-1)+1</f>
        <v>9</v>
      </c>
      <c r="AD40" s="1817">
        <f>OFFSET(AD40,0,-1)+1</f>
        <v>10</v>
      </c>
      <c r="AE40" s="1817">
        <f>OFFSET(AE40,0,-1)+1</f>
        <v>11</v>
      </c>
      <c r="AF40" s="1817">
        <f>OFFSET(AF40,0,-1)+1</f>
        <v>12</v>
      </c>
      <c r="AG40" s="2543">
        <f>OFFSET(AG40,0,-1)+1</f>
        <v>13</v>
      </c>
      <c r="AH40" s="2543"/>
      <c r="AI40" s="1817">
        <f>OFFSET(AI40,0,-2)+1</f>
        <v>14</v>
      </c>
      <c r="AJ40" s="1610">
        <f>OFFSET(AJ40,0,-1)</f>
        <v>14</v>
      </c>
      <c r="AK40" s="1817">
        <f>OFFSET(AK40,0,-1)+1</f>
        <v>15</v>
      </c>
      <c r="AL40" s="872"/>
      <c r="AM40" s="872"/>
      <c r="AN40" s="872"/>
      <c r="AO40" s="872"/>
      <c r="AP40" s="872"/>
    </row>
    <row customHeight="1" ht="23.25">
      <c r="A41" s="1729" t="s">
        <v>226</v>
      </c>
      <c r="B41" s="1729"/>
      <c r="C41" s="1729"/>
      <c r="D41" s="1729"/>
      <c r="E41" s="2527">
        <v>1</v>
      </c>
      <c r="F41" s="1729"/>
      <c r="G41" s="1729"/>
      <c r="H41" s="1729"/>
      <c r="I41" s="1729"/>
      <c r="J41" s="1729"/>
      <c r="K41" s="1729"/>
      <c r="L41" s="1730"/>
      <c r="M41" s="1731"/>
      <c r="N41" s="1731"/>
      <c r="O41" s="1731"/>
      <c r="P41" s="722"/>
      <c r="Q41" s="721"/>
      <c r="R41" s="716"/>
      <c r="S41" s="1823">
        <f>INDEX(PT_DIFFERENTIATION_NUM_NTAR,MATCH(A41,PT_DIFFERENTIATION_NTAR_ID,0))</f>
        <v>0</v>
      </c>
      <c r="T41" s="659" t="s">
        <v>120</v>
      </c>
      <c r="U41" s="661"/>
      <c r="V41" s="2521"/>
      <c r="W41" s="2522"/>
      <c r="X41" s="2522"/>
      <c r="Y41" s="2522"/>
      <c r="Z41" s="2522"/>
      <c r="AA41" s="2522"/>
      <c r="AB41" s="2523"/>
      <c r="AC41" s="2521" t="str">
        <f>INDEX(PT_DIFFERENTIATION_NTAR,MATCH(A41,PT_DIFFERENTIATION_NTAR_ID,0))</f>
        <v/>
      </c>
      <c r="AD41" s="2522"/>
      <c r="AE41" s="2522"/>
      <c r="AF41" s="2522"/>
      <c r="AG41" s="2522"/>
      <c r="AH41" s="2522"/>
      <c r="AI41" s="2522"/>
      <c r="AJ41" s="2523"/>
      <c r="AK41" s="16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861"/>
      <c r="AN41" s="861" t="str">
        <f>IF(T41="","",T41)</f>
        <v>Наименование тарифа</v>
      </c>
      <c r="AO41" s="861"/>
      <c r="AP41" s="861"/>
    </row>
    <row customHeight="1" ht="23.25">
      <c r="A42" s="1729" t="s">
        <v>226</v>
      </c>
      <c r="B42" s="1729" t="s">
        <v>227</v>
      </c>
      <c r="C42" s="1729"/>
      <c r="D42" s="1729"/>
      <c r="E42" s="2528"/>
      <c r="F42" s="2527">
        <v>1</v>
      </c>
      <c r="G42" s="1729"/>
      <c r="H42" s="1729"/>
      <c r="I42" s="1729"/>
      <c r="J42" s="1729"/>
      <c r="K42" s="1729"/>
      <c r="L42" s="1730"/>
      <c r="M42" s="1731"/>
      <c r="N42" s="1731"/>
      <c r="O42" s="1731"/>
      <c r="P42" s="1819"/>
      <c r="Q42" s="713"/>
      <c r="R42" s="714"/>
      <c r="S42" s="1823" t="str">
        <f>INDEX(PT_DIFFERENTIATION_NUM_TER,MATCH(B42,PT_DIFFERENTIATION_TER_ID,0))</f>
        <v>.</v>
      </c>
      <c r="T42" s="669" t="s">
        <v>397</v>
      </c>
      <c r="U42" s="661"/>
      <c r="V42" s="2521"/>
      <c r="W42" s="2522"/>
      <c r="X42" s="2522"/>
      <c r="Y42" s="2522"/>
      <c r="Z42" s="2522"/>
      <c r="AA42" s="2522"/>
      <c r="AB42" s="2523"/>
      <c r="AC42" s="2521" t="str">
        <f>INDEX(PT_DIFFERENTIATION_TER,MATCH(B42,PT_DIFFERENTIATION_TER_ID,0))</f>
        <v/>
      </c>
      <c r="AD42" s="2522"/>
      <c r="AE42" s="2522"/>
      <c r="AF42" s="2522"/>
      <c r="AG42" s="2522"/>
      <c r="AH42" s="2522"/>
      <c r="AI42" s="2522"/>
      <c r="AJ42" s="2523"/>
      <c r="AK42" s="1623" t="s">
        <v>398</v>
      </c>
      <c r="AM42" s="861"/>
      <c r="AN42" s="861" t="str">
        <f>IF(T42="","",T42)</f>
        <v>Территория действия тарифа</v>
      </c>
      <c r="AO42" s="861"/>
      <c r="AP42" s="861"/>
    </row>
    <row customHeight="1" ht="23.25">
      <c r="A43" s="1729" t="s">
        <v>226</v>
      </c>
      <c r="B43" s="1729" t="s">
        <v>227</v>
      </c>
      <c r="C43" s="1729" t="s">
        <v>228</v>
      </c>
      <c r="D43" s="1729"/>
      <c r="E43" s="2528"/>
      <c r="F43" s="2528"/>
      <c r="G43" s="2527">
        <v>1</v>
      </c>
      <c r="H43" s="1729"/>
      <c r="I43" s="1729"/>
      <c r="J43" s="1729"/>
      <c r="K43" s="1729"/>
      <c r="L43" s="1730"/>
      <c r="M43" s="1731"/>
      <c r="N43" s="1731"/>
      <c r="O43" s="1731"/>
      <c r="P43" s="715"/>
      <c r="Q43" s="713"/>
      <c r="R43" s="714"/>
      <c r="S43" s="1823" t="str">
        <f>INDEX(PT_DIFFERENTIATION_NUM_CS,MATCH(C43,PT_DIFFERENTIATION_CS_ID,0))</f>
        <v>..</v>
      </c>
      <c r="T43" s="670" t="s">
        <v>479</v>
      </c>
      <c r="U43" s="661"/>
      <c r="V43" s="2521"/>
      <c r="W43" s="2522"/>
      <c r="X43" s="2522"/>
      <c r="Y43" s="2522"/>
      <c r="Z43" s="2522"/>
      <c r="AA43" s="2522"/>
      <c r="AB43" s="2523"/>
      <c r="AC43" s="2521" t="str">
        <f>INDEX(PT_DIFFERENTIATION_CS,MATCH(C43,PT_DIFFERENTIATION_CS_ID,0))</f>
        <v/>
      </c>
      <c r="AD43" s="2522"/>
      <c r="AE43" s="2522"/>
      <c r="AF43" s="2522"/>
      <c r="AG43" s="2522"/>
      <c r="AH43" s="2522"/>
      <c r="AI43" s="2522"/>
      <c r="AJ43" s="2523"/>
      <c r="AK43" s="1623" t="s">
        <v>480</v>
      </c>
      <c r="AM43" s="861"/>
      <c r="AN43" s="861" t="str">
        <f>IF(T43="","",T43)</f>
        <v>Наименование централизованной системы холодного водоснабжения</v>
      </c>
      <c r="AO43" s="861"/>
      <c r="AP43" s="861"/>
    </row>
    <row customHeight="1" ht="23.25">
      <c r="A44" s="1729" t="s">
        <v>226</v>
      </c>
      <c r="B44" s="1729" t="s">
        <v>227</v>
      </c>
      <c r="C44" s="1729" t="s">
        <v>228</v>
      </c>
      <c r="D44" s="1729" t="s">
        <v>494</v>
      </c>
      <c r="E44" s="2528"/>
      <c r="F44" s="2528"/>
      <c r="G44" s="2528"/>
      <c r="H44" s="2528"/>
      <c r="I44" s="2529" t="str">
        <f>S43&amp;".1"</f>
        <v>...1</v>
      </c>
      <c r="J44" s="1729"/>
      <c r="K44" s="1729"/>
      <c r="L44" s="1730"/>
      <c r="P44" s="2531">
        <v>1</v>
      </c>
      <c r="Q44" s="1816"/>
      <c r="R44" s="717"/>
      <c r="S44" s="1823" t="str">
        <f>$I44</f>
        <v>...1</v>
      </c>
      <c r="T44" s="646" t="s">
        <v>481</v>
      </c>
      <c r="U44" s="661"/>
      <c r="V44" s="2614"/>
      <c r="W44" s="2615"/>
      <c r="X44" s="2615"/>
      <c r="Y44" s="2615"/>
      <c r="Z44" s="2615"/>
      <c r="AA44" s="2615"/>
      <c r="AB44" s="2616"/>
      <c r="AC44" s="2617"/>
      <c r="AD44" s="2618"/>
      <c r="AE44" s="2618"/>
      <c r="AF44" s="2618"/>
      <c r="AG44" s="2618"/>
      <c r="AH44" s="2618"/>
      <c r="AI44" s="2618"/>
      <c r="AJ44" s="2619"/>
      <c r="AK44" s="1623" t="s">
        <v>482</v>
      </c>
      <c r="AM44" s="861"/>
      <c r="AN44" s="861" t="str">
        <f>IF(T44="","",T44)</f>
        <v>Наименование признака дифференциации</v>
      </c>
      <c r="AO44" s="861"/>
      <c r="AP44" s="861"/>
    </row>
    <row customHeight="1" ht="23.25">
      <c r="A45" s="1729" t="s">
        <v>226</v>
      </c>
      <c r="B45" s="1729" t="s">
        <v>227</v>
      </c>
      <c r="C45" s="1729" t="s">
        <v>228</v>
      </c>
      <c r="D45" s="1729" t="s">
        <v>494</v>
      </c>
      <c r="E45" s="2528"/>
      <c r="F45" s="2528"/>
      <c r="G45" s="2528"/>
      <c r="H45" s="2528"/>
      <c r="I45" s="2530"/>
      <c r="J45" s="2529" t="str">
        <f>I44&amp;".1"</f>
        <v>...1.1</v>
      </c>
      <c r="K45" s="1729"/>
      <c r="L45" s="1730" t="s">
        <v>406</v>
      </c>
      <c r="P45" s="2531"/>
      <c r="Q45" s="2531">
        <v>1</v>
      </c>
      <c r="R45" s="718"/>
      <c r="S45" s="1823" t="str">
        <f>$J45</f>
        <v>...1.1</v>
      </c>
      <c r="T45" s="647" t="s">
        <v>407</v>
      </c>
      <c r="U45" s="661"/>
      <c r="V45" s="2515"/>
      <c r="W45" s="2516"/>
      <c r="X45" s="2516"/>
      <c r="Y45" s="2516"/>
      <c r="Z45" s="2516"/>
      <c r="AA45" s="2516"/>
      <c r="AB45" s="2517"/>
      <c r="AC45" s="2515"/>
      <c r="AD45" s="2516"/>
      <c r="AE45" s="2516"/>
      <c r="AF45" s="2516"/>
      <c r="AG45" s="2516"/>
      <c r="AH45" s="2516"/>
      <c r="AI45" s="2516"/>
      <c r="AJ45" s="2517"/>
      <c r="AK45" s="1673" t="s">
        <v>483</v>
      </c>
      <c r="AM45" s="861"/>
      <c r="AN45" s="861" t="str">
        <f>IF(T45="","",T45)</f>
        <v>Группа потребителей</v>
      </c>
      <c r="AO45" s="861"/>
      <c r="AP45" s="861"/>
    </row>
    <row customHeight="1" ht="23.25">
      <c r="A46" s="1729" t="s">
        <v>226</v>
      </c>
      <c r="B46" s="1729" t="s">
        <v>227</v>
      </c>
      <c r="C46" s="1729" t="s">
        <v>228</v>
      </c>
      <c r="D46" s="1729" t="s">
        <v>494</v>
      </c>
      <c r="E46" s="2528"/>
      <c r="F46" s="2528"/>
      <c r="G46" s="2528"/>
      <c r="H46" s="2528"/>
      <c r="I46" s="2530"/>
      <c r="J46" s="2530"/>
      <c r="K46" s="2529" t="str">
        <f>J45&amp;".1"</f>
        <v>...1.1.1</v>
      </c>
      <c r="L46" s="1730"/>
      <c r="P46" s="2531"/>
      <c r="Q46" s="2531"/>
      <c r="R46" s="718">
        <v>1</v>
      </c>
      <c r="S46" s="1823" t="str">
        <f>$K46</f>
        <v>...1.1.1</v>
      </c>
      <c r="T46" s="1803"/>
      <c r="U46" s="661"/>
      <c r="V46" s="1112"/>
      <c r="W46" s="1112"/>
      <c r="X46" s="1622"/>
      <c r="Y46" s="2532"/>
      <c r="Z46" s="2402" t="s">
        <v>59</v>
      </c>
      <c r="AA46" s="2532"/>
      <c r="AB46" s="2402" t="s">
        <v>59</v>
      </c>
      <c r="AC46" s="1112"/>
      <c r="AD46" s="1112"/>
      <c r="AE46" s="1622"/>
      <c r="AF46" s="2532"/>
      <c r="AG46" s="2402" t="s">
        <v>59</v>
      </c>
      <c r="AH46" s="2534"/>
      <c r="AI46" s="2402" t="s">
        <v>59</v>
      </c>
      <c r="AJ46" s="1804"/>
      <c r="AK46" s="26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872">
        <f>STRCHECKDATE(V47:AJ47)</f>
      </c>
      <c r="AM46" s="861"/>
      <c r="AN46" s="861" t="str">
        <f>IF(T46="","",T46)</f>
        <v/>
      </c>
      <c r="AO46" s="861"/>
      <c r="AP46" s="861"/>
    </row>
    <row customHeight="1" ht="0">
      <c r="A47" s="1729" t="s">
        <v>226</v>
      </c>
      <c r="B47" s="1729" t="s">
        <v>227</v>
      </c>
      <c r="C47" s="1729" t="s">
        <v>228</v>
      </c>
      <c r="D47" s="1729" t="s">
        <v>494</v>
      </c>
      <c r="E47" s="2528"/>
      <c r="F47" s="2528"/>
      <c r="G47" s="2528"/>
      <c r="H47" s="2528"/>
      <c r="I47" s="2530"/>
      <c r="J47" s="2530"/>
      <c r="K47" s="2529"/>
      <c r="L47" s="1730"/>
      <c r="P47" s="2531"/>
      <c r="Q47" s="2531"/>
      <c r="R47" s="718"/>
      <c r="S47" s="1822"/>
      <c r="T47" s="661"/>
      <c r="U47" s="661"/>
      <c r="V47" s="686"/>
      <c r="W47" s="686"/>
      <c r="X47" s="689" t="str">
        <f>Y46&amp;"-"&amp;AA46</f>
        <v>-</v>
      </c>
      <c r="Y47" s="2533"/>
      <c r="Z47" s="2402"/>
      <c r="AA47" s="2533"/>
      <c r="AB47" s="2402"/>
      <c r="AC47" s="686"/>
      <c r="AD47" s="686"/>
      <c r="AE47" s="689" t="str">
        <f>AF46&amp;"-"&amp;AH46</f>
        <v>-</v>
      </c>
      <c r="AF47" s="2533"/>
      <c r="AG47" s="2402"/>
      <c r="AH47" s="2535"/>
      <c r="AI47" s="2402"/>
      <c r="AJ47" s="1805"/>
      <c r="AK47" s="2620"/>
      <c r="AM47" s="861"/>
      <c r="AN47" s="861" t="str">
        <f>IF(T47="","",T47)</f>
        <v/>
      </c>
      <c r="AO47" s="861"/>
      <c r="AP47" s="861"/>
    </row>
    <row customHeight="1" ht="21">
      <c r="A48" s="1729" t="s">
        <v>226</v>
      </c>
      <c r="B48" s="1729" t="s">
        <v>227</v>
      </c>
      <c r="C48" s="1729" t="s">
        <v>228</v>
      </c>
      <c r="D48" s="1729" t="s">
        <v>494</v>
      </c>
      <c r="E48" s="2528"/>
      <c r="F48" s="2528"/>
      <c r="G48" s="2528"/>
      <c r="H48" s="2528"/>
      <c r="I48" s="2530"/>
      <c r="J48" s="2529"/>
      <c r="K48" s="1729"/>
      <c r="L48" s="1730"/>
      <c r="P48" s="2531"/>
      <c r="Q48" s="2531"/>
      <c r="R48" s="717"/>
      <c r="S48" s="1644"/>
      <c r="T48" s="648" t="s">
        <v>484</v>
      </c>
      <c r="U48" s="728"/>
      <c r="V48" s="728"/>
      <c r="W48" s="728"/>
      <c r="X48" s="728"/>
      <c r="Y48" s="728"/>
      <c r="Z48" s="728"/>
      <c r="AA48" s="728"/>
      <c r="AB48" s="728"/>
      <c r="AC48" s="728"/>
      <c r="AD48" s="728"/>
      <c r="AE48" s="728"/>
      <c r="AF48" s="728"/>
      <c r="AG48" s="728"/>
      <c r="AH48" s="728"/>
      <c r="AI48" s="728"/>
      <c r="AJ48" s="728"/>
      <c r="AK48" s="1623" t="s">
        <v>485</v>
      </c>
      <c r="AM48" s="861"/>
      <c r="AN48" s="861" t="str">
        <f>IF(T48="","",T48)</f>
        <v>Добавить значение признака дифференциации</v>
      </c>
      <c r="AO48" s="861"/>
      <c r="AP48" s="861"/>
    </row>
    <row customHeight="1" ht="21">
      <c r="A49" s="1729" t="s">
        <v>226</v>
      </c>
      <c r="B49" s="1729" t="s">
        <v>227</v>
      </c>
      <c r="C49" s="1729" t="s">
        <v>228</v>
      </c>
      <c r="D49" s="1729" t="s">
        <v>494</v>
      </c>
      <c r="E49" s="2528"/>
      <c r="F49" s="2528"/>
      <c r="G49" s="2528"/>
      <c r="H49" s="2528"/>
      <c r="I49" s="2529"/>
      <c r="J49" s="1729"/>
      <c r="K49" s="1729"/>
      <c r="L49" s="1730"/>
      <c r="P49" s="2531"/>
      <c r="Q49" s="1816"/>
      <c r="R49" s="717"/>
      <c r="S49" s="1644"/>
      <c r="T49" s="726" t="s">
        <v>412</v>
      </c>
      <c r="U49" s="728"/>
      <c r="V49" s="728"/>
      <c r="W49" s="728"/>
      <c r="X49" s="728"/>
      <c r="Y49" s="728"/>
      <c r="Z49" s="728"/>
      <c r="AA49" s="728"/>
      <c r="AB49" s="727"/>
      <c r="AC49" s="728"/>
      <c r="AD49" s="728"/>
      <c r="AE49" s="728"/>
      <c r="AF49" s="728"/>
      <c r="AG49" s="728"/>
      <c r="AH49" s="728"/>
      <c r="AI49" s="727"/>
      <c r="AJ49" s="728"/>
      <c r="AK49" s="1806"/>
      <c r="AM49" s="861"/>
      <c r="AN49" s="861" t="str">
        <f>IF(T49="","",T49)</f>
        <v>Добавить группу потребителей</v>
      </c>
      <c r="AO49" s="861"/>
      <c r="AP49" s="861"/>
    </row>
    <row customHeight="1" ht="21">
      <c r="A50" s="1729" t="s">
        <v>226</v>
      </c>
      <c r="B50" s="1729" t="s">
        <v>227</v>
      </c>
      <c r="C50" s="1729" t="s">
        <v>228</v>
      </c>
      <c r="D50" s="1729" t="s">
        <v>494</v>
      </c>
      <c r="E50" s="2528"/>
      <c r="F50" s="2528"/>
      <c r="G50" s="2528"/>
      <c r="H50" s="2527"/>
      <c r="I50" s="1729"/>
      <c r="J50" s="1729"/>
      <c r="K50" s="1729"/>
      <c r="L50" s="1730"/>
      <c r="M50" s="1731"/>
      <c r="N50" s="1731"/>
      <c r="O50" s="898"/>
      <c r="P50" s="721"/>
      <c r="Q50" s="736"/>
      <c r="R50" s="716"/>
      <c r="S50" s="1644"/>
      <c r="T50" s="733" t="s">
        <v>486</v>
      </c>
      <c r="U50" s="728"/>
      <c r="V50" s="728"/>
      <c r="W50" s="728"/>
      <c r="X50" s="728"/>
      <c r="Y50" s="728"/>
      <c r="Z50" s="728"/>
      <c r="AA50" s="728"/>
      <c r="AB50" s="727"/>
      <c r="AC50" s="728"/>
      <c r="AD50" s="728"/>
      <c r="AE50" s="728"/>
      <c r="AF50" s="728"/>
      <c r="AG50" s="728"/>
      <c r="AH50" s="728"/>
      <c r="AI50" s="727"/>
      <c r="AJ50" s="728"/>
      <c r="AK50" s="664"/>
      <c r="AM50" s="861"/>
      <c r="AN50" s="861" t="str">
        <f>IF(T50="","",T50)</f>
        <v>Добавить наименование признака дифференциации</v>
      </c>
      <c r="AO50" s="861"/>
      <c r="AP50" s="861"/>
    </row>
    <row s="19127" customFormat="1" customHeight="1" ht="0">
      <c r="A51" s="1709" t="s">
        <v>226</v>
      </c>
      <c r="B51" s="1709" t="s">
        <v>227</v>
      </c>
      <c r="C51" s="1680"/>
      <c r="D51" s="1680"/>
      <c r="E51" s="2528"/>
      <c r="F51" s="2527"/>
      <c r="G51" s="1680"/>
      <c r="H51" s="1680"/>
      <c r="I51" s="1680"/>
      <c r="J51" s="1680"/>
      <c r="K51" s="1680"/>
      <c r="L51" s="1824"/>
      <c r="M51" s="1687"/>
      <c r="N51" s="1687"/>
      <c r="P51" s="1682"/>
      <c r="Q51" s="1683"/>
      <c r="R51" s="1682"/>
      <c r="S51" s="1688"/>
      <c r="T51" s="1691" t="s">
        <v>251</v>
      </c>
      <c r="U51" s="1690"/>
      <c r="V51" s="1690"/>
      <c r="W51" s="1690"/>
      <c r="X51" s="1690"/>
      <c r="Y51" s="1690"/>
      <c r="Z51" s="1690"/>
      <c r="AA51" s="1690"/>
      <c r="AB51" s="1690"/>
      <c r="AC51" s="1690"/>
      <c r="AD51" s="1690"/>
      <c r="AE51" s="1690"/>
      <c r="AF51" s="1690"/>
      <c r="AG51" s="1690"/>
      <c r="AH51" s="1690"/>
      <c r="AI51" s="1690"/>
      <c r="AJ51" s="1690"/>
      <c r="AK51" s="1690"/>
      <c r="AM51" s="1150"/>
      <c r="AN51" s="1150" t="str">
        <f>IF(T51="","",T51)</f>
        <v>Добавить централизованную систему для дифференциации</v>
      </c>
      <c r="AO51" s="1150"/>
      <c r="AP51" s="1150"/>
    </row>
    <row s="19219" customFormat="1" customHeight="1" ht="0">
      <c r="A52" s="1709" t="s">
        <v>226</v>
      </c>
      <c r="B52" s="1709"/>
      <c r="C52" s="1709"/>
      <c r="D52" s="1709"/>
      <c r="E52" s="2527"/>
      <c r="F52" s="1709"/>
      <c r="G52" s="1709"/>
      <c r="H52" s="1709"/>
      <c r="I52" s="1709"/>
      <c r="J52" s="1709"/>
      <c r="K52" s="1709"/>
      <c r="L52" s="1712"/>
      <c r="M52" s="1687"/>
      <c r="N52" s="1687"/>
      <c r="O52" s="879"/>
      <c r="P52" s="741"/>
      <c r="Q52" s="1710"/>
      <c r="R52" s="741"/>
      <c r="S52" s="1688"/>
      <c r="T52" s="1691" t="s">
        <v>252</v>
      </c>
      <c r="U52" s="1690"/>
      <c r="V52" s="1690"/>
      <c r="W52" s="1690"/>
      <c r="X52" s="1690"/>
      <c r="Y52" s="1690"/>
      <c r="Z52" s="1690"/>
      <c r="AA52" s="1690"/>
      <c r="AB52" s="1690"/>
      <c r="AC52" s="1690"/>
      <c r="AD52" s="1690"/>
      <c r="AE52" s="1690"/>
      <c r="AF52" s="1690"/>
      <c r="AG52" s="1690"/>
      <c r="AH52" s="1690"/>
      <c r="AI52" s="1690"/>
      <c r="AJ52" s="1690"/>
      <c r="AK52" s="1690"/>
      <c r="AM52" s="861"/>
      <c r="AN52" s="861" t="str">
        <f>IF(T52="","",T52)</f>
        <v>Добавить территорию для дифференциации</v>
      </c>
      <c r="AO52" s="861"/>
      <c r="AP52" s="861"/>
    </row>
    <row s="19127" customFormat="1" customHeight="1" ht="0">
      <c r="A53" s="1680"/>
      <c r="B53" s="1680"/>
      <c r="C53" s="1680"/>
      <c r="D53" s="1680"/>
      <c r="E53" s="1709"/>
      <c r="F53" s="1680"/>
      <c r="G53" s="1680"/>
      <c r="H53" s="1680"/>
      <c r="I53" s="1680"/>
      <c r="J53" s="1680"/>
      <c r="K53" s="1680"/>
      <c r="L53" s="1824"/>
      <c r="M53" s="1687"/>
      <c r="N53" s="1687"/>
      <c r="P53" s="1682"/>
      <c r="Q53" s="1683"/>
      <c r="R53" s="1682"/>
      <c r="S53" s="1688"/>
      <c r="T53" s="1691" t="s">
        <v>253</v>
      </c>
      <c r="U53" s="1690"/>
      <c r="V53" s="1690"/>
      <c r="W53" s="1690"/>
      <c r="X53" s="1690"/>
      <c r="Y53" s="1690"/>
      <c r="Z53" s="1690"/>
      <c r="AA53" s="1690"/>
      <c r="AB53" s="1690"/>
      <c r="AC53" s="1690"/>
      <c r="AD53" s="1690"/>
      <c r="AE53" s="1690"/>
      <c r="AF53" s="1690"/>
      <c r="AG53" s="1690"/>
      <c r="AH53" s="1690"/>
      <c r="AI53" s="1690"/>
      <c r="AJ53" s="1690"/>
      <c r="AK53" s="1690"/>
      <c r="AM53" s="1150"/>
      <c r="AN53" s="1150" t="str">
        <f>IF(T53="","",T53)</f>
        <v>Добавить наименование тарифа</v>
      </c>
      <c r="AO53" s="1150"/>
      <c r="AP53" s="1150"/>
    </row>
    <row customHeight="1" ht="11.25">
      <c r="M54" s="1523"/>
      <c r="N54" s="1523"/>
      <c r="O54" s="898"/>
      <c r="P54" s="1518"/>
      <c r="Q54" s="1518"/>
      <c r="R54" s="1518"/>
      <c r="S54" s="1518"/>
      <c r="AL54" s="1518"/>
      <c r="AM54" s="1518"/>
      <c r="AN54" s="1518"/>
      <c r="AO54" s="1518"/>
      <c r="AP54" s="1518"/>
    </row>
    <row customHeight="1" ht="14.25">
      <c r="O55" s="898"/>
      <c r="S55" s="1618"/>
      <c r="T55" s="2526"/>
      <c r="U55" s="2526"/>
      <c r="V55" s="2526"/>
      <c r="W55" s="2526"/>
      <c r="X55" s="2526"/>
      <c r="Y55" s="2526"/>
      <c r="Z55" s="2526"/>
      <c r="AA55" s="2526"/>
      <c r="AB55" s="2526"/>
      <c r="AC55" s="2526"/>
      <c r="AD55" s="2526"/>
      <c r="AE55" s="2526"/>
      <c r="AF55" s="2526"/>
      <c r="AG55" s="2526"/>
      <c r="AH55" s="2526"/>
      <c r="AI55" s="2526"/>
      <c r="AJ55" s="2526"/>
      <c r="AK55" s="2526"/>
    </row>
    <row customHeight="1" ht="14.25">
      <c r="O56" s="898"/>
    </row>
    <row customHeight="1" ht="14.25">
      <c r="O57" s="898"/>
      <c r="S57" s="1618"/>
      <c r="T57" s="2526"/>
      <c r="U57" s="2526"/>
      <c r="V57" s="2526"/>
      <c r="W57" s="2526"/>
      <c r="X57" s="2526"/>
      <c r="Y57" s="2526"/>
      <c r="Z57" s="2526"/>
      <c r="AA57" s="2526"/>
      <c r="AB57" s="2526"/>
      <c r="AC57" s="2526"/>
      <c r="AD57" s="2526"/>
      <c r="AE57" s="2526"/>
      <c r="AF57" s="2526"/>
      <c r="AG57" s="2526"/>
      <c r="AH57" s="2526"/>
      <c r="AI57" s="2526"/>
      <c r="AJ57" s="2526"/>
      <c r="AK57" s="2526"/>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DBD99D-5DA9-5C7A-384D-98147227A432}"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9146" width="10.57421875" hidden="1"/>
    <col min="2" max="2" style="19146" width="11.00390625" hidden="1" customWidth="1"/>
    <col min="3" max="3" style="19146" width="10.57421875" hidden="1"/>
    <col min="4" max="4" style="19146" width="11.8515625" hidden="1" customWidth="1"/>
    <col min="5" max="5" style="19146" width="10.00390625" hidden="1" customWidth="1"/>
    <col min="6" max="6" style="19146" width="8.7109375" hidden="1" customWidth="1"/>
    <col min="7" max="7" style="19146" width="7.57421875" hidden="1" customWidth="1"/>
    <col min="8" max="8" style="19146" width="11.421875" hidden="1" customWidth="1"/>
    <col min="9" max="9" style="19146" width="14.140625" hidden="1" customWidth="1"/>
    <col min="10" max="10" style="19146" width="9.8515625" hidden="1" customWidth="1"/>
    <col min="11" max="11" style="19146" width="14.7109375" hidden="1" customWidth="1"/>
    <col min="12" max="12" style="19441" width="19.140625" hidden="1" customWidth="1"/>
    <col min="13" max="14" style="19228" width="12.28125" hidden="1" customWidth="1"/>
    <col min="15" max="15" style="19228" width="23.421875" hidden="1" customWidth="1"/>
    <col min="16" max="16" style="19442" width="3.7109375" customWidth="1"/>
    <col min="17" max="18" style="19230" width="3.7109375" customWidth="1"/>
    <col min="19" max="19" style="19231" width="12.7109375" customWidth="1"/>
    <col min="20" max="20" style="19232" width="35.7109375" customWidth="1"/>
    <col min="21" max="21" style="19232" width="0.140625" customWidth="1"/>
    <col min="22" max="24" style="19232" width="24.7109375" hidden="1" customWidth="1"/>
    <col min="25" max="25" style="19232" width="11.7109375" hidden="1" customWidth="1"/>
    <col min="26" max="26" style="19232" width="3.7109375" hidden="1" customWidth="1"/>
    <col min="27" max="27" style="19232" width="11.7109375" hidden="1" customWidth="1"/>
    <col min="28" max="28" style="19232" width="8.57421875" hidden="1" customWidth="1"/>
    <col min="29" max="31" style="19232" width="24.7109375" customWidth="1"/>
    <col min="32" max="32" style="19232" width="11.7109375" customWidth="1"/>
    <col min="33" max="33" style="19232" width="3.7109375" customWidth="1"/>
    <col min="34" max="34" style="19232" width="11.7109375" customWidth="1"/>
    <col min="35" max="35" style="19232" width="8.57421875" hidden="1" customWidth="1"/>
    <col min="36" max="36" style="19232" width="4.7109375" customWidth="1"/>
    <col min="37" max="37" style="19232" width="115.7109375" customWidth="1"/>
    <col min="38" max="39" style="19219" width="10.57421875"/>
    <col min="40" max="40" style="19219" width="11.140625" customWidth="1"/>
    <col min="41" max="42" style="19219" width="10.57421875"/>
  </cols>
  <sheetData>
    <row customHeight="1" ht="14.25" hidden="1">
      <c r="X1" s="688"/>
      <c r="Y1" s="688"/>
      <c r="AE1" s="688"/>
      <c r="AF1" s="688"/>
    </row>
    <row customHeight="1" ht="23.25" hidden="1">
      <c r="A2" s="1729"/>
      <c r="B2" s="1729"/>
      <c r="C2" s="1729"/>
      <c r="D2" s="1729"/>
      <c r="E2" s="2527">
        <v>1</v>
      </c>
      <c r="F2" s="1729"/>
      <c r="G2" s="1729"/>
      <c r="H2" s="1729"/>
      <c r="I2" s="1729"/>
      <c r="J2" s="1729"/>
      <c r="K2" s="1729"/>
      <c r="L2" s="1730"/>
      <c r="M2" s="1731"/>
      <c r="N2" s="1731"/>
      <c r="O2" s="1731"/>
      <c r="P2" s="722"/>
      <c r="Q2" s="721"/>
      <c r="R2" s="716"/>
      <c r="S2" s="1823">
        <f>INDEX(PT_DIFFERENTIATION_NUM_NTAR,MATCH(A2,PT_DIFFERENTIATION_NTAR_ID,0))</f>
      </c>
      <c r="T2" s="659" t="s">
        <v>120</v>
      </c>
      <c r="U2" s="661"/>
      <c r="V2" s="2521"/>
      <c r="W2" s="2522"/>
      <c r="X2" s="2522"/>
      <c r="Y2" s="2522"/>
      <c r="Z2" s="2522"/>
      <c r="AA2" s="2522"/>
      <c r="AB2" s="2523"/>
      <c r="AC2" s="2521">
        <f>INDEX(PT_DIFFERENTIATION_NTAR,MATCH(A2,PT_DIFFERENTIATION_NTAR_ID,0))</f>
      </c>
      <c r="AD2" s="2522"/>
      <c r="AE2" s="2522"/>
      <c r="AF2" s="2522"/>
      <c r="AG2" s="2522"/>
      <c r="AH2" s="2522"/>
      <c r="AI2" s="2522"/>
      <c r="AJ2" s="2523"/>
      <c r="AK2" s="16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861"/>
      <c r="AN2" s="861" t="str">
        <f>IF(T2="","",T2)</f>
        <v>Наименование тарифа</v>
      </c>
      <c r="AO2" s="861"/>
      <c r="AP2" s="861"/>
    </row>
    <row customHeight="1" ht="23.25" hidden="1">
      <c r="A3" s="1729"/>
      <c r="B3" s="1729"/>
      <c r="C3" s="1729"/>
      <c r="D3" s="1729"/>
      <c r="E3" s="2528"/>
      <c r="F3" s="2527">
        <v>1</v>
      </c>
      <c r="G3" s="1729"/>
      <c r="H3" s="1729"/>
      <c r="I3" s="1729"/>
      <c r="J3" s="1729"/>
      <c r="K3" s="1729"/>
      <c r="L3" s="1730"/>
      <c r="M3" s="1731"/>
      <c r="N3" s="1731"/>
      <c r="O3" s="1731"/>
      <c r="P3" s="1819"/>
      <c r="Q3" s="713"/>
      <c r="R3" s="714"/>
      <c r="S3" s="1823">
        <f>INDEX(PT_DIFFERENTIATION_NUM_TER,MATCH(B3,PT_DIFFERENTIATION_TER_ID,0))</f>
      </c>
      <c r="T3" s="669" t="s">
        <v>397</v>
      </c>
      <c r="U3" s="661"/>
      <c r="V3" s="2521"/>
      <c r="W3" s="2522"/>
      <c r="X3" s="2522"/>
      <c r="Y3" s="2522"/>
      <c r="Z3" s="2522"/>
      <c r="AA3" s="2522"/>
      <c r="AB3" s="2523"/>
      <c r="AC3" s="2521">
        <f>INDEX(PT_DIFFERENTIATION_TER,MATCH(B3,PT_DIFFERENTIATION_TER_ID,0))</f>
      </c>
      <c r="AD3" s="2522"/>
      <c r="AE3" s="2522"/>
      <c r="AF3" s="2522"/>
      <c r="AG3" s="2522"/>
      <c r="AH3" s="2522"/>
      <c r="AI3" s="2522"/>
      <c r="AJ3" s="2523"/>
      <c r="AK3" s="1623" t="s">
        <v>398</v>
      </c>
      <c r="AM3" s="861"/>
      <c r="AN3" s="861" t="str">
        <f>IF(T3="","",T3)</f>
        <v>Территория действия тарифа</v>
      </c>
      <c r="AO3" s="861"/>
      <c r="AP3" s="861"/>
    </row>
    <row customHeight="1" ht="23.25" hidden="1">
      <c r="A4" s="1729"/>
      <c r="B4" s="1729"/>
      <c r="C4" s="1729"/>
      <c r="D4" s="1729"/>
      <c r="E4" s="2528"/>
      <c r="F4" s="2528"/>
      <c r="G4" s="2527">
        <v>1</v>
      </c>
      <c r="H4" s="1729"/>
      <c r="I4" s="1729"/>
      <c r="J4" s="1729"/>
      <c r="K4" s="1729"/>
      <c r="L4" s="1730"/>
      <c r="M4" s="1731"/>
      <c r="N4" s="1731"/>
      <c r="O4" s="1731"/>
      <c r="P4" s="715"/>
      <c r="Q4" s="713"/>
      <c r="R4" s="714"/>
      <c r="S4" s="1823">
        <f>INDEX(PT_DIFFERENTIATION_NUM_CS,MATCH(C4,PT_DIFFERENTIATION_CS_ID,0))</f>
      </c>
      <c r="T4" s="670" t="s">
        <v>479</v>
      </c>
      <c r="U4" s="661"/>
      <c r="V4" s="2521"/>
      <c r="W4" s="2522"/>
      <c r="X4" s="2522"/>
      <c r="Y4" s="2522"/>
      <c r="Z4" s="2522"/>
      <c r="AA4" s="2522"/>
      <c r="AB4" s="2523"/>
      <c r="AC4" s="2521">
        <f>INDEX(PT_DIFFERENTIATION_CS,MATCH(C4,PT_DIFFERENTIATION_CS_ID,0))</f>
      </c>
      <c r="AD4" s="2522"/>
      <c r="AE4" s="2522"/>
      <c r="AF4" s="2522"/>
      <c r="AG4" s="2522"/>
      <c r="AH4" s="2522"/>
      <c r="AI4" s="2522"/>
      <c r="AJ4" s="2523"/>
      <c r="AK4" s="1623" t="s">
        <v>480</v>
      </c>
      <c r="AM4" s="861"/>
      <c r="AN4" s="861" t="str">
        <f>IF(T4="","",T4)</f>
        <v>Наименование централизованной системы холодного водоснабжения</v>
      </c>
      <c r="AO4" s="861"/>
      <c r="AP4" s="861"/>
    </row>
    <row customHeight="1" ht="23.25" hidden="1">
      <c r="A5" s="1729"/>
      <c r="B5" s="1729"/>
      <c r="C5" s="1729"/>
      <c r="D5" s="1729"/>
      <c r="E5" s="2528"/>
      <c r="F5" s="2528"/>
      <c r="G5" s="2528"/>
      <c r="H5" s="2528"/>
      <c r="I5" s="2529">
        <f>S4&amp;".1"</f>
      </c>
      <c r="J5" s="1729"/>
      <c r="K5" s="1729"/>
      <c r="L5" s="1730"/>
      <c r="P5" s="2531">
        <v>1</v>
      </c>
      <c r="Q5" s="1816"/>
      <c r="R5" s="717"/>
      <c r="S5" s="1823">
        <f>$I5</f>
      </c>
      <c r="T5" s="646" t="s">
        <v>481</v>
      </c>
      <c r="U5" s="661"/>
      <c r="V5" s="2614"/>
      <c r="W5" s="2615"/>
      <c r="X5" s="2615"/>
      <c r="Y5" s="2615"/>
      <c r="Z5" s="2615"/>
      <c r="AA5" s="2615"/>
      <c r="AB5" s="2616"/>
      <c r="AC5" s="2617"/>
      <c r="AD5" s="2618"/>
      <c r="AE5" s="2618"/>
      <c r="AF5" s="2618"/>
      <c r="AG5" s="2618"/>
      <c r="AH5" s="2618"/>
      <c r="AI5" s="2618"/>
      <c r="AJ5" s="2619"/>
      <c r="AK5" s="1623" t="s">
        <v>482</v>
      </c>
      <c r="AM5" s="861"/>
      <c r="AN5" s="861" t="str">
        <f>IF(T5="","",T5)</f>
        <v>Наименование признака дифференциации</v>
      </c>
      <c r="AO5" s="861"/>
      <c r="AP5" s="861"/>
    </row>
    <row customHeight="1" ht="23.25" hidden="1">
      <c r="A6" s="1729"/>
      <c r="B6" s="1729"/>
      <c r="C6" s="1729"/>
      <c r="D6" s="1729"/>
      <c r="E6" s="2528"/>
      <c r="F6" s="2528"/>
      <c r="G6" s="2528"/>
      <c r="H6" s="2528"/>
      <c r="I6" s="2530"/>
      <c r="J6" s="2529">
        <f>I5&amp;".1"</f>
      </c>
      <c r="K6" s="1729"/>
      <c r="L6" s="1730" t="s">
        <v>406</v>
      </c>
      <c r="P6" s="2531"/>
      <c r="Q6" s="2531">
        <v>1</v>
      </c>
      <c r="R6" s="718"/>
      <c r="S6" s="1823">
        <f>$J6</f>
      </c>
      <c r="T6" s="647" t="s">
        <v>407</v>
      </c>
      <c r="U6" s="661"/>
      <c r="V6" s="2515"/>
      <c r="W6" s="2516"/>
      <c r="X6" s="2516"/>
      <c r="Y6" s="2516"/>
      <c r="Z6" s="2516"/>
      <c r="AA6" s="2516"/>
      <c r="AB6" s="2517"/>
      <c r="AC6" s="2515"/>
      <c r="AD6" s="2516"/>
      <c r="AE6" s="2516"/>
      <c r="AF6" s="2516"/>
      <c r="AG6" s="2516"/>
      <c r="AH6" s="2516"/>
      <c r="AI6" s="2516"/>
      <c r="AJ6" s="2517"/>
      <c r="AK6" s="1673" t="s">
        <v>483</v>
      </c>
      <c r="AM6" s="861"/>
      <c r="AN6" s="861" t="str">
        <f>IF(T6="","",T6)</f>
        <v>Группа потребителей</v>
      </c>
      <c r="AO6" s="861"/>
      <c r="AP6" s="861"/>
    </row>
    <row customHeight="1" ht="23.25" hidden="1">
      <c r="A7" s="1729"/>
      <c r="B7" s="1729"/>
      <c r="C7" s="1729"/>
      <c r="D7" s="1729"/>
      <c r="E7" s="2528"/>
      <c r="F7" s="2528"/>
      <c r="G7" s="2528"/>
      <c r="H7" s="2528"/>
      <c r="I7" s="2530"/>
      <c r="J7" s="2530"/>
      <c r="K7" s="2529">
        <f>J6&amp;".1"</f>
      </c>
      <c r="L7" s="1730"/>
      <c r="P7" s="2531"/>
      <c r="Q7" s="2531"/>
      <c r="R7" s="718">
        <v>1</v>
      </c>
      <c r="S7" s="1823">
        <f>$K7</f>
      </c>
      <c r="T7" s="1803"/>
      <c r="U7" s="661"/>
      <c r="V7" s="1112"/>
      <c r="W7" s="1112"/>
      <c r="X7" s="1622"/>
      <c r="Y7" s="2532"/>
      <c r="Z7" s="2402" t="s">
        <v>59</v>
      </c>
      <c r="AA7" s="2532"/>
      <c r="AB7" s="2402" t="s">
        <v>59</v>
      </c>
      <c r="AC7" s="1112"/>
      <c r="AD7" s="1112"/>
      <c r="AE7" s="1622"/>
      <c r="AF7" s="2532"/>
      <c r="AG7" s="2402" t="s">
        <v>59</v>
      </c>
      <c r="AH7" s="2534"/>
      <c r="AI7" s="2402" t="s">
        <v>59</v>
      </c>
      <c r="AJ7" s="1804"/>
      <c r="AK7" s="26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872">
        <f>STRCHECKDATE(V8:AJ8)</f>
      </c>
      <c r="AM7" s="861"/>
      <c r="AN7" s="861" t="str">
        <f>IF(T7="","",T7)</f>
        <v/>
      </c>
      <c r="AO7" s="861"/>
      <c r="AP7" s="861"/>
    </row>
    <row customHeight="1" ht="14.25" hidden="1">
      <c r="A8" s="1729"/>
      <c r="B8" s="1729"/>
      <c r="C8" s="1729"/>
      <c r="D8" s="1729"/>
      <c r="E8" s="2528"/>
      <c r="F8" s="2528"/>
      <c r="G8" s="2528"/>
      <c r="H8" s="2528"/>
      <c r="I8" s="2530"/>
      <c r="J8" s="2530"/>
      <c r="K8" s="2529"/>
      <c r="L8" s="1730"/>
      <c r="P8" s="2531"/>
      <c r="Q8" s="2531"/>
      <c r="R8" s="718"/>
      <c r="S8" s="1822"/>
      <c r="T8" s="661"/>
      <c r="U8" s="661"/>
      <c r="V8" s="686"/>
      <c r="W8" s="686"/>
      <c r="X8" s="689" t="str">
        <f>Y7&amp;"-"&amp;AA7</f>
        <v>-</v>
      </c>
      <c r="Y8" s="2533"/>
      <c r="Z8" s="2402"/>
      <c r="AA8" s="2533"/>
      <c r="AB8" s="2402"/>
      <c r="AC8" s="686"/>
      <c r="AD8" s="686"/>
      <c r="AE8" s="689" t="str">
        <f>AF7&amp;"-"&amp;AH7</f>
        <v>-</v>
      </c>
      <c r="AF8" s="2533"/>
      <c r="AG8" s="2402"/>
      <c r="AH8" s="2535"/>
      <c r="AI8" s="2402"/>
      <c r="AJ8" s="1805"/>
      <c r="AK8" s="2620"/>
      <c r="AM8" s="861"/>
      <c r="AN8" s="861" t="str">
        <f>IF(T8="","",T8)</f>
        <v/>
      </c>
      <c r="AO8" s="861"/>
      <c r="AP8" s="861"/>
    </row>
    <row customHeight="1" ht="21" hidden="1">
      <c r="A9" s="1729"/>
      <c r="B9" s="1729"/>
      <c r="C9" s="1729"/>
      <c r="D9" s="1729"/>
      <c r="E9" s="2528"/>
      <c r="F9" s="2528"/>
      <c r="G9" s="2528"/>
      <c r="H9" s="2528"/>
      <c r="I9" s="2530"/>
      <c r="J9" s="2529"/>
      <c r="K9" s="1729"/>
      <c r="L9" s="1730"/>
      <c r="P9" s="2531"/>
      <c r="Q9" s="2531"/>
      <c r="R9" s="717"/>
      <c r="S9" s="1644"/>
      <c r="T9" s="648" t="s">
        <v>484</v>
      </c>
      <c r="U9" s="728"/>
      <c r="V9" s="728"/>
      <c r="W9" s="728"/>
      <c r="X9" s="728"/>
      <c r="Y9" s="728"/>
      <c r="Z9" s="728"/>
      <c r="AA9" s="728"/>
      <c r="AB9" s="728"/>
      <c r="AC9" s="728"/>
      <c r="AD9" s="728"/>
      <c r="AE9" s="728"/>
      <c r="AF9" s="728"/>
      <c r="AG9" s="728"/>
      <c r="AH9" s="728"/>
      <c r="AI9" s="728"/>
      <c r="AJ9" s="728"/>
      <c r="AK9" s="1623" t="s">
        <v>485</v>
      </c>
      <c r="AM9" s="861"/>
      <c r="AN9" s="861" t="str">
        <f>IF(T9="","",T9)</f>
        <v>Добавить значение признака дифференциации</v>
      </c>
      <c r="AO9" s="861"/>
      <c r="AP9" s="861"/>
    </row>
    <row customHeight="1" ht="21" hidden="1">
      <c r="A10" s="1729"/>
      <c r="B10" s="1729"/>
      <c r="C10" s="1729"/>
      <c r="D10" s="1729"/>
      <c r="E10" s="2528"/>
      <c r="F10" s="2528"/>
      <c r="G10" s="2528"/>
      <c r="H10" s="2528"/>
      <c r="I10" s="2529"/>
      <c r="J10" s="1729"/>
      <c r="K10" s="1729"/>
      <c r="L10" s="1730"/>
      <c r="P10" s="2531"/>
      <c r="Q10" s="1816"/>
      <c r="R10" s="717"/>
      <c r="S10" s="1644"/>
      <c r="T10" s="726" t="s">
        <v>412</v>
      </c>
      <c r="U10" s="728"/>
      <c r="V10" s="728"/>
      <c r="W10" s="728"/>
      <c r="X10" s="728"/>
      <c r="Y10" s="728"/>
      <c r="Z10" s="728"/>
      <c r="AA10" s="728"/>
      <c r="AB10" s="727"/>
      <c r="AC10" s="728"/>
      <c r="AD10" s="728"/>
      <c r="AE10" s="728"/>
      <c r="AF10" s="728"/>
      <c r="AG10" s="728"/>
      <c r="AH10" s="728"/>
      <c r="AI10" s="727"/>
      <c r="AJ10" s="728"/>
      <c r="AK10" s="1806"/>
      <c r="AM10" s="861"/>
      <c r="AN10" s="861" t="str">
        <f>IF(T10="","",T10)</f>
        <v>Добавить группу потребителей</v>
      </c>
      <c r="AO10" s="861"/>
      <c r="AP10" s="861"/>
    </row>
    <row customHeight="1" ht="21" hidden="1">
      <c r="A11" s="1729"/>
      <c r="B11" s="1729"/>
      <c r="C11" s="1729"/>
      <c r="D11" s="1729"/>
      <c r="E11" s="2528"/>
      <c r="F11" s="2528"/>
      <c r="G11" s="2528"/>
      <c r="H11" s="2527"/>
      <c r="I11" s="1729"/>
      <c r="J11" s="1729"/>
      <c r="K11" s="1729"/>
      <c r="L11" s="1730"/>
      <c r="M11" s="1731"/>
      <c r="N11" s="1731"/>
      <c r="O11" s="898"/>
      <c r="P11" s="721"/>
      <c r="Q11" s="736"/>
      <c r="R11" s="716"/>
      <c r="S11" s="1644"/>
      <c r="T11" s="733" t="s">
        <v>486</v>
      </c>
      <c r="U11" s="728"/>
      <c r="V11" s="728"/>
      <c r="W11" s="728"/>
      <c r="X11" s="728"/>
      <c r="Y11" s="728"/>
      <c r="Z11" s="728"/>
      <c r="AA11" s="728"/>
      <c r="AB11" s="727"/>
      <c r="AC11" s="728"/>
      <c r="AD11" s="728"/>
      <c r="AE11" s="728"/>
      <c r="AF11" s="728"/>
      <c r="AG11" s="728"/>
      <c r="AH11" s="728"/>
      <c r="AI11" s="727"/>
      <c r="AJ11" s="728"/>
      <c r="AK11" s="664"/>
      <c r="AM11" s="861"/>
      <c r="AN11" s="861" t="str">
        <f>IF(T11="","",T11)</f>
        <v>Добавить наименование признака дифференциации</v>
      </c>
      <c r="AO11" s="861"/>
      <c r="AP11" s="861"/>
    </row>
    <row s="19127" customFormat="1" customHeight="1" ht="14.25" hidden="1">
      <c r="A12" s="1709"/>
      <c r="B12" s="1709"/>
      <c r="C12" s="1680"/>
      <c r="D12" s="1680"/>
      <c r="E12" s="2528"/>
      <c r="F12" s="2527"/>
      <c r="G12" s="1680"/>
      <c r="H12" s="1680"/>
      <c r="I12" s="1680"/>
      <c r="J12" s="1680"/>
      <c r="K12" s="1680"/>
      <c r="L12" s="1824"/>
      <c r="M12" s="1687"/>
      <c r="N12" s="1687"/>
      <c r="P12" s="1682"/>
      <c r="Q12" s="1683"/>
      <c r="R12" s="1682"/>
      <c r="S12" s="1688"/>
      <c r="T12" s="1691" t="s">
        <v>251</v>
      </c>
      <c r="U12" s="1690"/>
      <c r="V12" s="1690"/>
      <c r="W12" s="1690"/>
      <c r="X12" s="1690"/>
      <c r="Y12" s="1690"/>
      <c r="Z12" s="1690"/>
      <c r="AA12" s="1690"/>
      <c r="AB12" s="1690"/>
      <c r="AC12" s="1690"/>
      <c r="AD12" s="1690"/>
      <c r="AE12" s="1690"/>
      <c r="AF12" s="1690"/>
      <c r="AG12" s="1690"/>
      <c r="AH12" s="1690"/>
      <c r="AI12" s="1690"/>
      <c r="AJ12" s="1690"/>
      <c r="AK12" s="1690"/>
      <c r="AM12" s="1150"/>
      <c r="AN12" s="1150" t="str">
        <f>IF(T12="","",T12)</f>
        <v>Добавить централизованную систему для дифференциации</v>
      </c>
      <c r="AO12" s="1150"/>
      <c r="AP12" s="1150"/>
    </row>
    <row s="19219" customFormat="1" customHeight="1" ht="14.25" hidden="1">
      <c r="A13" s="1709"/>
      <c r="B13" s="1709"/>
      <c r="C13" s="1709"/>
      <c r="D13" s="1709"/>
      <c r="E13" s="2527"/>
      <c r="F13" s="1709"/>
      <c r="G13" s="1709"/>
      <c r="H13" s="1709"/>
      <c r="I13" s="1709"/>
      <c r="J13" s="1709"/>
      <c r="K13" s="1709"/>
      <c r="L13" s="1712"/>
      <c r="M13" s="1687"/>
      <c r="N13" s="1687"/>
      <c r="O13" s="879"/>
      <c r="P13" s="741"/>
      <c r="Q13" s="1710"/>
      <c r="R13" s="741"/>
      <c r="S13" s="1688"/>
      <c r="T13" s="1691" t="s">
        <v>252</v>
      </c>
      <c r="U13" s="1690"/>
      <c r="V13" s="1690"/>
      <c r="W13" s="1690"/>
      <c r="X13" s="1690"/>
      <c r="Y13" s="1690"/>
      <c r="Z13" s="1690"/>
      <c r="AA13" s="1690"/>
      <c r="AB13" s="1690"/>
      <c r="AC13" s="1690"/>
      <c r="AD13" s="1690"/>
      <c r="AE13" s="1690"/>
      <c r="AF13" s="1690"/>
      <c r="AG13" s="1690"/>
      <c r="AH13" s="1690"/>
      <c r="AI13" s="1690"/>
      <c r="AJ13" s="1690"/>
      <c r="AK13" s="1690"/>
      <c r="AM13" s="861"/>
      <c r="AN13" s="861" t="str">
        <f>IF(T13="","",T13)</f>
        <v>Добавить территорию для дифференциации</v>
      </c>
      <c r="AO13" s="861"/>
      <c r="AP13" s="861"/>
    </row>
    <row customHeight="1" ht="14.25" hidden="1">
      <c r="AB14" s="688"/>
      <c r="AI14" s="688"/>
    </row>
    <row customHeight="1" ht="14.25" hidden="1">
      <c r="AC15" s="1726"/>
      <c r="AD15" s="1726"/>
      <c r="AE15" s="1727"/>
      <c r="AF15" s="2525"/>
      <c r="AG15" s="2524" t="s">
        <v>59</v>
      </c>
      <c r="AH15" s="2525"/>
      <c r="AI15" s="2524" t="s">
        <v>59</v>
      </c>
    </row>
    <row customHeight="1" ht="14.25" hidden="1">
      <c r="AC16" s="1726"/>
      <c r="AD16" s="1726"/>
      <c r="AE16" s="689" t="str">
        <f>AF15&amp;"-"&amp;AH15</f>
        <v>-</v>
      </c>
      <c r="AF16" s="2524"/>
      <c r="AG16" s="2524"/>
      <c r="AH16" s="2524"/>
      <c r="AI16" s="2524"/>
    </row>
    <row customHeight="1" ht="14.25" hidden="1">
      <c r="AI17" s="688"/>
    </row>
    <row s="19146" customFormat="1" customHeight="1" ht="22.5" hidden="1">
      <c r="L18" s="1813"/>
      <c r="M18" s="1728"/>
      <c r="N18" s="1728"/>
      <c r="O18" s="1733" t="s">
        <v>415</v>
      </c>
      <c r="P18" s="1728"/>
      <c r="Q18" s="1737"/>
      <c r="R18" s="1737"/>
      <c r="S18" s="1090"/>
      <c r="Y18" s="1733"/>
      <c r="AA18" s="1733"/>
      <c r="AB18" s="1732"/>
      <c r="AF18" s="1733"/>
      <c r="AH18" s="1733"/>
      <c r="AI18" s="1732"/>
      <c r="AL18" s="872"/>
      <c r="AM18" s="872"/>
      <c r="AN18" s="872"/>
      <c r="AO18" s="872"/>
      <c r="AP18" s="872"/>
    </row>
    <row s="19146" customFormat="1" customHeight="1" ht="14.25" hidden="1">
      <c r="L19" s="1813"/>
      <c r="M19" s="1728"/>
      <c r="N19" s="1728"/>
      <c r="O19" s="1728"/>
      <c r="P19" s="1728"/>
      <c r="Q19" s="1737"/>
      <c r="R19" s="1737"/>
      <c r="S19" s="1090"/>
      <c r="AB19" s="1732"/>
      <c r="AI19" s="1732"/>
      <c r="AL19" s="872"/>
      <c r="AM19" s="872"/>
      <c r="AN19" s="872"/>
      <c r="AO19" s="872"/>
      <c r="AP19" s="872"/>
    </row>
    <row s="19146" customFormat="1" customHeight="1" ht="12" hidden="1">
      <c r="L20" s="1813"/>
      <c r="M20" s="1728"/>
      <c r="N20" s="1728"/>
      <c r="O20" s="1730" t="s">
        <v>416</v>
      </c>
      <c r="P20" s="1728"/>
      <c r="Q20" s="1808"/>
      <c r="R20" s="1808"/>
      <c r="S20" s="1090"/>
      <c r="T20" s="1523" t="s">
        <v>417</v>
      </c>
      <c r="Z20" s="547" t="s">
        <v>418</v>
      </c>
      <c r="AB20" s="547" t="s">
        <v>419</v>
      </c>
      <c r="AC20" s="1523" t="s">
        <v>417</v>
      </c>
      <c r="AG20" s="547" t="s">
        <v>420</v>
      </c>
      <c r="AI20" s="547" t="s">
        <v>419</v>
      </c>
    </row>
    <row customHeight="1" ht="14.25" hidden="1">
      <c r="O21" s="1730"/>
    </row>
    <row customHeight="1" ht="14.25" hidden="1">
      <c r="O22" s="1730"/>
    </row>
    <row customHeight="1" ht="14.25">
      <c r="Q23" s="737"/>
      <c r="R23" s="737"/>
      <c r="S23" s="1641"/>
      <c r="T23" s="724"/>
      <c r="U23" s="724"/>
      <c r="V23" s="870"/>
      <c r="W23" s="870"/>
      <c r="X23" s="870"/>
      <c r="Y23" s="870"/>
      <c r="Z23" s="870"/>
      <c r="AA23" s="870"/>
      <c r="AB23" s="870"/>
      <c r="AC23" s="870"/>
      <c r="AD23" s="870"/>
      <c r="AE23" s="870"/>
      <c r="AF23" s="870"/>
      <c r="AG23" s="870"/>
      <c r="AH23" s="870"/>
      <c r="AI23" s="870"/>
    </row>
    <row customHeight="1" ht="14.25">
      <c r="Q24" s="737"/>
      <c r="R24" s="737"/>
      <c r="S24" s="256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560"/>
      <c r="U24" s="2560"/>
      <c r="V24" s="2560"/>
      <c r="W24" s="2560"/>
      <c r="X24" s="2560"/>
      <c r="Y24" s="2560"/>
      <c r="Z24" s="2560"/>
      <c r="AA24" s="2560"/>
      <c r="AB24" s="2560"/>
      <c r="AC24" s="2560"/>
      <c r="AD24" s="2560"/>
      <c r="AE24" s="2560"/>
      <c r="AF24" s="2560"/>
      <c r="AG24" s="2560"/>
      <c r="AH24" s="2560"/>
      <c r="AI24" s="1608"/>
    </row>
    <row customHeight="1" ht="14.25">
      <c r="Q25" s="737"/>
      <c r="R25" s="737"/>
      <c r="S25" s="2561" t="str">
        <f>IF(org=0,"Не определено",org)</f>
        <v>Филиал "Шатурская ГРЭС" ПАО "Юнипро"</v>
      </c>
      <c r="T25" s="2561"/>
      <c r="U25" s="2561"/>
      <c r="V25" s="2561"/>
      <c r="W25" s="2561"/>
      <c r="X25" s="2561"/>
      <c r="Y25" s="2561"/>
      <c r="Z25" s="2561"/>
      <c r="AA25" s="2561"/>
      <c r="AB25" s="2561"/>
      <c r="AC25" s="2561"/>
      <c r="AD25" s="2561"/>
      <c r="AE25" s="2561"/>
      <c r="AF25" s="2561"/>
      <c r="AG25" s="2561"/>
      <c r="AH25" s="2561"/>
      <c r="AI25" s="1608"/>
    </row>
    <row customHeight="1" ht="14.25">
      <c r="Q26" s="737"/>
      <c r="R26" s="737"/>
      <c r="S26" s="1641"/>
      <c r="T26" s="724"/>
      <c r="U26" s="724"/>
      <c r="V26" s="683"/>
      <c r="W26" s="683"/>
      <c r="X26" s="683"/>
      <c r="Y26" s="683"/>
      <c r="Z26" s="683"/>
      <c r="AA26" s="683"/>
      <c r="AB26" s="683"/>
      <c r="AC26" s="683"/>
      <c r="AD26" s="683"/>
      <c r="AE26" s="683"/>
      <c r="AF26" s="683"/>
      <c r="AG26" s="683"/>
      <c r="AH26" s="683"/>
      <c r="AI26" s="683"/>
      <c r="AJ26" s="870"/>
    </row>
    <row s="19160" customFormat="1" customHeight="1" ht="25.5">
      <c r="A27" s="1734"/>
      <c r="B27" s="1734"/>
      <c r="C27" s="1734"/>
      <c r="D27" s="1734"/>
      <c r="E27" s="1734"/>
      <c r="F27" s="1734"/>
      <c r="G27" s="1734"/>
      <c r="H27" s="1734"/>
      <c r="I27" s="1734"/>
      <c r="J27" s="1734"/>
      <c r="K27" s="1734"/>
      <c r="L27" s="1735"/>
      <c r="M27" s="1734"/>
      <c r="N27" s="1734"/>
      <c r="O27" s="1734"/>
      <c r="S27" s="2518" t="s">
        <v>38</v>
      </c>
      <c r="T27" s="2518"/>
      <c r="U27" s="1738"/>
      <c r="V27" s="2520" t="str">
        <f>IF(TITLE_NAME_OR_PR_CHANGE="",IF(TITLE_NAME_OR_PR="","",TITLE_NAME_OR_PR),TITLE_NAME_OR_PR_CHANGE)</f>
        <v>Комитет по ценам и тарифам по Московской области</v>
      </c>
      <c r="W27" s="2520"/>
      <c r="X27" s="2520"/>
      <c r="Y27" s="2520"/>
      <c r="Z27" s="2520"/>
      <c r="AA27" s="2520"/>
      <c r="AB27" s="687"/>
      <c r="AC27" s="2520" t="str">
        <f>IF(TITLE_NAME_OR_PR_CHANGE="",IF(TITLE_NAME_OR_PR="","",TITLE_NAME_OR_PR),TITLE_NAME_OR_PR_CHANGE)</f>
        <v>Комитет по ценам и тарифам по Московской области</v>
      </c>
      <c r="AD27" s="2520"/>
      <c r="AE27" s="2520"/>
      <c r="AF27" s="2520"/>
      <c r="AG27" s="2520"/>
      <c r="AH27" s="2520"/>
      <c r="AI27" s="687"/>
      <c r="AJ27" s="687"/>
      <c r="AK27" s="641"/>
      <c r="AL27" s="729"/>
      <c r="AM27" s="729"/>
      <c r="AN27" s="729"/>
      <c r="AO27" s="729"/>
      <c r="AP27" s="729"/>
    </row>
    <row s="19160" customFormat="1" customHeight="1" ht="18.75">
      <c r="A28" s="1734"/>
      <c r="B28" s="1734"/>
      <c r="C28" s="1734"/>
      <c r="D28" s="1734"/>
      <c r="E28" s="1734"/>
      <c r="F28" s="1734"/>
      <c r="G28" s="1734"/>
      <c r="H28" s="1734"/>
      <c r="I28" s="1734"/>
      <c r="J28" s="1734"/>
      <c r="K28" s="1734"/>
      <c r="L28" s="1735"/>
      <c r="M28" s="1734"/>
      <c r="N28" s="1734"/>
      <c r="O28" s="1734"/>
      <c r="S28" s="2518" t="s">
        <v>421</v>
      </c>
      <c r="T28" s="2518"/>
      <c r="U28" s="1738"/>
      <c r="V28" s="2519" t="str">
        <f>IF(TITLE_DATE_PR_CHANGE="",IF(TITLE_DATE_PR="","",TITLE_DATE_PR),TITLE_DATE_PR_CHANGE)</f>
        <v>45280.70914351852</v>
      </c>
      <c r="W28" s="2519"/>
      <c r="X28" s="2519"/>
      <c r="Y28" s="2519"/>
      <c r="Z28" s="2519"/>
      <c r="AA28" s="2519"/>
      <c r="AB28" s="687"/>
      <c r="AC28" s="2519" t="str">
        <f>IF(TITLE_DATE_PR_CHANGE="",IF(TITLE_DATE_PR="","",TITLE_DATE_PR),TITLE_DATE_PR_CHANGE)</f>
        <v>45280.70914351852</v>
      </c>
      <c r="AD28" s="2519"/>
      <c r="AE28" s="2519"/>
      <c r="AF28" s="2519"/>
      <c r="AG28" s="2519"/>
      <c r="AH28" s="2519"/>
      <c r="AI28" s="687"/>
      <c r="AJ28" s="687"/>
      <c r="AK28" s="641"/>
      <c r="AL28" s="729"/>
      <c r="AM28" s="729"/>
      <c r="AN28" s="729"/>
      <c r="AO28" s="729"/>
      <c r="AP28" s="729"/>
    </row>
    <row s="19160" customFormat="1" customHeight="1" ht="18.75">
      <c r="A29" s="1734"/>
      <c r="B29" s="1734"/>
      <c r="C29" s="1734"/>
      <c r="D29" s="1734"/>
      <c r="E29" s="1734"/>
      <c r="F29" s="1734"/>
      <c r="G29" s="1734"/>
      <c r="H29" s="1734"/>
      <c r="I29" s="1734"/>
      <c r="J29" s="1734"/>
      <c r="K29" s="1734"/>
      <c r="L29" s="1735"/>
      <c r="M29" s="1734"/>
      <c r="N29" s="1734"/>
      <c r="O29" s="1734"/>
      <c r="S29" s="2518" t="s">
        <v>422</v>
      </c>
      <c r="T29" s="2518"/>
      <c r="U29" s="1738"/>
      <c r="V29" s="2520" t="str">
        <f>IF(TITLE_NUMBER_PR_CHANGE="",IF(TITLE_NUMBER_PR="","",TITLE_NUMBER_PR),TITLE_NUMBER_PR_CHANGE)</f>
        <v>317-Р</v>
      </c>
      <c r="W29" s="2520"/>
      <c r="X29" s="2520"/>
      <c r="Y29" s="2520"/>
      <c r="Z29" s="2520"/>
      <c r="AA29" s="2520"/>
      <c r="AB29" s="687"/>
      <c r="AC29" s="2520" t="str">
        <f>IF(TITLE_NUMBER_PR_CHANGE="",IF(TITLE_NUMBER_PR="","",TITLE_NUMBER_PR),TITLE_NUMBER_PR_CHANGE)</f>
        <v>317-Р</v>
      </c>
      <c r="AD29" s="2520"/>
      <c r="AE29" s="2520"/>
      <c r="AF29" s="2520"/>
      <c r="AG29" s="2520"/>
      <c r="AH29" s="2520"/>
      <c r="AI29" s="687"/>
      <c r="AJ29" s="687"/>
      <c r="AK29" s="641"/>
      <c r="AL29" s="729"/>
      <c r="AM29" s="729"/>
      <c r="AN29" s="729"/>
      <c r="AO29" s="729"/>
      <c r="AP29" s="729"/>
    </row>
    <row s="19160" customFormat="1" customHeight="1" ht="18.75">
      <c r="A30" s="1734"/>
      <c r="B30" s="1734"/>
      <c r="C30" s="1734"/>
      <c r="D30" s="1734"/>
      <c r="E30" s="1734"/>
      <c r="F30" s="1734"/>
      <c r="G30" s="1734"/>
      <c r="H30" s="1734"/>
      <c r="I30" s="1734"/>
      <c r="J30" s="1734"/>
      <c r="K30" s="1734"/>
      <c r="L30" s="1735"/>
      <c r="M30" s="1734"/>
      <c r="N30" s="1734"/>
      <c r="O30" s="1734"/>
      <c r="S30" s="2518" t="s">
        <v>40</v>
      </c>
      <c r="T30" s="2518"/>
      <c r="U30" s="1738"/>
      <c r="V30"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520"/>
      <c r="X30" s="2520"/>
      <c r="Y30" s="2520"/>
      <c r="Z30" s="2520"/>
      <c r="AA30" s="2520"/>
      <c r="AB30" s="687"/>
      <c r="AC30"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520"/>
      <c r="AE30" s="2520"/>
      <c r="AF30" s="2520"/>
      <c r="AG30" s="2520"/>
      <c r="AH30" s="2520"/>
      <c r="AI30" s="687"/>
      <c r="AJ30" s="687"/>
      <c r="AK30" s="641"/>
      <c r="AL30" s="729"/>
      <c r="AM30" s="729"/>
      <c r="AN30" s="729"/>
      <c r="AO30" s="729"/>
      <c r="AP30" s="729"/>
    </row>
    <row customHeight="1" ht="14.25" hidden="1">
      <c r="Q31" s="737"/>
      <c r="R31" s="737"/>
      <c r="S31" s="1641"/>
      <c r="T31" s="724"/>
      <c r="U31" s="724"/>
      <c r="V31" s="683"/>
      <c r="W31" s="683"/>
      <c r="X31" s="683"/>
      <c r="Y31" s="683"/>
      <c r="Z31" s="683"/>
      <c r="AA31" s="683"/>
      <c r="AB31" s="683"/>
      <c r="AC31" s="683"/>
      <c r="AD31" s="683"/>
      <c r="AE31" s="683"/>
      <c r="AF31" s="683"/>
      <c r="AG31" s="683"/>
      <c r="AH31" s="683"/>
      <c r="AI31" s="683"/>
      <c r="AJ31" s="870"/>
    </row>
    <row s="19160" customFormat="1" customHeight="1" ht="18.75" hidden="1">
      <c r="A32" s="1734"/>
      <c r="B32" s="1734"/>
      <c r="C32" s="1734"/>
      <c r="D32" s="1734"/>
      <c r="E32" s="1734"/>
      <c r="F32" s="1734"/>
      <c r="G32" s="1734"/>
      <c r="H32" s="1734"/>
      <c r="I32" s="1734"/>
      <c r="J32" s="1734"/>
      <c r="K32" s="1734"/>
      <c r="L32" s="1735"/>
      <c r="M32" s="1734"/>
      <c r="N32" s="1734"/>
      <c r="O32" s="1734"/>
      <c r="S32" s="2518" t="s">
        <v>423</v>
      </c>
      <c r="T32" s="2518"/>
      <c r="U32" s="1738"/>
      <c r="V32" s="2519" t="str">
        <f>IF(TITLE_DATE_PR_CHANGE="",IF(TITLE_DATE_PR="","",TITLE_DATE_PR),TITLE_DATE_PR_CHANGE)</f>
        <v>45280.70914351852</v>
      </c>
      <c r="W32" s="2519"/>
      <c r="X32" s="2519"/>
      <c r="Y32" s="2519"/>
      <c r="Z32" s="2519"/>
      <c r="AA32" s="2519"/>
      <c r="AB32" s="687"/>
      <c r="AC32" s="2519" t="str">
        <f>IF(TITLE_DATE_PR_CHANGE="",IF(TITLE_DATE_PR="","",TITLE_DATE_PR),TITLE_DATE_PR_CHANGE)</f>
        <v>45280.70914351852</v>
      </c>
      <c r="AD32" s="2519"/>
      <c r="AE32" s="2519"/>
      <c r="AF32" s="2519"/>
      <c r="AG32" s="2519"/>
      <c r="AH32" s="2519"/>
      <c r="AI32" s="687"/>
      <c r="AJ32" s="687"/>
      <c r="AK32" s="641"/>
      <c r="AL32" s="729"/>
      <c r="AM32" s="729"/>
      <c r="AN32" s="729"/>
      <c r="AO32" s="729"/>
      <c r="AP32" s="729"/>
    </row>
    <row s="19160" customFormat="1" customHeight="1" ht="18.75" hidden="1">
      <c r="A33" s="1734"/>
      <c r="B33" s="1734"/>
      <c r="C33" s="1734"/>
      <c r="D33" s="1734"/>
      <c r="E33" s="1734"/>
      <c r="F33" s="1734"/>
      <c r="G33" s="1734"/>
      <c r="H33" s="1734"/>
      <c r="I33" s="1734"/>
      <c r="J33" s="1734"/>
      <c r="K33" s="1734"/>
      <c r="L33" s="1735"/>
      <c r="M33" s="1734"/>
      <c r="N33" s="1734"/>
      <c r="O33" s="1734"/>
      <c r="S33" s="2518" t="s">
        <v>424</v>
      </c>
      <c r="T33" s="2518"/>
      <c r="U33" s="1738"/>
      <c r="V33" s="2520" t="str">
        <f>IF(TITLE_NUMBER_PR_CHANGE="",IF(TITLE_NUMBER_PR="","",TITLE_NUMBER_PR),TITLE_NUMBER_PR_CHANGE)</f>
        <v>317-Р</v>
      </c>
      <c r="W33" s="2520"/>
      <c r="X33" s="2520"/>
      <c r="Y33" s="2520"/>
      <c r="Z33" s="2520"/>
      <c r="AA33" s="2520"/>
      <c r="AB33" s="687"/>
      <c r="AC33" s="2520" t="str">
        <f>IF(TITLE_NUMBER_PR_CHANGE="",IF(TITLE_NUMBER_PR="","",TITLE_NUMBER_PR),TITLE_NUMBER_PR_CHANGE)</f>
        <v>317-Р</v>
      </c>
      <c r="AD33" s="2520"/>
      <c r="AE33" s="2520"/>
      <c r="AF33" s="2520"/>
      <c r="AG33" s="2520"/>
      <c r="AH33" s="2520"/>
      <c r="AI33" s="687"/>
      <c r="AJ33" s="687"/>
      <c r="AK33" s="641"/>
      <c r="AL33" s="729"/>
      <c r="AM33" s="729"/>
      <c r="AN33" s="729"/>
      <c r="AO33" s="729"/>
      <c r="AP33" s="729"/>
    </row>
    <row s="19160" customFormat="1" customHeight="1" ht="0.75">
      <c r="A34" s="1734"/>
      <c r="B34" s="1734"/>
      <c r="C34" s="1734"/>
      <c r="D34" s="1734"/>
      <c r="E34" s="1734"/>
      <c r="F34" s="1734"/>
      <c r="G34" s="1734"/>
      <c r="H34" s="1734"/>
      <c r="I34" s="1734"/>
      <c r="J34" s="1734"/>
      <c r="K34" s="1734"/>
      <c r="L34" s="1735"/>
      <c r="M34" s="1734"/>
      <c r="N34" s="1734"/>
      <c r="O34" s="1734"/>
      <c r="S34" s="684"/>
      <c r="T34" s="684"/>
      <c r="U34" s="1820"/>
      <c r="V34" s="687"/>
      <c r="W34" s="687"/>
      <c r="X34" s="687"/>
      <c r="Y34" s="687"/>
      <c r="Z34" s="687"/>
      <c r="AA34" s="687"/>
      <c r="AB34" s="639" t="s">
        <v>425</v>
      </c>
      <c r="AC34" s="687"/>
      <c r="AD34" s="687"/>
      <c r="AE34" s="687"/>
      <c r="AF34" s="687"/>
      <c r="AG34" s="687"/>
      <c r="AH34" s="687"/>
      <c r="AI34" s="639" t="s">
        <v>425</v>
      </c>
      <c r="AL34" s="729"/>
      <c r="AM34" s="729"/>
      <c r="AN34" s="729"/>
      <c r="AO34" s="729"/>
      <c r="AP34" s="729"/>
    </row>
    <row customHeight="1" ht="14.25">
      <c r="Q35" s="737"/>
      <c r="R35" s="737"/>
      <c r="S35" s="1641"/>
      <c r="T35" s="724"/>
      <c r="U35" s="1609"/>
      <c r="V35" s="2544"/>
      <c r="W35" s="2544"/>
      <c r="X35" s="2544"/>
      <c r="Y35" s="2544"/>
      <c r="Z35" s="2544"/>
      <c r="AA35" s="2544"/>
      <c r="AB35" s="2544"/>
      <c r="AC35" s="2544"/>
      <c r="AD35" s="2544"/>
      <c r="AE35" s="2544"/>
      <c r="AF35" s="2544"/>
      <c r="AG35" s="2544"/>
      <c r="AH35" s="2544"/>
      <c r="AI35" s="2544"/>
    </row>
    <row customHeight="1" ht="14.25">
      <c r="Q36" s="737"/>
      <c r="R36" s="737"/>
      <c r="S36" s="2392" t="s">
        <v>300</v>
      </c>
      <c r="T36" s="2392"/>
      <c r="U36" s="2392"/>
      <c r="V36" s="2392"/>
      <c r="W36" s="2392"/>
      <c r="X36" s="2392"/>
      <c r="Y36" s="2392"/>
      <c r="Z36" s="2392"/>
      <c r="AA36" s="2392"/>
      <c r="AB36" s="2392"/>
      <c r="AC36" s="2392"/>
      <c r="AD36" s="2392"/>
      <c r="AE36" s="2392"/>
      <c r="AF36" s="2392"/>
      <c r="AG36" s="2392"/>
      <c r="AH36" s="2392"/>
      <c r="AI36" s="2392"/>
      <c r="AJ36" s="2392"/>
      <c r="AK36" s="2392" t="s">
        <v>301</v>
      </c>
    </row>
    <row customHeight="1" ht="14.25">
      <c r="Q37" s="737"/>
      <c r="R37" s="737"/>
      <c r="S37" s="2545" t="s">
        <v>85</v>
      </c>
      <c r="T37" s="2482" t="s">
        <v>426</v>
      </c>
      <c r="U37" s="662"/>
      <c r="V37" s="2546" t="s">
        <v>427</v>
      </c>
      <c r="W37" s="2547"/>
      <c r="X37" s="2547"/>
      <c r="Y37" s="2547"/>
      <c r="Z37" s="2547"/>
      <c r="AA37" s="2548"/>
      <c r="AB37" s="2549" t="s">
        <v>428</v>
      </c>
      <c r="AC37" s="2546" t="s">
        <v>427</v>
      </c>
      <c r="AD37" s="2547"/>
      <c r="AE37" s="2547"/>
      <c r="AF37" s="2547"/>
      <c r="AG37" s="2547"/>
      <c r="AH37" s="2548"/>
      <c r="AI37" s="2549" t="s">
        <v>429</v>
      </c>
      <c r="AJ37" s="2552" t="s">
        <v>430</v>
      </c>
      <c r="AK37" s="2392"/>
    </row>
    <row customHeight="1" ht="33.75">
      <c r="Q38" s="737"/>
      <c r="R38" s="737"/>
      <c r="S38" s="2545"/>
      <c r="T38" s="2482"/>
      <c r="U38" s="1393"/>
      <c r="V38" s="1818" t="s">
        <v>487</v>
      </c>
      <c r="W38" s="2538" t="s">
        <v>433</v>
      </c>
      <c r="X38" s="2540"/>
      <c r="Y38" s="2538" t="s">
        <v>434</v>
      </c>
      <c r="Z38" s="2539"/>
      <c r="AA38" s="2540"/>
      <c r="AB38" s="2550"/>
      <c r="AC38" s="1818" t="s">
        <v>487</v>
      </c>
      <c r="AD38" s="2538" t="s">
        <v>433</v>
      </c>
      <c r="AE38" s="2540"/>
      <c r="AF38" s="2538" t="s">
        <v>434</v>
      </c>
      <c r="AG38" s="2539"/>
      <c r="AH38" s="2540"/>
      <c r="AI38" s="2550"/>
      <c r="AJ38" s="2553"/>
      <c r="AK38" s="2392"/>
    </row>
    <row customHeight="1" ht="33.75">
      <c r="A39" s="1736"/>
      <c r="B39" s="1736" t="s">
        <v>132</v>
      </c>
      <c r="C39" s="1736" t="s">
        <v>133</v>
      </c>
      <c r="D39" s="1736" t="s">
        <v>134</v>
      </c>
      <c r="E39" s="1730" t="s">
        <v>435</v>
      </c>
      <c r="F39" s="1730" t="s">
        <v>436</v>
      </c>
      <c r="G39" s="1730" t="s">
        <v>437</v>
      </c>
      <c r="H39" s="1730"/>
      <c r="I39" s="1730" t="s">
        <v>488</v>
      </c>
      <c r="J39" s="1730" t="s">
        <v>440</v>
      </c>
      <c r="K39" s="1730" t="s">
        <v>489</v>
      </c>
      <c r="L39" s="1730" t="s">
        <v>416</v>
      </c>
      <c r="Q39" s="737"/>
      <c r="R39" s="737"/>
      <c r="S39" s="2545"/>
      <c r="T39" s="2482"/>
      <c r="U39" s="663"/>
      <c r="V39" s="1818" t="s">
        <v>490</v>
      </c>
      <c r="W39" s="1587" t="s">
        <v>491</v>
      </c>
      <c r="X39" s="1587" t="s">
        <v>492</v>
      </c>
      <c r="Y39" s="1821" t="s">
        <v>444</v>
      </c>
      <c r="Z39" s="2541" t="s">
        <v>445</v>
      </c>
      <c r="AA39" s="2542"/>
      <c r="AB39" s="2551"/>
      <c r="AC39" s="1818" t="s">
        <v>490</v>
      </c>
      <c r="AD39" s="1587" t="s">
        <v>491</v>
      </c>
      <c r="AE39" s="1587" t="s">
        <v>492</v>
      </c>
      <c r="AF39" s="1821" t="s">
        <v>444</v>
      </c>
      <c r="AG39" s="2541" t="s">
        <v>445</v>
      </c>
      <c r="AH39" s="2542"/>
      <c r="AI39" s="2551"/>
      <c r="AJ39" s="2554"/>
      <c r="AK39" s="2392"/>
    </row>
    <row s="18977" customFormat="1" customHeight="1" ht="0">
      <c r="A40" s="1736"/>
      <c r="B40" s="1736"/>
      <c r="C40" s="1736"/>
      <c r="D40" s="1736"/>
      <c r="E40" s="1736"/>
      <c r="F40" s="1736"/>
      <c r="G40" s="1736"/>
      <c r="H40" s="1736"/>
      <c r="I40" s="1736"/>
      <c r="J40" s="1736"/>
      <c r="K40" s="1736"/>
      <c r="L40" s="1730"/>
      <c r="M40" s="1728"/>
      <c r="N40" s="1728"/>
      <c r="O40" s="1728"/>
      <c r="P40" s="1611"/>
      <c r="Q40" s="1612"/>
      <c r="R40" s="1619">
        <v>1</v>
      </c>
      <c r="S40" s="1643" t="s">
        <v>106</v>
      </c>
      <c r="T40" s="1620" t="s">
        <v>107</v>
      </c>
      <c r="U40" s="1610" t="str">
        <f>OFFSET(U40,0,-1)</f>
        <v>2</v>
      </c>
      <c r="V40" s="1817">
        <f>OFFSET(V40,0,-1)+1</f>
        <v>3</v>
      </c>
      <c r="W40" s="1817">
        <f>OFFSET(W40,0,-1)+1</f>
        <v>4</v>
      </c>
      <c r="X40" s="1817">
        <f>OFFSET(X40,0,-1)+1</f>
        <v>5</v>
      </c>
      <c r="Y40" s="1817">
        <f>OFFSET(Y40,0,-1)+1</f>
        <v>6</v>
      </c>
      <c r="Z40" s="2543">
        <f>OFFSET(Z40,0,-1)+1</f>
        <v>7</v>
      </c>
      <c r="AA40" s="2543"/>
      <c r="AB40" s="1817">
        <f>OFFSET(AB40,0,-2)+1</f>
        <v>8</v>
      </c>
      <c r="AC40" s="1817">
        <f>OFFSET(AC40,0,-1)+1</f>
        <v>9</v>
      </c>
      <c r="AD40" s="1817">
        <f>OFFSET(AD40,0,-1)+1</f>
        <v>10</v>
      </c>
      <c r="AE40" s="1817">
        <f>OFFSET(AE40,0,-1)+1</f>
        <v>11</v>
      </c>
      <c r="AF40" s="1817">
        <f>OFFSET(AF40,0,-1)+1</f>
        <v>12</v>
      </c>
      <c r="AG40" s="2543">
        <f>OFFSET(AG40,0,-1)+1</f>
        <v>13</v>
      </c>
      <c r="AH40" s="2543"/>
      <c r="AI40" s="1817">
        <f>OFFSET(AI40,0,-2)+1</f>
        <v>14</v>
      </c>
      <c r="AJ40" s="1610">
        <f>OFFSET(AJ40,0,-1)</f>
        <v>14</v>
      </c>
      <c r="AK40" s="1817">
        <f>OFFSET(AK40,0,-1)+1</f>
        <v>15</v>
      </c>
      <c r="AL40" s="872"/>
      <c r="AM40" s="872"/>
      <c r="AN40" s="872"/>
      <c r="AO40" s="872"/>
      <c r="AP40" s="872"/>
    </row>
    <row customHeight="1" ht="23.25">
      <c r="A41" s="1729" t="s">
        <v>231</v>
      </c>
      <c r="B41" s="1729"/>
      <c r="C41" s="1729"/>
      <c r="D41" s="1729"/>
      <c r="E41" s="2527">
        <v>1</v>
      </c>
      <c r="F41" s="1729"/>
      <c r="G41" s="1729"/>
      <c r="H41" s="1729"/>
      <c r="I41" s="1729"/>
      <c r="J41" s="1729"/>
      <c r="K41" s="1729"/>
      <c r="L41" s="1730"/>
      <c r="M41" s="1731"/>
      <c r="N41" s="1731"/>
      <c r="O41" s="1731"/>
      <c r="P41" s="722"/>
      <c r="Q41" s="721"/>
      <c r="R41" s="716"/>
      <c r="S41" s="1823">
        <f>INDEX(PT_DIFFERENTIATION_NUM_NTAR,MATCH(A41,PT_DIFFERENTIATION_NTAR_ID,0))</f>
        <v>0</v>
      </c>
      <c r="T41" s="659" t="s">
        <v>120</v>
      </c>
      <c r="U41" s="661"/>
      <c r="V41" s="2521"/>
      <c r="W41" s="2522"/>
      <c r="X41" s="2522"/>
      <c r="Y41" s="2522"/>
      <c r="Z41" s="2522"/>
      <c r="AA41" s="2522"/>
      <c r="AB41" s="2523"/>
      <c r="AC41" s="2521" t="str">
        <f>INDEX(PT_DIFFERENTIATION_NTAR,MATCH(A41,PT_DIFFERENTIATION_NTAR_ID,0))</f>
        <v/>
      </c>
      <c r="AD41" s="2522"/>
      <c r="AE41" s="2522"/>
      <c r="AF41" s="2522"/>
      <c r="AG41" s="2522"/>
      <c r="AH41" s="2522"/>
      <c r="AI41" s="2522"/>
      <c r="AJ41" s="2523"/>
      <c r="AK41" s="16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861"/>
      <c r="AN41" s="861" t="str">
        <f>IF(T41="","",T41)</f>
        <v>Наименование тарифа</v>
      </c>
      <c r="AO41" s="861"/>
      <c r="AP41" s="861"/>
    </row>
    <row customHeight="1" ht="23.25">
      <c r="A42" s="1729" t="s">
        <v>231</v>
      </c>
      <c r="B42" s="1729" t="s">
        <v>232</v>
      </c>
      <c r="C42" s="1729"/>
      <c r="D42" s="1729"/>
      <c r="E42" s="2528"/>
      <c r="F42" s="2527">
        <v>1</v>
      </c>
      <c r="G42" s="1729"/>
      <c r="H42" s="1729"/>
      <c r="I42" s="1729"/>
      <c r="J42" s="1729"/>
      <c r="K42" s="1729"/>
      <c r="L42" s="1730"/>
      <c r="M42" s="1731"/>
      <c r="N42" s="1731"/>
      <c r="O42" s="1731"/>
      <c r="P42" s="1819"/>
      <c r="Q42" s="713"/>
      <c r="R42" s="714"/>
      <c r="S42" s="1823" t="str">
        <f>INDEX(PT_DIFFERENTIATION_NUM_TER,MATCH(B42,PT_DIFFERENTIATION_TER_ID,0))</f>
        <v>.</v>
      </c>
      <c r="T42" s="669" t="s">
        <v>397</v>
      </c>
      <c r="U42" s="661"/>
      <c r="V42" s="2521"/>
      <c r="W42" s="2522"/>
      <c r="X42" s="2522"/>
      <c r="Y42" s="2522"/>
      <c r="Z42" s="2522"/>
      <c r="AA42" s="2522"/>
      <c r="AB42" s="2523"/>
      <c r="AC42" s="2521" t="str">
        <f>INDEX(PT_DIFFERENTIATION_TER,MATCH(B42,PT_DIFFERENTIATION_TER_ID,0))</f>
        <v/>
      </c>
      <c r="AD42" s="2522"/>
      <c r="AE42" s="2522"/>
      <c r="AF42" s="2522"/>
      <c r="AG42" s="2522"/>
      <c r="AH42" s="2522"/>
      <c r="AI42" s="2522"/>
      <c r="AJ42" s="2523"/>
      <c r="AK42" s="1623" t="s">
        <v>398</v>
      </c>
      <c r="AM42" s="861"/>
      <c r="AN42" s="861" t="str">
        <f>IF(T42="","",T42)</f>
        <v>Территория действия тарифа</v>
      </c>
      <c r="AO42" s="861"/>
      <c r="AP42" s="861"/>
    </row>
    <row customHeight="1" ht="23.25">
      <c r="A43" s="1729" t="s">
        <v>231</v>
      </c>
      <c r="B43" s="1729" t="s">
        <v>232</v>
      </c>
      <c r="C43" s="1729" t="s">
        <v>233</v>
      </c>
      <c r="D43" s="1729"/>
      <c r="E43" s="2528"/>
      <c r="F43" s="2528"/>
      <c r="G43" s="2527">
        <v>1</v>
      </c>
      <c r="H43" s="1729"/>
      <c r="I43" s="1729"/>
      <c r="J43" s="1729"/>
      <c r="K43" s="1729"/>
      <c r="L43" s="1730"/>
      <c r="M43" s="1731"/>
      <c r="N43" s="1731"/>
      <c r="O43" s="1731"/>
      <c r="P43" s="715"/>
      <c r="Q43" s="713"/>
      <c r="R43" s="714"/>
      <c r="S43" s="1823" t="str">
        <f>INDEX(PT_DIFFERENTIATION_NUM_CS,MATCH(C43,PT_DIFFERENTIATION_CS_ID,0))</f>
        <v>..</v>
      </c>
      <c r="T43" s="670" t="s">
        <v>479</v>
      </c>
      <c r="U43" s="661"/>
      <c r="V43" s="2521"/>
      <c r="W43" s="2522"/>
      <c r="X43" s="2522"/>
      <c r="Y43" s="2522"/>
      <c r="Z43" s="2522"/>
      <c r="AA43" s="2522"/>
      <c r="AB43" s="2523"/>
      <c r="AC43" s="2521" t="str">
        <f>INDEX(PT_DIFFERENTIATION_CS,MATCH(C43,PT_DIFFERENTIATION_CS_ID,0))</f>
        <v/>
      </c>
      <c r="AD43" s="2522"/>
      <c r="AE43" s="2522"/>
      <c r="AF43" s="2522"/>
      <c r="AG43" s="2522"/>
      <c r="AH43" s="2522"/>
      <c r="AI43" s="2522"/>
      <c r="AJ43" s="2523"/>
      <c r="AK43" s="1623" t="s">
        <v>480</v>
      </c>
      <c r="AM43" s="861"/>
      <c r="AN43" s="861" t="str">
        <f>IF(T43="","",T43)</f>
        <v>Наименование централизованной системы холодного водоснабжения</v>
      </c>
      <c r="AO43" s="861"/>
      <c r="AP43" s="861"/>
    </row>
    <row customHeight="1" ht="23.25">
      <c r="A44" s="1729" t="s">
        <v>231</v>
      </c>
      <c r="B44" s="1729" t="s">
        <v>232</v>
      </c>
      <c r="C44" s="1729" t="s">
        <v>233</v>
      </c>
      <c r="D44" s="1729" t="s">
        <v>495</v>
      </c>
      <c r="E44" s="2528"/>
      <c r="F44" s="2528"/>
      <c r="G44" s="2528"/>
      <c r="H44" s="2528"/>
      <c r="I44" s="2529" t="str">
        <f>S43&amp;".1"</f>
        <v>...1</v>
      </c>
      <c r="J44" s="1729"/>
      <c r="K44" s="1729"/>
      <c r="L44" s="1730"/>
      <c r="P44" s="2531">
        <v>1</v>
      </c>
      <c r="Q44" s="1816"/>
      <c r="R44" s="717"/>
      <c r="S44" s="1823" t="str">
        <f>$I44</f>
        <v>...1</v>
      </c>
      <c r="T44" s="646" t="s">
        <v>481</v>
      </c>
      <c r="U44" s="661"/>
      <c r="V44" s="2614"/>
      <c r="W44" s="2615"/>
      <c r="X44" s="2615"/>
      <c r="Y44" s="2615"/>
      <c r="Z44" s="2615"/>
      <c r="AA44" s="2615"/>
      <c r="AB44" s="2616"/>
      <c r="AC44" s="2617"/>
      <c r="AD44" s="2618"/>
      <c r="AE44" s="2618"/>
      <c r="AF44" s="2618"/>
      <c r="AG44" s="2618"/>
      <c r="AH44" s="2618"/>
      <c r="AI44" s="2618"/>
      <c r="AJ44" s="2619"/>
      <c r="AK44" s="1623" t="s">
        <v>482</v>
      </c>
      <c r="AM44" s="861"/>
      <c r="AN44" s="861" t="str">
        <f>IF(T44="","",T44)</f>
        <v>Наименование признака дифференциации</v>
      </c>
      <c r="AO44" s="861"/>
      <c r="AP44" s="861"/>
    </row>
    <row customHeight="1" ht="23.25">
      <c r="A45" s="1729" t="s">
        <v>231</v>
      </c>
      <c r="B45" s="1729" t="s">
        <v>232</v>
      </c>
      <c r="C45" s="1729" t="s">
        <v>233</v>
      </c>
      <c r="D45" s="1729" t="s">
        <v>495</v>
      </c>
      <c r="E45" s="2528"/>
      <c r="F45" s="2528"/>
      <c r="G45" s="2528"/>
      <c r="H45" s="2528"/>
      <c r="I45" s="2530"/>
      <c r="J45" s="2529" t="str">
        <f>I44&amp;".1"</f>
        <v>...1.1</v>
      </c>
      <c r="K45" s="1729"/>
      <c r="L45" s="1730" t="s">
        <v>406</v>
      </c>
      <c r="P45" s="2531"/>
      <c r="Q45" s="2531">
        <v>1</v>
      </c>
      <c r="R45" s="718"/>
      <c r="S45" s="1823" t="str">
        <f>$J45</f>
        <v>...1.1</v>
      </c>
      <c r="T45" s="647" t="s">
        <v>407</v>
      </c>
      <c r="U45" s="661"/>
      <c r="V45" s="2515"/>
      <c r="W45" s="2516"/>
      <c r="X45" s="2516"/>
      <c r="Y45" s="2516"/>
      <c r="Z45" s="2516"/>
      <c r="AA45" s="2516"/>
      <c r="AB45" s="2517"/>
      <c r="AC45" s="2515"/>
      <c r="AD45" s="2516"/>
      <c r="AE45" s="2516"/>
      <c r="AF45" s="2516"/>
      <c r="AG45" s="2516"/>
      <c r="AH45" s="2516"/>
      <c r="AI45" s="2516"/>
      <c r="AJ45" s="2517"/>
      <c r="AK45" s="1673" t="s">
        <v>483</v>
      </c>
      <c r="AM45" s="861"/>
      <c r="AN45" s="861" t="str">
        <f>IF(T45="","",T45)</f>
        <v>Группа потребителей</v>
      </c>
      <c r="AO45" s="861"/>
      <c r="AP45" s="861"/>
    </row>
    <row customHeight="1" ht="23.25">
      <c r="A46" s="1729" t="s">
        <v>231</v>
      </c>
      <c r="B46" s="1729" t="s">
        <v>232</v>
      </c>
      <c r="C46" s="1729" t="s">
        <v>233</v>
      </c>
      <c r="D46" s="1729" t="s">
        <v>495</v>
      </c>
      <c r="E46" s="2528"/>
      <c r="F46" s="2528"/>
      <c r="G46" s="2528"/>
      <c r="H46" s="2528"/>
      <c r="I46" s="2530"/>
      <c r="J46" s="2530"/>
      <c r="K46" s="2529" t="str">
        <f>J45&amp;".1"</f>
        <v>...1.1.1</v>
      </c>
      <c r="L46" s="1730"/>
      <c r="P46" s="2531"/>
      <c r="Q46" s="2531"/>
      <c r="R46" s="718">
        <v>1</v>
      </c>
      <c r="S46" s="1823" t="str">
        <f>$K46</f>
        <v>...1.1.1</v>
      </c>
      <c r="T46" s="1803"/>
      <c r="U46" s="661"/>
      <c r="V46" s="1112"/>
      <c r="W46" s="1112"/>
      <c r="X46" s="1622"/>
      <c r="Y46" s="2532"/>
      <c r="Z46" s="2402" t="s">
        <v>59</v>
      </c>
      <c r="AA46" s="2532"/>
      <c r="AB46" s="2402" t="s">
        <v>59</v>
      </c>
      <c r="AC46" s="1112"/>
      <c r="AD46" s="1112"/>
      <c r="AE46" s="1622"/>
      <c r="AF46" s="2532"/>
      <c r="AG46" s="2402" t="s">
        <v>59</v>
      </c>
      <c r="AH46" s="2534"/>
      <c r="AI46" s="2402" t="s">
        <v>59</v>
      </c>
      <c r="AJ46" s="1804"/>
      <c r="AK46" s="26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872">
        <f>STRCHECKDATE(V47:AJ47)</f>
      </c>
      <c r="AM46" s="861"/>
      <c r="AN46" s="861" t="str">
        <f>IF(T46="","",T46)</f>
        <v/>
      </c>
      <c r="AO46" s="861"/>
      <c r="AP46" s="861"/>
    </row>
    <row customHeight="1" ht="0">
      <c r="A47" s="1729" t="s">
        <v>231</v>
      </c>
      <c r="B47" s="1729" t="s">
        <v>232</v>
      </c>
      <c r="C47" s="1729" t="s">
        <v>233</v>
      </c>
      <c r="D47" s="1729" t="s">
        <v>495</v>
      </c>
      <c r="E47" s="2528"/>
      <c r="F47" s="2528"/>
      <c r="G47" s="2528"/>
      <c r="H47" s="2528"/>
      <c r="I47" s="2530"/>
      <c r="J47" s="2530"/>
      <c r="K47" s="2529"/>
      <c r="L47" s="1730"/>
      <c r="P47" s="2531"/>
      <c r="Q47" s="2531"/>
      <c r="R47" s="718"/>
      <c r="S47" s="1822"/>
      <c r="T47" s="661"/>
      <c r="U47" s="661"/>
      <c r="V47" s="686"/>
      <c r="W47" s="686"/>
      <c r="X47" s="689" t="str">
        <f>Y46&amp;"-"&amp;AA46</f>
        <v>-</v>
      </c>
      <c r="Y47" s="2533"/>
      <c r="Z47" s="2402"/>
      <c r="AA47" s="2533"/>
      <c r="AB47" s="2402"/>
      <c r="AC47" s="686"/>
      <c r="AD47" s="686"/>
      <c r="AE47" s="689" t="str">
        <f>AF46&amp;"-"&amp;AH46</f>
        <v>-</v>
      </c>
      <c r="AF47" s="2533"/>
      <c r="AG47" s="2402"/>
      <c r="AH47" s="2535"/>
      <c r="AI47" s="2402"/>
      <c r="AJ47" s="1805"/>
      <c r="AK47" s="2620"/>
      <c r="AM47" s="861"/>
      <c r="AN47" s="861" t="str">
        <f>IF(T47="","",T47)</f>
        <v/>
      </c>
      <c r="AO47" s="861"/>
      <c r="AP47" s="861"/>
    </row>
    <row customHeight="1" ht="21">
      <c r="A48" s="1729" t="s">
        <v>231</v>
      </c>
      <c r="B48" s="1729" t="s">
        <v>232</v>
      </c>
      <c r="C48" s="1729" t="s">
        <v>233</v>
      </c>
      <c r="D48" s="1729" t="s">
        <v>495</v>
      </c>
      <c r="E48" s="2528"/>
      <c r="F48" s="2528"/>
      <c r="G48" s="2528"/>
      <c r="H48" s="2528"/>
      <c r="I48" s="2530"/>
      <c r="J48" s="2529"/>
      <c r="K48" s="1729"/>
      <c r="L48" s="1730"/>
      <c r="P48" s="2531"/>
      <c r="Q48" s="2531"/>
      <c r="R48" s="717"/>
      <c r="S48" s="1644"/>
      <c r="T48" s="648" t="s">
        <v>484</v>
      </c>
      <c r="U48" s="728"/>
      <c r="V48" s="728"/>
      <c r="W48" s="728"/>
      <c r="X48" s="728"/>
      <c r="Y48" s="728"/>
      <c r="Z48" s="728"/>
      <c r="AA48" s="728"/>
      <c r="AB48" s="728"/>
      <c r="AC48" s="728"/>
      <c r="AD48" s="728"/>
      <c r="AE48" s="728"/>
      <c r="AF48" s="728"/>
      <c r="AG48" s="728"/>
      <c r="AH48" s="728"/>
      <c r="AI48" s="728"/>
      <c r="AJ48" s="728"/>
      <c r="AK48" s="1623" t="s">
        <v>485</v>
      </c>
      <c r="AM48" s="861"/>
      <c r="AN48" s="861" t="str">
        <f>IF(T48="","",T48)</f>
        <v>Добавить значение признака дифференциации</v>
      </c>
      <c r="AO48" s="861"/>
      <c r="AP48" s="861"/>
    </row>
    <row customHeight="1" ht="21">
      <c r="A49" s="1729" t="s">
        <v>231</v>
      </c>
      <c r="B49" s="1729" t="s">
        <v>232</v>
      </c>
      <c r="C49" s="1729" t="s">
        <v>233</v>
      </c>
      <c r="D49" s="1729" t="s">
        <v>495</v>
      </c>
      <c r="E49" s="2528"/>
      <c r="F49" s="2528"/>
      <c r="G49" s="2528"/>
      <c r="H49" s="2528"/>
      <c r="I49" s="2529"/>
      <c r="J49" s="1729"/>
      <c r="K49" s="1729"/>
      <c r="L49" s="1730"/>
      <c r="P49" s="2531"/>
      <c r="Q49" s="1816"/>
      <c r="R49" s="717"/>
      <c r="S49" s="1644"/>
      <c r="T49" s="726" t="s">
        <v>412</v>
      </c>
      <c r="U49" s="728"/>
      <c r="V49" s="728"/>
      <c r="W49" s="728"/>
      <c r="X49" s="728"/>
      <c r="Y49" s="728"/>
      <c r="Z49" s="728"/>
      <c r="AA49" s="728"/>
      <c r="AB49" s="727"/>
      <c r="AC49" s="728"/>
      <c r="AD49" s="728"/>
      <c r="AE49" s="728"/>
      <c r="AF49" s="728"/>
      <c r="AG49" s="728"/>
      <c r="AH49" s="728"/>
      <c r="AI49" s="727"/>
      <c r="AJ49" s="728"/>
      <c r="AK49" s="1806"/>
      <c r="AM49" s="861"/>
      <c r="AN49" s="861" t="str">
        <f>IF(T49="","",T49)</f>
        <v>Добавить группу потребителей</v>
      </c>
      <c r="AO49" s="861"/>
      <c r="AP49" s="861"/>
    </row>
    <row customHeight="1" ht="21">
      <c r="A50" s="1729" t="s">
        <v>231</v>
      </c>
      <c r="B50" s="1729" t="s">
        <v>232</v>
      </c>
      <c r="C50" s="1729" t="s">
        <v>233</v>
      </c>
      <c r="D50" s="1729" t="s">
        <v>495</v>
      </c>
      <c r="E50" s="2528"/>
      <c r="F50" s="2528"/>
      <c r="G50" s="2528"/>
      <c r="H50" s="2527"/>
      <c r="I50" s="1729"/>
      <c r="J50" s="1729"/>
      <c r="K50" s="1729"/>
      <c r="L50" s="1730"/>
      <c r="M50" s="1731"/>
      <c r="N50" s="1731"/>
      <c r="O50" s="898"/>
      <c r="P50" s="721"/>
      <c r="Q50" s="736"/>
      <c r="R50" s="716"/>
      <c r="S50" s="1644"/>
      <c r="T50" s="733" t="s">
        <v>486</v>
      </c>
      <c r="U50" s="728"/>
      <c r="V50" s="728"/>
      <c r="W50" s="728"/>
      <c r="X50" s="728"/>
      <c r="Y50" s="728"/>
      <c r="Z50" s="728"/>
      <c r="AA50" s="728"/>
      <c r="AB50" s="727"/>
      <c r="AC50" s="728"/>
      <c r="AD50" s="728"/>
      <c r="AE50" s="728"/>
      <c r="AF50" s="728"/>
      <c r="AG50" s="728"/>
      <c r="AH50" s="728"/>
      <c r="AI50" s="727"/>
      <c r="AJ50" s="728"/>
      <c r="AK50" s="664"/>
      <c r="AM50" s="861"/>
      <c r="AN50" s="861" t="str">
        <f>IF(T50="","",T50)</f>
        <v>Добавить наименование признака дифференциации</v>
      </c>
      <c r="AO50" s="861"/>
      <c r="AP50" s="861"/>
    </row>
    <row s="19127" customFormat="1" customHeight="1" ht="0">
      <c r="A51" s="1709" t="s">
        <v>231</v>
      </c>
      <c r="B51" s="1709" t="s">
        <v>232</v>
      </c>
      <c r="C51" s="1680"/>
      <c r="D51" s="1680"/>
      <c r="E51" s="2528"/>
      <c r="F51" s="2527"/>
      <c r="G51" s="1680"/>
      <c r="H51" s="1680"/>
      <c r="I51" s="1680"/>
      <c r="J51" s="1680"/>
      <c r="K51" s="1680"/>
      <c r="L51" s="1824"/>
      <c r="M51" s="1687"/>
      <c r="N51" s="1687"/>
      <c r="P51" s="1682"/>
      <c r="Q51" s="1683"/>
      <c r="R51" s="1682"/>
      <c r="S51" s="1688"/>
      <c r="T51" s="1691" t="s">
        <v>251</v>
      </c>
      <c r="U51" s="1690"/>
      <c r="V51" s="1690"/>
      <c r="W51" s="1690"/>
      <c r="X51" s="1690"/>
      <c r="Y51" s="1690"/>
      <c r="Z51" s="1690"/>
      <c r="AA51" s="1690"/>
      <c r="AB51" s="1690"/>
      <c r="AC51" s="1690"/>
      <c r="AD51" s="1690"/>
      <c r="AE51" s="1690"/>
      <c r="AF51" s="1690"/>
      <c r="AG51" s="1690"/>
      <c r="AH51" s="1690"/>
      <c r="AI51" s="1690"/>
      <c r="AJ51" s="1690"/>
      <c r="AK51" s="1690"/>
      <c r="AM51" s="1150"/>
      <c r="AN51" s="1150" t="str">
        <f>IF(T51="","",T51)</f>
        <v>Добавить централизованную систему для дифференциации</v>
      </c>
      <c r="AO51" s="1150"/>
      <c r="AP51" s="1150"/>
    </row>
    <row s="19219" customFormat="1" customHeight="1" ht="0">
      <c r="A52" s="1709" t="s">
        <v>231</v>
      </c>
      <c r="B52" s="1709"/>
      <c r="C52" s="1709"/>
      <c r="D52" s="1709"/>
      <c r="E52" s="2527"/>
      <c r="F52" s="1709"/>
      <c r="G52" s="1709"/>
      <c r="H52" s="1709"/>
      <c r="I52" s="1709"/>
      <c r="J52" s="1709"/>
      <c r="K52" s="1709"/>
      <c r="L52" s="1712"/>
      <c r="M52" s="1687"/>
      <c r="N52" s="1687"/>
      <c r="O52" s="879"/>
      <c r="P52" s="741"/>
      <c r="Q52" s="1710"/>
      <c r="R52" s="741"/>
      <c r="S52" s="1688"/>
      <c r="T52" s="1691" t="s">
        <v>252</v>
      </c>
      <c r="U52" s="1690"/>
      <c r="V52" s="1690"/>
      <c r="W52" s="1690"/>
      <c r="X52" s="1690"/>
      <c r="Y52" s="1690"/>
      <c r="Z52" s="1690"/>
      <c r="AA52" s="1690"/>
      <c r="AB52" s="1690"/>
      <c r="AC52" s="1690"/>
      <c r="AD52" s="1690"/>
      <c r="AE52" s="1690"/>
      <c r="AF52" s="1690"/>
      <c r="AG52" s="1690"/>
      <c r="AH52" s="1690"/>
      <c r="AI52" s="1690"/>
      <c r="AJ52" s="1690"/>
      <c r="AK52" s="1690"/>
      <c r="AM52" s="861"/>
      <c r="AN52" s="861" t="str">
        <f>IF(T52="","",T52)</f>
        <v>Добавить территорию для дифференциации</v>
      </c>
      <c r="AO52" s="861"/>
      <c r="AP52" s="861"/>
    </row>
    <row s="19127" customFormat="1" customHeight="1" ht="0">
      <c r="A53" s="1680"/>
      <c r="B53" s="1680"/>
      <c r="C53" s="1680"/>
      <c r="D53" s="1680"/>
      <c r="E53" s="1709"/>
      <c r="F53" s="1680"/>
      <c r="G53" s="1680"/>
      <c r="H53" s="1680"/>
      <c r="I53" s="1680"/>
      <c r="J53" s="1680"/>
      <c r="K53" s="1680"/>
      <c r="L53" s="1824"/>
      <c r="M53" s="1687"/>
      <c r="N53" s="1687"/>
      <c r="P53" s="1682"/>
      <c r="Q53" s="1683"/>
      <c r="R53" s="1682"/>
      <c r="S53" s="1688"/>
      <c r="T53" s="1691" t="s">
        <v>253</v>
      </c>
      <c r="U53" s="1690"/>
      <c r="V53" s="1690"/>
      <c r="W53" s="1690"/>
      <c r="X53" s="1690"/>
      <c r="Y53" s="1690"/>
      <c r="Z53" s="1690"/>
      <c r="AA53" s="1690"/>
      <c r="AB53" s="1690"/>
      <c r="AC53" s="1690"/>
      <c r="AD53" s="1690"/>
      <c r="AE53" s="1690"/>
      <c r="AF53" s="1690"/>
      <c r="AG53" s="1690"/>
      <c r="AH53" s="1690"/>
      <c r="AI53" s="1690"/>
      <c r="AJ53" s="1690"/>
      <c r="AK53" s="1690"/>
      <c r="AM53" s="1150"/>
      <c r="AN53" s="1150" t="str">
        <f>IF(T53="","",T53)</f>
        <v>Добавить наименование тарифа</v>
      </c>
      <c r="AO53" s="1150"/>
      <c r="AP53" s="1150"/>
    </row>
    <row customHeight="1" ht="11.25">
      <c r="M54" s="1523"/>
      <c r="N54" s="1523"/>
      <c r="O54" s="898"/>
      <c r="P54" s="1518"/>
      <c r="Q54" s="1518"/>
      <c r="R54" s="1518"/>
      <c r="S54" s="1518"/>
      <c r="AL54" s="1518"/>
      <c r="AM54" s="1518"/>
      <c r="AN54" s="1518"/>
      <c r="AO54" s="1518"/>
      <c r="AP54" s="1518"/>
    </row>
    <row customHeight="1" ht="14.25">
      <c r="O55" s="898"/>
      <c r="S55" s="1618"/>
      <c r="T55" s="2526"/>
      <c r="U55" s="2526"/>
      <c r="V55" s="2526"/>
      <c r="W55" s="2526"/>
      <c r="X55" s="2526"/>
      <c r="Y55" s="2526"/>
      <c r="Z55" s="2526"/>
      <c r="AA55" s="2526"/>
      <c r="AB55" s="2526"/>
      <c r="AC55" s="2526"/>
      <c r="AD55" s="2526"/>
      <c r="AE55" s="2526"/>
      <c r="AF55" s="2526"/>
      <c r="AG55" s="2526"/>
      <c r="AH55" s="2526"/>
      <c r="AI55" s="2526"/>
      <c r="AJ55" s="2526"/>
      <c r="AK55" s="2526"/>
    </row>
    <row customHeight="1" ht="14.25">
      <c r="O56" s="898"/>
    </row>
    <row customHeight="1" ht="14.25">
      <c r="O57" s="898"/>
      <c r="S57" s="1618"/>
      <c r="T57" s="2526"/>
      <c r="U57" s="2526"/>
      <c r="V57" s="2526"/>
      <c r="W57" s="2526"/>
      <c r="X57" s="2526"/>
      <c r="Y57" s="2526"/>
      <c r="Z57" s="2526"/>
      <c r="AA57" s="2526"/>
      <c r="AB57" s="2526"/>
      <c r="AC57" s="2526"/>
      <c r="AD57" s="2526"/>
      <c r="AE57" s="2526"/>
      <c r="AF57" s="2526"/>
      <c r="AG57" s="2526"/>
      <c r="AH57" s="2526"/>
      <c r="AI57" s="2526"/>
      <c r="AJ57" s="2526"/>
      <c r="AK57" s="252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3C4049-ACE2-AE7F-5F34-60D12B9EF08E}"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9146" width="10.57421875" hidden="1"/>
    <col min="2" max="2" style="19146" width="11.00390625" hidden="1" customWidth="1"/>
    <col min="3" max="3" style="19146" width="10.57421875" hidden="1"/>
    <col min="4" max="4" style="19146" width="11.8515625" hidden="1" customWidth="1"/>
    <col min="5" max="5" style="19146" width="10.00390625" hidden="1" customWidth="1"/>
    <col min="6" max="6" style="19146" width="8.7109375" hidden="1" customWidth="1"/>
    <col min="7" max="7" style="19146" width="7.57421875" hidden="1" customWidth="1"/>
    <col min="8" max="8" style="19146" width="11.421875" hidden="1" customWidth="1"/>
    <col min="9" max="9" style="19146" width="14.140625" hidden="1" customWidth="1"/>
    <col min="10" max="10" style="19146" width="9.8515625" hidden="1" customWidth="1"/>
    <col min="11" max="11" style="19146" width="14.7109375" hidden="1" customWidth="1"/>
    <col min="12" max="12" style="19441" width="19.140625" hidden="1" customWidth="1"/>
    <col min="13" max="14" style="19228" width="12.28125" hidden="1" customWidth="1"/>
    <col min="15" max="15" style="19228" width="23.421875" hidden="1" customWidth="1"/>
    <col min="16" max="16" style="19442" width="3.7109375" customWidth="1"/>
    <col min="17" max="18" style="19230" width="3.7109375" customWidth="1"/>
    <col min="19" max="19" style="19231" width="12.7109375" customWidth="1"/>
    <col min="20" max="20" style="19232" width="35.7109375" customWidth="1"/>
    <col min="21" max="21" style="19232" width="0.140625" customWidth="1"/>
    <col min="22" max="24" style="19232" width="24.7109375" hidden="1" customWidth="1"/>
    <col min="25" max="25" style="19232" width="11.7109375" hidden="1" customWidth="1"/>
    <col min="26" max="26" style="19232" width="3.7109375" hidden="1" customWidth="1"/>
    <col min="27" max="27" style="19232" width="11.7109375" hidden="1" customWidth="1"/>
    <col min="28" max="28" style="19232" width="8.57421875" hidden="1" customWidth="1"/>
    <col min="29" max="31" style="19232" width="24.7109375" customWidth="1"/>
    <col min="32" max="32" style="19232" width="11.7109375" customWidth="1"/>
    <col min="33" max="33" style="19232" width="3.7109375" customWidth="1"/>
    <col min="34" max="34" style="19232" width="11.7109375" customWidth="1"/>
    <col min="35" max="35" style="19232" width="8.57421875" hidden="1" customWidth="1"/>
    <col min="36" max="36" style="19232" width="4.7109375" customWidth="1"/>
    <col min="37" max="37" style="19232" width="115.7109375" customWidth="1"/>
    <col min="38" max="39" style="19219" width="10.57421875"/>
    <col min="40" max="40" style="19219" width="11.140625" customWidth="1"/>
    <col min="41" max="42" style="19219" width="10.57421875"/>
  </cols>
  <sheetData>
    <row customHeight="1" ht="14.25" hidden="1">
      <c r="X1" s="688"/>
      <c r="Y1" s="688"/>
      <c r="AE1" s="688"/>
      <c r="AF1" s="688"/>
    </row>
    <row customHeight="1" ht="23.25" hidden="1">
      <c r="A2" s="1729"/>
      <c r="B2" s="1729"/>
      <c r="C2" s="1729"/>
      <c r="D2" s="1729"/>
      <c r="E2" s="2527">
        <v>1</v>
      </c>
      <c r="F2" s="1729"/>
      <c r="G2" s="1729"/>
      <c r="H2" s="1729"/>
      <c r="I2" s="1729"/>
      <c r="J2" s="1729"/>
      <c r="K2" s="1729"/>
      <c r="L2" s="1730"/>
      <c r="M2" s="1731"/>
      <c r="N2" s="1731"/>
      <c r="O2" s="1731"/>
      <c r="P2" s="722"/>
      <c r="Q2" s="721"/>
      <c r="R2" s="716"/>
      <c r="S2" s="1823">
        <f>INDEX(PT_DIFFERENTIATION_NUM_NTAR,MATCH(A2,PT_DIFFERENTIATION_NTAR_ID,0))</f>
      </c>
      <c r="T2" s="659" t="s">
        <v>120</v>
      </c>
      <c r="U2" s="661"/>
      <c r="V2" s="2521"/>
      <c r="W2" s="2522"/>
      <c r="X2" s="2522"/>
      <c r="Y2" s="2522"/>
      <c r="Z2" s="2522"/>
      <c r="AA2" s="2522"/>
      <c r="AB2" s="2523"/>
      <c r="AC2" s="2521">
        <f>INDEX(PT_DIFFERENTIATION_NTAR,MATCH(A2,PT_DIFFERENTIATION_NTAR_ID,0))</f>
      </c>
      <c r="AD2" s="2522"/>
      <c r="AE2" s="2522"/>
      <c r="AF2" s="2522"/>
      <c r="AG2" s="2522"/>
      <c r="AH2" s="2522"/>
      <c r="AI2" s="2522"/>
      <c r="AJ2" s="2523"/>
      <c r="AK2" s="16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861"/>
      <c r="AN2" s="861" t="str">
        <f>IF(T2="","",T2)</f>
        <v>Наименование тарифа</v>
      </c>
      <c r="AO2" s="861"/>
      <c r="AP2" s="861"/>
    </row>
    <row customHeight="1" ht="23.25" hidden="1">
      <c r="A3" s="1729"/>
      <c r="B3" s="1729"/>
      <c r="C3" s="1729"/>
      <c r="D3" s="1729"/>
      <c r="E3" s="2528"/>
      <c r="F3" s="2527">
        <v>1</v>
      </c>
      <c r="G3" s="1729"/>
      <c r="H3" s="1729"/>
      <c r="I3" s="1729"/>
      <c r="J3" s="1729"/>
      <c r="K3" s="1729"/>
      <c r="L3" s="1730"/>
      <c r="M3" s="1731"/>
      <c r="N3" s="1731"/>
      <c r="O3" s="1731"/>
      <c r="P3" s="1819"/>
      <c r="Q3" s="713"/>
      <c r="R3" s="714"/>
      <c r="S3" s="1823">
        <f>INDEX(PT_DIFFERENTIATION_NUM_TER,MATCH(B3,PT_DIFFERENTIATION_TER_ID,0))</f>
      </c>
      <c r="T3" s="669" t="s">
        <v>397</v>
      </c>
      <c r="U3" s="661"/>
      <c r="V3" s="2521"/>
      <c r="W3" s="2522"/>
      <c r="X3" s="2522"/>
      <c r="Y3" s="2522"/>
      <c r="Z3" s="2522"/>
      <c r="AA3" s="2522"/>
      <c r="AB3" s="2523"/>
      <c r="AC3" s="2521">
        <f>INDEX(PT_DIFFERENTIATION_TER,MATCH(B3,PT_DIFFERENTIATION_TER_ID,0))</f>
      </c>
      <c r="AD3" s="2522"/>
      <c r="AE3" s="2522"/>
      <c r="AF3" s="2522"/>
      <c r="AG3" s="2522"/>
      <c r="AH3" s="2522"/>
      <c r="AI3" s="2522"/>
      <c r="AJ3" s="2523"/>
      <c r="AK3" s="1623" t="s">
        <v>398</v>
      </c>
      <c r="AM3" s="861"/>
      <c r="AN3" s="861" t="str">
        <f>IF(T3="","",T3)</f>
        <v>Территория действия тарифа</v>
      </c>
      <c r="AO3" s="861"/>
      <c r="AP3" s="861"/>
    </row>
    <row customHeight="1" ht="23.25" hidden="1">
      <c r="A4" s="1729"/>
      <c r="B4" s="1729"/>
      <c r="C4" s="1729"/>
      <c r="D4" s="1729"/>
      <c r="E4" s="2528"/>
      <c r="F4" s="2528"/>
      <c r="G4" s="2527">
        <v>1</v>
      </c>
      <c r="H4" s="1729"/>
      <c r="I4" s="1729"/>
      <c r="J4" s="1729"/>
      <c r="K4" s="1729"/>
      <c r="L4" s="1730"/>
      <c r="M4" s="1731"/>
      <c r="N4" s="1731"/>
      <c r="O4" s="1731"/>
      <c r="P4" s="715"/>
      <c r="Q4" s="713"/>
      <c r="R4" s="714"/>
      <c r="S4" s="1823">
        <f>INDEX(PT_DIFFERENTIATION_NUM_CS,MATCH(C4,PT_DIFFERENTIATION_CS_ID,0))</f>
      </c>
      <c r="T4" s="670" t="s">
        <v>479</v>
      </c>
      <c r="U4" s="661"/>
      <c r="V4" s="2521"/>
      <c r="W4" s="2522"/>
      <c r="X4" s="2522"/>
      <c r="Y4" s="2522"/>
      <c r="Z4" s="2522"/>
      <c r="AA4" s="2522"/>
      <c r="AB4" s="2523"/>
      <c r="AC4" s="2521">
        <f>INDEX(PT_DIFFERENTIATION_CS,MATCH(C4,PT_DIFFERENTIATION_CS_ID,0))</f>
      </c>
      <c r="AD4" s="2522"/>
      <c r="AE4" s="2522"/>
      <c r="AF4" s="2522"/>
      <c r="AG4" s="2522"/>
      <c r="AH4" s="2522"/>
      <c r="AI4" s="2522"/>
      <c r="AJ4" s="2523"/>
      <c r="AK4" s="1623" t="s">
        <v>480</v>
      </c>
      <c r="AM4" s="861"/>
      <c r="AN4" s="861" t="str">
        <f>IF(T4="","",T4)</f>
        <v>Наименование централизованной системы холодного водоснабжения</v>
      </c>
      <c r="AO4" s="861"/>
      <c r="AP4" s="861"/>
    </row>
    <row customHeight="1" ht="23.25" hidden="1">
      <c r="A5" s="1729"/>
      <c r="B5" s="1729"/>
      <c r="C5" s="1729"/>
      <c r="D5" s="1729"/>
      <c r="E5" s="2528"/>
      <c r="F5" s="2528"/>
      <c r="G5" s="2528"/>
      <c r="H5" s="2528"/>
      <c r="I5" s="2529">
        <f>S4&amp;".1"</f>
      </c>
      <c r="J5" s="1729"/>
      <c r="K5" s="1729"/>
      <c r="L5" s="1730"/>
      <c r="P5" s="2531">
        <v>1</v>
      </c>
      <c r="Q5" s="1816"/>
      <c r="R5" s="717"/>
      <c r="S5" s="1823">
        <f>$I5</f>
      </c>
      <c r="T5" s="646" t="s">
        <v>481</v>
      </c>
      <c r="U5" s="661"/>
      <c r="V5" s="2614"/>
      <c r="W5" s="2615"/>
      <c r="X5" s="2615"/>
      <c r="Y5" s="2615"/>
      <c r="Z5" s="2615"/>
      <c r="AA5" s="2615"/>
      <c r="AB5" s="2616"/>
      <c r="AC5" s="2617"/>
      <c r="AD5" s="2618"/>
      <c r="AE5" s="2618"/>
      <c r="AF5" s="2618"/>
      <c r="AG5" s="2618"/>
      <c r="AH5" s="2618"/>
      <c r="AI5" s="2618"/>
      <c r="AJ5" s="2619"/>
      <c r="AK5" s="1623" t="s">
        <v>482</v>
      </c>
      <c r="AM5" s="861"/>
      <c r="AN5" s="861" t="str">
        <f>IF(T5="","",T5)</f>
        <v>Наименование признака дифференциации</v>
      </c>
      <c r="AO5" s="861"/>
      <c r="AP5" s="861"/>
    </row>
    <row customHeight="1" ht="23.25" hidden="1">
      <c r="A6" s="1729"/>
      <c r="B6" s="1729"/>
      <c r="C6" s="1729"/>
      <c r="D6" s="1729"/>
      <c r="E6" s="2528"/>
      <c r="F6" s="2528"/>
      <c r="G6" s="2528"/>
      <c r="H6" s="2528"/>
      <c r="I6" s="2530"/>
      <c r="J6" s="2529">
        <f>I5&amp;".1"</f>
      </c>
      <c r="K6" s="1729"/>
      <c r="L6" s="1730" t="s">
        <v>406</v>
      </c>
      <c r="P6" s="2531"/>
      <c r="Q6" s="2531">
        <v>1</v>
      </c>
      <c r="R6" s="718"/>
      <c r="S6" s="1823">
        <f>$J6</f>
      </c>
      <c r="T6" s="647" t="s">
        <v>407</v>
      </c>
      <c r="U6" s="661"/>
      <c r="V6" s="2515"/>
      <c r="W6" s="2516"/>
      <c r="X6" s="2516"/>
      <c r="Y6" s="2516"/>
      <c r="Z6" s="2516"/>
      <c r="AA6" s="2516"/>
      <c r="AB6" s="2517"/>
      <c r="AC6" s="2515"/>
      <c r="AD6" s="2516"/>
      <c r="AE6" s="2516"/>
      <c r="AF6" s="2516"/>
      <c r="AG6" s="2516"/>
      <c r="AH6" s="2516"/>
      <c r="AI6" s="2516"/>
      <c r="AJ6" s="2517"/>
      <c r="AK6" s="1673" t="s">
        <v>483</v>
      </c>
      <c r="AM6" s="861"/>
      <c r="AN6" s="861" t="str">
        <f>IF(T6="","",T6)</f>
        <v>Группа потребителей</v>
      </c>
      <c r="AO6" s="861"/>
      <c r="AP6" s="861"/>
    </row>
    <row customHeight="1" ht="23.25" hidden="1">
      <c r="A7" s="1729"/>
      <c r="B7" s="1729"/>
      <c r="C7" s="1729"/>
      <c r="D7" s="1729"/>
      <c r="E7" s="2528"/>
      <c r="F7" s="2528"/>
      <c r="G7" s="2528"/>
      <c r="H7" s="2528"/>
      <c r="I7" s="2530"/>
      <c r="J7" s="2530"/>
      <c r="K7" s="2529">
        <f>J6&amp;".1"</f>
      </c>
      <c r="L7" s="1730"/>
      <c r="P7" s="2531"/>
      <c r="Q7" s="2531"/>
      <c r="R7" s="718">
        <v>1</v>
      </c>
      <c r="S7" s="1823">
        <f>$K7</f>
      </c>
      <c r="T7" s="1803"/>
      <c r="U7" s="661"/>
      <c r="V7" s="1112"/>
      <c r="W7" s="1112"/>
      <c r="X7" s="1622"/>
      <c r="Y7" s="2532"/>
      <c r="Z7" s="2402" t="s">
        <v>59</v>
      </c>
      <c r="AA7" s="2532"/>
      <c r="AB7" s="2402" t="s">
        <v>59</v>
      </c>
      <c r="AC7" s="1112"/>
      <c r="AD7" s="1112"/>
      <c r="AE7" s="1622"/>
      <c r="AF7" s="2532"/>
      <c r="AG7" s="2402" t="s">
        <v>59</v>
      </c>
      <c r="AH7" s="2534"/>
      <c r="AI7" s="2402" t="s">
        <v>59</v>
      </c>
      <c r="AJ7" s="1804"/>
      <c r="AK7" s="26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872">
        <f>STRCHECKDATE(V8:AJ8)</f>
      </c>
      <c r="AM7" s="861"/>
      <c r="AN7" s="861" t="str">
        <f>IF(T7="","",T7)</f>
        <v/>
      </c>
      <c r="AO7" s="861"/>
      <c r="AP7" s="861"/>
    </row>
    <row customHeight="1" ht="14.25" hidden="1">
      <c r="A8" s="1729"/>
      <c r="B8" s="1729"/>
      <c r="C8" s="1729"/>
      <c r="D8" s="1729"/>
      <c r="E8" s="2528"/>
      <c r="F8" s="2528"/>
      <c r="G8" s="2528"/>
      <c r="H8" s="2528"/>
      <c r="I8" s="2530"/>
      <c r="J8" s="2530"/>
      <c r="K8" s="2529"/>
      <c r="L8" s="1730"/>
      <c r="P8" s="2531"/>
      <c r="Q8" s="2531"/>
      <c r="R8" s="718"/>
      <c r="S8" s="1822"/>
      <c r="T8" s="661"/>
      <c r="U8" s="661"/>
      <c r="V8" s="686"/>
      <c r="W8" s="686"/>
      <c r="X8" s="689" t="str">
        <f>Y7&amp;"-"&amp;AA7</f>
        <v>-</v>
      </c>
      <c r="Y8" s="2533"/>
      <c r="Z8" s="2402"/>
      <c r="AA8" s="2533"/>
      <c r="AB8" s="2402"/>
      <c r="AC8" s="686"/>
      <c r="AD8" s="686"/>
      <c r="AE8" s="689" t="str">
        <f>AF7&amp;"-"&amp;AH7</f>
        <v>-</v>
      </c>
      <c r="AF8" s="2533"/>
      <c r="AG8" s="2402"/>
      <c r="AH8" s="2535"/>
      <c r="AI8" s="2402"/>
      <c r="AJ8" s="1805"/>
      <c r="AK8" s="2620"/>
      <c r="AM8" s="861"/>
      <c r="AN8" s="861" t="str">
        <f>IF(T8="","",T8)</f>
        <v/>
      </c>
      <c r="AO8" s="861"/>
      <c r="AP8" s="861"/>
    </row>
    <row customHeight="1" ht="21" hidden="1">
      <c r="A9" s="1729"/>
      <c r="B9" s="1729"/>
      <c r="C9" s="1729"/>
      <c r="D9" s="1729"/>
      <c r="E9" s="2528"/>
      <c r="F9" s="2528"/>
      <c r="G9" s="2528"/>
      <c r="H9" s="2528"/>
      <c r="I9" s="2530"/>
      <c r="J9" s="2529"/>
      <c r="K9" s="1729"/>
      <c r="L9" s="1730"/>
      <c r="P9" s="2531"/>
      <c r="Q9" s="2531"/>
      <c r="R9" s="717"/>
      <c r="S9" s="1644"/>
      <c r="T9" s="648" t="s">
        <v>484</v>
      </c>
      <c r="U9" s="728"/>
      <c r="V9" s="728"/>
      <c r="W9" s="728"/>
      <c r="X9" s="728"/>
      <c r="Y9" s="728"/>
      <c r="Z9" s="728"/>
      <c r="AA9" s="728"/>
      <c r="AB9" s="728"/>
      <c r="AC9" s="728"/>
      <c r="AD9" s="728"/>
      <c r="AE9" s="728"/>
      <c r="AF9" s="728"/>
      <c r="AG9" s="728"/>
      <c r="AH9" s="728"/>
      <c r="AI9" s="728"/>
      <c r="AJ9" s="728"/>
      <c r="AK9" s="1623" t="s">
        <v>485</v>
      </c>
      <c r="AM9" s="861"/>
      <c r="AN9" s="861" t="str">
        <f>IF(T9="","",T9)</f>
        <v>Добавить значение признака дифференциации</v>
      </c>
      <c r="AO9" s="861"/>
      <c r="AP9" s="861"/>
    </row>
    <row customHeight="1" ht="21" hidden="1">
      <c r="A10" s="1729"/>
      <c r="B10" s="1729"/>
      <c r="C10" s="1729"/>
      <c r="D10" s="1729"/>
      <c r="E10" s="2528"/>
      <c r="F10" s="2528"/>
      <c r="G10" s="2528"/>
      <c r="H10" s="2528"/>
      <c r="I10" s="2529"/>
      <c r="J10" s="1729"/>
      <c r="K10" s="1729"/>
      <c r="L10" s="1730"/>
      <c r="P10" s="2531"/>
      <c r="Q10" s="1816"/>
      <c r="R10" s="717"/>
      <c r="S10" s="1644"/>
      <c r="T10" s="726" t="s">
        <v>412</v>
      </c>
      <c r="U10" s="728"/>
      <c r="V10" s="728"/>
      <c r="W10" s="728"/>
      <c r="X10" s="728"/>
      <c r="Y10" s="728"/>
      <c r="Z10" s="728"/>
      <c r="AA10" s="728"/>
      <c r="AB10" s="727"/>
      <c r="AC10" s="728"/>
      <c r="AD10" s="728"/>
      <c r="AE10" s="728"/>
      <c r="AF10" s="728"/>
      <c r="AG10" s="728"/>
      <c r="AH10" s="728"/>
      <c r="AI10" s="727"/>
      <c r="AJ10" s="728"/>
      <c r="AK10" s="1806"/>
      <c r="AM10" s="861"/>
      <c r="AN10" s="861" t="str">
        <f>IF(T10="","",T10)</f>
        <v>Добавить группу потребителей</v>
      </c>
      <c r="AO10" s="861"/>
      <c r="AP10" s="861"/>
    </row>
    <row customHeight="1" ht="21" hidden="1">
      <c r="A11" s="1729"/>
      <c r="B11" s="1729"/>
      <c r="C11" s="1729"/>
      <c r="D11" s="1729"/>
      <c r="E11" s="2528"/>
      <c r="F11" s="2528"/>
      <c r="G11" s="2528"/>
      <c r="H11" s="2527"/>
      <c r="I11" s="1729"/>
      <c r="J11" s="1729"/>
      <c r="K11" s="1729"/>
      <c r="L11" s="1730"/>
      <c r="M11" s="1731"/>
      <c r="N11" s="1731"/>
      <c r="O11" s="898"/>
      <c r="P11" s="721"/>
      <c r="Q11" s="736"/>
      <c r="R11" s="716"/>
      <c r="S11" s="1644"/>
      <c r="T11" s="733" t="s">
        <v>486</v>
      </c>
      <c r="U11" s="728"/>
      <c r="V11" s="728"/>
      <c r="W11" s="728"/>
      <c r="X11" s="728"/>
      <c r="Y11" s="728"/>
      <c r="Z11" s="728"/>
      <c r="AA11" s="728"/>
      <c r="AB11" s="727"/>
      <c r="AC11" s="728"/>
      <c r="AD11" s="728"/>
      <c r="AE11" s="728"/>
      <c r="AF11" s="728"/>
      <c r="AG11" s="728"/>
      <c r="AH11" s="728"/>
      <c r="AI11" s="727"/>
      <c r="AJ11" s="728"/>
      <c r="AK11" s="664"/>
      <c r="AM11" s="861"/>
      <c r="AN11" s="861" t="str">
        <f>IF(T11="","",T11)</f>
        <v>Добавить наименование признака дифференциации</v>
      </c>
      <c r="AO11" s="861"/>
      <c r="AP11" s="861"/>
    </row>
    <row s="19127" customFormat="1" customHeight="1" ht="14.25" hidden="1">
      <c r="A12" s="1709"/>
      <c r="B12" s="1709"/>
      <c r="C12" s="1680"/>
      <c r="D12" s="1680"/>
      <c r="E12" s="2528"/>
      <c r="F12" s="2527"/>
      <c r="G12" s="1680"/>
      <c r="H12" s="1680"/>
      <c r="I12" s="1680"/>
      <c r="J12" s="1680"/>
      <c r="K12" s="1680"/>
      <c r="L12" s="1824"/>
      <c r="M12" s="1687"/>
      <c r="N12" s="1687"/>
      <c r="P12" s="1682"/>
      <c r="Q12" s="1683"/>
      <c r="R12" s="1682"/>
      <c r="S12" s="1688"/>
      <c r="T12" s="1691" t="s">
        <v>251</v>
      </c>
      <c r="U12" s="1690"/>
      <c r="V12" s="1690"/>
      <c r="W12" s="1690"/>
      <c r="X12" s="1690"/>
      <c r="Y12" s="1690"/>
      <c r="Z12" s="1690"/>
      <c r="AA12" s="1690"/>
      <c r="AB12" s="1690"/>
      <c r="AC12" s="1690"/>
      <c r="AD12" s="1690"/>
      <c r="AE12" s="1690"/>
      <c r="AF12" s="1690"/>
      <c r="AG12" s="1690"/>
      <c r="AH12" s="1690"/>
      <c r="AI12" s="1690"/>
      <c r="AJ12" s="1690"/>
      <c r="AK12" s="1690"/>
      <c r="AM12" s="1150"/>
      <c r="AN12" s="1150" t="str">
        <f>IF(T12="","",T12)</f>
        <v>Добавить централизованную систему для дифференциации</v>
      </c>
      <c r="AO12" s="1150"/>
      <c r="AP12" s="1150"/>
    </row>
    <row s="19219" customFormat="1" customHeight="1" ht="14.25" hidden="1">
      <c r="A13" s="1709"/>
      <c r="B13" s="1709"/>
      <c r="C13" s="1709"/>
      <c r="D13" s="1709"/>
      <c r="E13" s="2527"/>
      <c r="F13" s="1709"/>
      <c r="G13" s="1709"/>
      <c r="H13" s="1709"/>
      <c r="I13" s="1709"/>
      <c r="J13" s="1709"/>
      <c r="K13" s="1709"/>
      <c r="L13" s="1712"/>
      <c r="M13" s="1687"/>
      <c r="N13" s="1687"/>
      <c r="O13" s="879"/>
      <c r="P13" s="741"/>
      <c r="Q13" s="1710"/>
      <c r="R13" s="741"/>
      <c r="S13" s="1688"/>
      <c r="T13" s="1691" t="s">
        <v>252</v>
      </c>
      <c r="U13" s="1690"/>
      <c r="V13" s="1690"/>
      <c r="W13" s="1690"/>
      <c r="X13" s="1690"/>
      <c r="Y13" s="1690"/>
      <c r="Z13" s="1690"/>
      <c r="AA13" s="1690"/>
      <c r="AB13" s="1690"/>
      <c r="AC13" s="1690"/>
      <c r="AD13" s="1690"/>
      <c r="AE13" s="1690"/>
      <c r="AF13" s="1690"/>
      <c r="AG13" s="1690"/>
      <c r="AH13" s="1690"/>
      <c r="AI13" s="1690"/>
      <c r="AJ13" s="1690"/>
      <c r="AK13" s="1690"/>
      <c r="AM13" s="861"/>
      <c r="AN13" s="861" t="str">
        <f>IF(T13="","",T13)</f>
        <v>Добавить территорию для дифференциации</v>
      </c>
      <c r="AO13" s="861"/>
      <c r="AP13" s="861"/>
    </row>
    <row customHeight="1" ht="14.25" hidden="1">
      <c r="AB14" s="688"/>
      <c r="AI14" s="688"/>
    </row>
    <row customHeight="1" ht="14.25" hidden="1">
      <c r="AC15" s="1726"/>
      <c r="AD15" s="1726"/>
      <c r="AE15" s="1727"/>
      <c r="AF15" s="2525"/>
      <c r="AG15" s="2524" t="s">
        <v>59</v>
      </c>
      <c r="AH15" s="2525"/>
      <c r="AI15" s="2524" t="s">
        <v>59</v>
      </c>
    </row>
    <row customHeight="1" ht="14.25" hidden="1">
      <c r="AC16" s="1726"/>
      <c r="AD16" s="1726"/>
      <c r="AE16" s="689" t="str">
        <f>AF15&amp;"-"&amp;AH15</f>
        <v>-</v>
      </c>
      <c r="AF16" s="2524"/>
      <c r="AG16" s="2524"/>
      <c r="AH16" s="2524"/>
      <c r="AI16" s="2524"/>
    </row>
    <row customHeight="1" ht="14.25" hidden="1">
      <c r="AI17" s="688"/>
    </row>
    <row s="19146" customFormat="1" customHeight="1" ht="22.5" hidden="1">
      <c r="L18" s="1813"/>
      <c r="M18" s="1728"/>
      <c r="N18" s="1728"/>
      <c r="O18" s="1733" t="s">
        <v>415</v>
      </c>
      <c r="P18" s="1728"/>
      <c r="Q18" s="1737"/>
      <c r="R18" s="1737"/>
      <c r="S18" s="1090"/>
      <c r="Y18" s="1733"/>
      <c r="AA18" s="1733"/>
      <c r="AB18" s="1732"/>
      <c r="AF18" s="1733"/>
      <c r="AH18" s="1733"/>
      <c r="AI18" s="1732"/>
      <c r="AL18" s="872"/>
      <c r="AM18" s="872"/>
      <c r="AN18" s="872"/>
      <c r="AO18" s="872"/>
      <c r="AP18" s="872"/>
    </row>
    <row s="19146" customFormat="1" customHeight="1" ht="14.25" hidden="1">
      <c r="L19" s="1813"/>
      <c r="M19" s="1728"/>
      <c r="N19" s="1728"/>
      <c r="O19" s="1728"/>
      <c r="P19" s="1728"/>
      <c r="Q19" s="1737"/>
      <c r="R19" s="1737"/>
      <c r="S19" s="1090"/>
      <c r="AB19" s="1732"/>
      <c r="AI19" s="1732"/>
      <c r="AL19" s="872"/>
      <c r="AM19" s="872"/>
      <c r="AN19" s="872"/>
      <c r="AO19" s="872"/>
      <c r="AP19" s="872"/>
    </row>
    <row s="19146" customFormat="1" customHeight="1" ht="12" hidden="1">
      <c r="L20" s="1813"/>
      <c r="M20" s="1728"/>
      <c r="N20" s="1728"/>
      <c r="O20" s="1730" t="s">
        <v>416</v>
      </c>
      <c r="P20" s="1728"/>
      <c r="Q20" s="1808"/>
      <c r="R20" s="1808"/>
      <c r="S20" s="1090"/>
      <c r="T20" s="1523" t="s">
        <v>417</v>
      </c>
      <c r="Z20" s="547" t="s">
        <v>418</v>
      </c>
      <c r="AB20" s="547" t="s">
        <v>419</v>
      </c>
      <c r="AC20" s="1523" t="s">
        <v>417</v>
      </c>
      <c r="AG20" s="547" t="s">
        <v>420</v>
      </c>
      <c r="AI20" s="547" t="s">
        <v>419</v>
      </c>
    </row>
    <row customHeight="1" ht="14.25" hidden="1">
      <c r="O21" s="1730"/>
    </row>
    <row customHeight="1" ht="14.25" hidden="1">
      <c r="O22" s="1730"/>
    </row>
    <row customHeight="1" ht="14.25">
      <c r="Q23" s="737"/>
      <c r="R23" s="737"/>
      <c r="S23" s="1641"/>
      <c r="T23" s="724"/>
      <c r="U23" s="724"/>
      <c r="V23" s="870"/>
      <c r="W23" s="870"/>
      <c r="X23" s="870"/>
      <c r="Y23" s="870"/>
      <c r="Z23" s="870"/>
      <c r="AA23" s="870"/>
      <c r="AB23" s="870"/>
      <c r="AC23" s="870"/>
      <c r="AD23" s="870"/>
      <c r="AE23" s="870"/>
      <c r="AF23" s="870"/>
      <c r="AG23" s="870"/>
      <c r="AH23" s="870"/>
      <c r="AI23" s="870"/>
    </row>
    <row customHeight="1" ht="14.25">
      <c r="Q24" s="737"/>
      <c r="R24" s="737"/>
      <c r="S24" s="256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560"/>
      <c r="U24" s="2560"/>
      <c r="V24" s="2560"/>
      <c r="W24" s="2560"/>
      <c r="X24" s="2560"/>
      <c r="Y24" s="2560"/>
      <c r="Z24" s="2560"/>
      <c r="AA24" s="2560"/>
      <c r="AB24" s="2560"/>
      <c r="AC24" s="2560"/>
      <c r="AD24" s="2560"/>
      <c r="AE24" s="2560"/>
      <c r="AF24" s="2560"/>
      <c r="AG24" s="2560"/>
      <c r="AH24" s="2560"/>
      <c r="AI24" s="1608"/>
    </row>
    <row customHeight="1" ht="14.25">
      <c r="Q25" s="737"/>
      <c r="R25" s="737"/>
      <c r="S25" s="2561" t="str">
        <f>IF(org=0,"Не определено",org)</f>
        <v>Филиал "Шатурская ГРЭС" ПАО "Юнипро"</v>
      </c>
      <c r="T25" s="2561"/>
      <c r="U25" s="2561"/>
      <c r="V25" s="2561"/>
      <c r="W25" s="2561"/>
      <c r="X25" s="2561"/>
      <c r="Y25" s="2561"/>
      <c r="Z25" s="2561"/>
      <c r="AA25" s="2561"/>
      <c r="AB25" s="2561"/>
      <c r="AC25" s="2561"/>
      <c r="AD25" s="2561"/>
      <c r="AE25" s="2561"/>
      <c r="AF25" s="2561"/>
      <c r="AG25" s="2561"/>
      <c r="AH25" s="2561"/>
      <c r="AI25" s="1608"/>
    </row>
    <row customHeight="1" ht="14.25">
      <c r="Q26" s="737"/>
      <c r="R26" s="737"/>
      <c r="S26" s="1641"/>
      <c r="T26" s="724"/>
      <c r="U26" s="724"/>
      <c r="V26" s="683"/>
      <c r="W26" s="683"/>
      <c r="X26" s="683"/>
      <c r="Y26" s="683"/>
      <c r="Z26" s="683"/>
      <c r="AA26" s="683"/>
      <c r="AB26" s="683"/>
      <c r="AC26" s="683"/>
      <c r="AD26" s="683"/>
      <c r="AE26" s="683"/>
      <c r="AF26" s="683"/>
      <c r="AG26" s="683"/>
      <c r="AH26" s="683"/>
      <c r="AI26" s="683"/>
      <c r="AJ26" s="870"/>
    </row>
    <row s="19160" customFormat="1" customHeight="1" ht="25.5">
      <c r="A27" s="1734"/>
      <c r="B27" s="1734"/>
      <c r="C27" s="1734"/>
      <c r="D27" s="1734"/>
      <c r="E27" s="1734"/>
      <c r="F27" s="1734"/>
      <c r="G27" s="1734"/>
      <c r="H27" s="1734"/>
      <c r="I27" s="1734"/>
      <c r="J27" s="1734"/>
      <c r="K27" s="1734"/>
      <c r="L27" s="1735"/>
      <c r="M27" s="1734"/>
      <c r="N27" s="1734"/>
      <c r="O27" s="1734"/>
      <c r="S27" s="2518" t="s">
        <v>38</v>
      </c>
      <c r="T27" s="2518"/>
      <c r="U27" s="1738"/>
      <c r="V27" s="2520" t="str">
        <f>IF(TITLE_NAME_OR_PR_CHANGE="",IF(TITLE_NAME_OR_PR="","",TITLE_NAME_OR_PR),TITLE_NAME_OR_PR_CHANGE)</f>
        <v>Комитет по ценам и тарифам по Московской области</v>
      </c>
      <c r="W27" s="2520"/>
      <c r="X27" s="2520"/>
      <c r="Y27" s="2520"/>
      <c r="Z27" s="2520"/>
      <c r="AA27" s="2520"/>
      <c r="AB27" s="687"/>
      <c r="AC27" s="2520" t="str">
        <f>IF(TITLE_NAME_OR_PR_CHANGE="",IF(TITLE_NAME_OR_PR="","",TITLE_NAME_OR_PR),TITLE_NAME_OR_PR_CHANGE)</f>
        <v>Комитет по ценам и тарифам по Московской области</v>
      </c>
      <c r="AD27" s="2520"/>
      <c r="AE27" s="2520"/>
      <c r="AF27" s="2520"/>
      <c r="AG27" s="2520"/>
      <c r="AH27" s="2520"/>
      <c r="AI27" s="687"/>
      <c r="AJ27" s="687"/>
      <c r="AK27" s="641"/>
      <c r="AL27" s="729"/>
      <c r="AM27" s="729"/>
      <c r="AN27" s="729"/>
      <c r="AO27" s="729"/>
      <c r="AP27" s="729"/>
    </row>
    <row s="19160" customFormat="1" customHeight="1" ht="18.75">
      <c r="A28" s="1734"/>
      <c r="B28" s="1734"/>
      <c r="C28" s="1734"/>
      <c r="D28" s="1734"/>
      <c r="E28" s="1734"/>
      <c r="F28" s="1734"/>
      <c r="G28" s="1734"/>
      <c r="H28" s="1734"/>
      <c r="I28" s="1734"/>
      <c r="J28" s="1734"/>
      <c r="K28" s="1734"/>
      <c r="L28" s="1735"/>
      <c r="M28" s="1734"/>
      <c r="N28" s="1734"/>
      <c r="O28" s="1734"/>
      <c r="S28" s="2518" t="s">
        <v>421</v>
      </c>
      <c r="T28" s="2518"/>
      <c r="U28" s="1738"/>
      <c r="V28" s="2519" t="str">
        <f>IF(TITLE_DATE_PR_CHANGE="",IF(TITLE_DATE_PR="","",TITLE_DATE_PR),TITLE_DATE_PR_CHANGE)</f>
        <v>45280.70914351852</v>
      </c>
      <c r="W28" s="2519"/>
      <c r="X28" s="2519"/>
      <c r="Y28" s="2519"/>
      <c r="Z28" s="2519"/>
      <c r="AA28" s="2519"/>
      <c r="AB28" s="687"/>
      <c r="AC28" s="2519" t="str">
        <f>IF(TITLE_DATE_PR_CHANGE="",IF(TITLE_DATE_PR="","",TITLE_DATE_PR),TITLE_DATE_PR_CHANGE)</f>
        <v>45280.70914351852</v>
      </c>
      <c r="AD28" s="2519"/>
      <c r="AE28" s="2519"/>
      <c r="AF28" s="2519"/>
      <c r="AG28" s="2519"/>
      <c r="AH28" s="2519"/>
      <c r="AI28" s="687"/>
      <c r="AJ28" s="687"/>
      <c r="AK28" s="641"/>
      <c r="AL28" s="729"/>
      <c r="AM28" s="729"/>
      <c r="AN28" s="729"/>
      <c r="AO28" s="729"/>
      <c r="AP28" s="729"/>
    </row>
    <row s="19160" customFormat="1" customHeight="1" ht="18.75">
      <c r="A29" s="1734"/>
      <c r="B29" s="1734"/>
      <c r="C29" s="1734"/>
      <c r="D29" s="1734"/>
      <c r="E29" s="1734"/>
      <c r="F29" s="1734"/>
      <c r="G29" s="1734"/>
      <c r="H29" s="1734"/>
      <c r="I29" s="1734"/>
      <c r="J29" s="1734"/>
      <c r="K29" s="1734"/>
      <c r="L29" s="1735"/>
      <c r="M29" s="1734"/>
      <c r="N29" s="1734"/>
      <c r="O29" s="1734"/>
      <c r="S29" s="2518" t="s">
        <v>422</v>
      </c>
      <c r="T29" s="2518"/>
      <c r="U29" s="1738"/>
      <c r="V29" s="2520" t="str">
        <f>IF(TITLE_NUMBER_PR_CHANGE="",IF(TITLE_NUMBER_PR="","",TITLE_NUMBER_PR),TITLE_NUMBER_PR_CHANGE)</f>
        <v>317-Р</v>
      </c>
      <c r="W29" s="2520"/>
      <c r="X29" s="2520"/>
      <c r="Y29" s="2520"/>
      <c r="Z29" s="2520"/>
      <c r="AA29" s="2520"/>
      <c r="AB29" s="687"/>
      <c r="AC29" s="2520" t="str">
        <f>IF(TITLE_NUMBER_PR_CHANGE="",IF(TITLE_NUMBER_PR="","",TITLE_NUMBER_PR),TITLE_NUMBER_PR_CHANGE)</f>
        <v>317-Р</v>
      </c>
      <c r="AD29" s="2520"/>
      <c r="AE29" s="2520"/>
      <c r="AF29" s="2520"/>
      <c r="AG29" s="2520"/>
      <c r="AH29" s="2520"/>
      <c r="AI29" s="687"/>
      <c r="AJ29" s="687"/>
      <c r="AK29" s="641"/>
      <c r="AL29" s="729"/>
      <c r="AM29" s="729"/>
      <c r="AN29" s="729"/>
      <c r="AO29" s="729"/>
      <c r="AP29" s="729"/>
    </row>
    <row s="19160" customFormat="1" customHeight="1" ht="18.75">
      <c r="A30" s="1734"/>
      <c r="B30" s="1734"/>
      <c r="C30" s="1734"/>
      <c r="D30" s="1734"/>
      <c r="E30" s="1734"/>
      <c r="F30" s="1734"/>
      <c r="G30" s="1734"/>
      <c r="H30" s="1734"/>
      <c r="I30" s="1734"/>
      <c r="J30" s="1734"/>
      <c r="K30" s="1734"/>
      <c r="L30" s="1735"/>
      <c r="M30" s="1734"/>
      <c r="N30" s="1734"/>
      <c r="O30" s="1734"/>
      <c r="S30" s="2518" t="s">
        <v>40</v>
      </c>
      <c r="T30" s="2518"/>
      <c r="U30" s="1738"/>
      <c r="V30"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520"/>
      <c r="X30" s="2520"/>
      <c r="Y30" s="2520"/>
      <c r="Z30" s="2520"/>
      <c r="AA30" s="2520"/>
      <c r="AB30" s="687"/>
      <c r="AC30"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520"/>
      <c r="AE30" s="2520"/>
      <c r="AF30" s="2520"/>
      <c r="AG30" s="2520"/>
      <c r="AH30" s="2520"/>
      <c r="AI30" s="687"/>
      <c r="AJ30" s="687"/>
      <c r="AK30" s="641"/>
      <c r="AL30" s="729"/>
      <c r="AM30" s="729"/>
      <c r="AN30" s="729"/>
      <c r="AO30" s="729"/>
      <c r="AP30" s="729"/>
    </row>
    <row customHeight="1" ht="14.25" hidden="1">
      <c r="Q31" s="737"/>
      <c r="R31" s="737"/>
      <c r="S31" s="1641"/>
      <c r="T31" s="724"/>
      <c r="U31" s="724"/>
      <c r="V31" s="683"/>
      <c r="W31" s="683"/>
      <c r="X31" s="683"/>
      <c r="Y31" s="683"/>
      <c r="Z31" s="683"/>
      <c r="AA31" s="683"/>
      <c r="AB31" s="683"/>
      <c r="AC31" s="683"/>
      <c r="AD31" s="683"/>
      <c r="AE31" s="683"/>
      <c r="AF31" s="683"/>
      <c r="AG31" s="683"/>
      <c r="AH31" s="683"/>
      <c r="AI31" s="683"/>
      <c r="AJ31" s="870"/>
    </row>
    <row s="19160" customFormat="1" customHeight="1" ht="18.75" hidden="1">
      <c r="A32" s="1734"/>
      <c r="B32" s="1734"/>
      <c r="C32" s="1734"/>
      <c r="D32" s="1734"/>
      <c r="E32" s="1734"/>
      <c r="F32" s="1734"/>
      <c r="G32" s="1734"/>
      <c r="H32" s="1734"/>
      <c r="I32" s="1734"/>
      <c r="J32" s="1734"/>
      <c r="K32" s="1734"/>
      <c r="L32" s="1735"/>
      <c r="M32" s="1734"/>
      <c r="N32" s="1734"/>
      <c r="O32" s="1734"/>
      <c r="S32" s="2518" t="s">
        <v>423</v>
      </c>
      <c r="T32" s="2518"/>
      <c r="U32" s="1738"/>
      <c r="V32" s="2519" t="str">
        <f>IF(TITLE_DATE_PR_CHANGE="",IF(TITLE_DATE_PR="","",TITLE_DATE_PR),TITLE_DATE_PR_CHANGE)</f>
        <v>45280.70914351852</v>
      </c>
      <c r="W32" s="2519"/>
      <c r="X32" s="2519"/>
      <c r="Y32" s="2519"/>
      <c r="Z32" s="2519"/>
      <c r="AA32" s="2519"/>
      <c r="AB32" s="687"/>
      <c r="AC32" s="2519" t="str">
        <f>IF(TITLE_DATE_PR_CHANGE="",IF(TITLE_DATE_PR="","",TITLE_DATE_PR),TITLE_DATE_PR_CHANGE)</f>
        <v>45280.70914351852</v>
      </c>
      <c r="AD32" s="2519"/>
      <c r="AE32" s="2519"/>
      <c r="AF32" s="2519"/>
      <c r="AG32" s="2519"/>
      <c r="AH32" s="2519"/>
      <c r="AI32" s="687"/>
      <c r="AJ32" s="687"/>
      <c r="AK32" s="641"/>
      <c r="AL32" s="729"/>
      <c r="AM32" s="729"/>
      <c r="AN32" s="729"/>
      <c r="AO32" s="729"/>
      <c r="AP32" s="729"/>
    </row>
    <row s="19160" customFormat="1" customHeight="1" ht="18.75" hidden="1">
      <c r="A33" s="1734"/>
      <c r="B33" s="1734"/>
      <c r="C33" s="1734"/>
      <c r="D33" s="1734"/>
      <c r="E33" s="1734"/>
      <c r="F33" s="1734"/>
      <c r="G33" s="1734"/>
      <c r="H33" s="1734"/>
      <c r="I33" s="1734"/>
      <c r="J33" s="1734"/>
      <c r="K33" s="1734"/>
      <c r="L33" s="1735"/>
      <c r="M33" s="1734"/>
      <c r="N33" s="1734"/>
      <c r="O33" s="1734"/>
      <c r="S33" s="2518" t="s">
        <v>424</v>
      </c>
      <c r="T33" s="2518"/>
      <c r="U33" s="1738"/>
      <c r="V33" s="2520" t="str">
        <f>IF(TITLE_NUMBER_PR_CHANGE="",IF(TITLE_NUMBER_PR="","",TITLE_NUMBER_PR),TITLE_NUMBER_PR_CHANGE)</f>
        <v>317-Р</v>
      </c>
      <c r="W33" s="2520"/>
      <c r="X33" s="2520"/>
      <c r="Y33" s="2520"/>
      <c r="Z33" s="2520"/>
      <c r="AA33" s="2520"/>
      <c r="AB33" s="687"/>
      <c r="AC33" s="2520" t="str">
        <f>IF(TITLE_NUMBER_PR_CHANGE="",IF(TITLE_NUMBER_PR="","",TITLE_NUMBER_PR),TITLE_NUMBER_PR_CHANGE)</f>
        <v>317-Р</v>
      </c>
      <c r="AD33" s="2520"/>
      <c r="AE33" s="2520"/>
      <c r="AF33" s="2520"/>
      <c r="AG33" s="2520"/>
      <c r="AH33" s="2520"/>
      <c r="AI33" s="687"/>
      <c r="AJ33" s="687"/>
      <c r="AK33" s="641"/>
      <c r="AL33" s="729"/>
      <c r="AM33" s="729"/>
      <c r="AN33" s="729"/>
      <c r="AO33" s="729"/>
      <c r="AP33" s="729"/>
    </row>
    <row s="19160" customFormat="1" customHeight="1" ht="0.75">
      <c r="A34" s="1734"/>
      <c r="B34" s="1734"/>
      <c r="C34" s="1734"/>
      <c r="D34" s="1734"/>
      <c r="E34" s="1734"/>
      <c r="F34" s="1734"/>
      <c r="G34" s="1734"/>
      <c r="H34" s="1734"/>
      <c r="I34" s="1734"/>
      <c r="J34" s="1734"/>
      <c r="K34" s="1734"/>
      <c r="L34" s="1735"/>
      <c r="M34" s="1734"/>
      <c r="N34" s="1734"/>
      <c r="O34" s="1734"/>
      <c r="S34" s="684"/>
      <c r="T34" s="684"/>
      <c r="U34" s="1820"/>
      <c r="V34" s="687"/>
      <c r="W34" s="687"/>
      <c r="X34" s="687"/>
      <c r="Y34" s="687"/>
      <c r="Z34" s="687"/>
      <c r="AA34" s="687"/>
      <c r="AB34" s="639" t="s">
        <v>425</v>
      </c>
      <c r="AC34" s="687"/>
      <c r="AD34" s="687"/>
      <c r="AE34" s="687"/>
      <c r="AF34" s="687"/>
      <c r="AG34" s="687"/>
      <c r="AH34" s="687"/>
      <c r="AI34" s="639" t="s">
        <v>425</v>
      </c>
      <c r="AL34" s="729"/>
      <c r="AM34" s="729"/>
      <c r="AN34" s="729"/>
      <c r="AO34" s="729"/>
      <c r="AP34" s="729"/>
    </row>
    <row customHeight="1" ht="14.25">
      <c r="Q35" s="737"/>
      <c r="R35" s="737"/>
      <c r="S35" s="1641"/>
      <c r="T35" s="724"/>
      <c r="U35" s="1609"/>
      <c r="V35" s="2544"/>
      <c r="W35" s="2544"/>
      <c r="X35" s="2544"/>
      <c r="Y35" s="2544"/>
      <c r="Z35" s="2544"/>
      <c r="AA35" s="2544"/>
      <c r="AB35" s="2544"/>
      <c r="AC35" s="2544"/>
      <c r="AD35" s="2544"/>
      <c r="AE35" s="2544"/>
      <c r="AF35" s="2544"/>
      <c r="AG35" s="2544"/>
      <c r="AH35" s="2544"/>
      <c r="AI35" s="2544"/>
    </row>
    <row customHeight="1" ht="14.25">
      <c r="Q36" s="737"/>
      <c r="R36" s="737"/>
      <c r="S36" s="2392" t="s">
        <v>300</v>
      </c>
      <c r="T36" s="2392"/>
      <c r="U36" s="2392"/>
      <c r="V36" s="2392"/>
      <c r="W36" s="2392"/>
      <c r="X36" s="2392"/>
      <c r="Y36" s="2392"/>
      <c r="Z36" s="2392"/>
      <c r="AA36" s="2392"/>
      <c r="AB36" s="2392"/>
      <c r="AC36" s="2392"/>
      <c r="AD36" s="2392"/>
      <c r="AE36" s="2392"/>
      <c r="AF36" s="2392"/>
      <c r="AG36" s="2392"/>
      <c r="AH36" s="2392"/>
      <c r="AI36" s="2392"/>
      <c r="AJ36" s="2392"/>
      <c r="AK36" s="2392" t="s">
        <v>301</v>
      </c>
    </row>
    <row customHeight="1" ht="14.25">
      <c r="Q37" s="737"/>
      <c r="R37" s="737"/>
      <c r="S37" s="2545" t="s">
        <v>85</v>
      </c>
      <c r="T37" s="2482" t="s">
        <v>426</v>
      </c>
      <c r="U37" s="662"/>
      <c r="V37" s="2546" t="s">
        <v>427</v>
      </c>
      <c r="W37" s="2547"/>
      <c r="X37" s="2547"/>
      <c r="Y37" s="2547"/>
      <c r="Z37" s="2547"/>
      <c r="AA37" s="2548"/>
      <c r="AB37" s="2549" t="s">
        <v>428</v>
      </c>
      <c r="AC37" s="2546" t="s">
        <v>427</v>
      </c>
      <c r="AD37" s="2547"/>
      <c r="AE37" s="2547"/>
      <c r="AF37" s="2547"/>
      <c r="AG37" s="2547"/>
      <c r="AH37" s="2548"/>
      <c r="AI37" s="2549" t="s">
        <v>429</v>
      </c>
      <c r="AJ37" s="2552" t="s">
        <v>430</v>
      </c>
      <c r="AK37" s="2392"/>
    </row>
    <row customHeight="1" ht="33.75">
      <c r="Q38" s="737"/>
      <c r="R38" s="737"/>
      <c r="S38" s="2545"/>
      <c r="T38" s="2482"/>
      <c r="U38" s="1393"/>
      <c r="V38" s="1818" t="s">
        <v>487</v>
      </c>
      <c r="W38" s="2538" t="s">
        <v>433</v>
      </c>
      <c r="X38" s="2540"/>
      <c r="Y38" s="2538" t="s">
        <v>434</v>
      </c>
      <c r="Z38" s="2539"/>
      <c r="AA38" s="2540"/>
      <c r="AB38" s="2550"/>
      <c r="AC38" s="1818" t="s">
        <v>487</v>
      </c>
      <c r="AD38" s="2538" t="s">
        <v>433</v>
      </c>
      <c r="AE38" s="2540"/>
      <c r="AF38" s="2538" t="s">
        <v>434</v>
      </c>
      <c r="AG38" s="2539"/>
      <c r="AH38" s="2540"/>
      <c r="AI38" s="2550"/>
      <c r="AJ38" s="2553"/>
      <c r="AK38" s="2392"/>
    </row>
    <row customHeight="1" ht="33.75">
      <c r="A39" s="1736"/>
      <c r="B39" s="1736" t="s">
        <v>132</v>
      </c>
      <c r="C39" s="1736" t="s">
        <v>133</v>
      </c>
      <c r="D39" s="1736" t="s">
        <v>134</v>
      </c>
      <c r="E39" s="1730" t="s">
        <v>435</v>
      </c>
      <c r="F39" s="1730" t="s">
        <v>436</v>
      </c>
      <c r="G39" s="1730" t="s">
        <v>437</v>
      </c>
      <c r="H39" s="1730"/>
      <c r="I39" s="1730" t="s">
        <v>488</v>
      </c>
      <c r="J39" s="1730" t="s">
        <v>440</v>
      </c>
      <c r="K39" s="1730" t="s">
        <v>489</v>
      </c>
      <c r="L39" s="1730" t="s">
        <v>416</v>
      </c>
      <c r="Q39" s="737"/>
      <c r="R39" s="737"/>
      <c r="S39" s="2545"/>
      <c r="T39" s="2482"/>
      <c r="U39" s="663"/>
      <c r="V39" s="1818" t="s">
        <v>490</v>
      </c>
      <c r="W39" s="1587" t="s">
        <v>491</v>
      </c>
      <c r="X39" s="1587" t="s">
        <v>492</v>
      </c>
      <c r="Y39" s="1821" t="s">
        <v>444</v>
      </c>
      <c r="Z39" s="2541" t="s">
        <v>445</v>
      </c>
      <c r="AA39" s="2542"/>
      <c r="AB39" s="2551"/>
      <c r="AC39" s="1818" t="s">
        <v>490</v>
      </c>
      <c r="AD39" s="1587" t="s">
        <v>491</v>
      </c>
      <c r="AE39" s="1587" t="s">
        <v>492</v>
      </c>
      <c r="AF39" s="1821" t="s">
        <v>444</v>
      </c>
      <c r="AG39" s="2541" t="s">
        <v>445</v>
      </c>
      <c r="AH39" s="2542"/>
      <c r="AI39" s="2551"/>
      <c r="AJ39" s="2554"/>
      <c r="AK39" s="2392"/>
    </row>
    <row s="18977" customFormat="1" customHeight="1" ht="0">
      <c r="A40" s="1736"/>
      <c r="B40" s="1736"/>
      <c r="C40" s="1736"/>
      <c r="D40" s="1736"/>
      <c r="E40" s="1736"/>
      <c r="F40" s="1736"/>
      <c r="G40" s="1736"/>
      <c r="H40" s="1736"/>
      <c r="I40" s="1736"/>
      <c r="J40" s="1736"/>
      <c r="K40" s="1736"/>
      <c r="L40" s="1730"/>
      <c r="M40" s="1728"/>
      <c r="N40" s="1728"/>
      <c r="O40" s="1728"/>
      <c r="P40" s="1611"/>
      <c r="Q40" s="1612"/>
      <c r="R40" s="1619">
        <v>1</v>
      </c>
      <c r="S40" s="1643" t="s">
        <v>106</v>
      </c>
      <c r="T40" s="1620" t="s">
        <v>107</v>
      </c>
      <c r="U40" s="1610" t="str">
        <f>OFFSET(U40,0,-1)</f>
        <v>2</v>
      </c>
      <c r="V40" s="1817">
        <f>OFFSET(V40,0,-1)+1</f>
        <v>3</v>
      </c>
      <c r="W40" s="1817">
        <f>OFFSET(W40,0,-1)+1</f>
        <v>4</v>
      </c>
      <c r="X40" s="1817">
        <f>OFFSET(X40,0,-1)+1</f>
        <v>5</v>
      </c>
      <c r="Y40" s="1817">
        <f>OFFSET(Y40,0,-1)+1</f>
        <v>6</v>
      </c>
      <c r="Z40" s="2543">
        <f>OFFSET(Z40,0,-1)+1</f>
        <v>7</v>
      </c>
      <c r="AA40" s="2543"/>
      <c r="AB40" s="1817">
        <f>OFFSET(AB40,0,-2)+1</f>
        <v>8</v>
      </c>
      <c r="AC40" s="1817">
        <f>OFFSET(AC40,0,-1)+1</f>
        <v>9</v>
      </c>
      <c r="AD40" s="1817">
        <f>OFFSET(AD40,0,-1)+1</f>
        <v>10</v>
      </c>
      <c r="AE40" s="1817">
        <f>OFFSET(AE40,0,-1)+1</f>
        <v>11</v>
      </c>
      <c r="AF40" s="1817">
        <f>OFFSET(AF40,0,-1)+1</f>
        <v>12</v>
      </c>
      <c r="AG40" s="2543">
        <f>OFFSET(AG40,0,-1)+1</f>
        <v>13</v>
      </c>
      <c r="AH40" s="2543"/>
      <c r="AI40" s="1817">
        <f>OFFSET(AI40,0,-2)+1</f>
        <v>14</v>
      </c>
      <c r="AJ40" s="1610">
        <f>OFFSET(AJ40,0,-1)</f>
        <v>14</v>
      </c>
      <c r="AK40" s="1817">
        <f>OFFSET(AK40,0,-1)+1</f>
        <v>15</v>
      </c>
      <c r="AL40" s="872"/>
      <c r="AM40" s="872"/>
      <c r="AN40" s="872"/>
      <c r="AO40" s="872"/>
      <c r="AP40" s="872"/>
    </row>
    <row customHeight="1" ht="23.25">
      <c r="A41" s="1729" t="s">
        <v>236</v>
      </c>
      <c r="B41" s="1729"/>
      <c r="C41" s="1729"/>
      <c r="D41" s="1729"/>
      <c r="E41" s="2527">
        <v>1</v>
      </c>
      <c r="F41" s="1729"/>
      <c r="G41" s="1729"/>
      <c r="H41" s="1729"/>
      <c r="I41" s="1729"/>
      <c r="J41" s="1729"/>
      <c r="K41" s="1729"/>
      <c r="L41" s="1730"/>
      <c r="M41" s="1731"/>
      <c r="N41" s="1731"/>
      <c r="O41" s="1731"/>
      <c r="P41" s="722"/>
      <c r="Q41" s="721"/>
      <c r="R41" s="716"/>
      <c r="S41" s="1823">
        <f>INDEX(PT_DIFFERENTIATION_NUM_NTAR,MATCH(A41,PT_DIFFERENTIATION_NTAR_ID,0))</f>
        <v>0</v>
      </c>
      <c r="T41" s="659" t="s">
        <v>120</v>
      </c>
      <c r="U41" s="661"/>
      <c r="V41" s="2521"/>
      <c r="W41" s="2522"/>
      <c r="X41" s="2522"/>
      <c r="Y41" s="2522"/>
      <c r="Z41" s="2522"/>
      <c r="AA41" s="2522"/>
      <c r="AB41" s="2523"/>
      <c r="AC41" s="2521" t="str">
        <f>INDEX(PT_DIFFERENTIATION_NTAR,MATCH(A41,PT_DIFFERENTIATION_NTAR_ID,0))</f>
        <v/>
      </c>
      <c r="AD41" s="2522"/>
      <c r="AE41" s="2522"/>
      <c r="AF41" s="2522"/>
      <c r="AG41" s="2522"/>
      <c r="AH41" s="2522"/>
      <c r="AI41" s="2522"/>
      <c r="AJ41" s="2523"/>
      <c r="AK41" s="16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861"/>
      <c r="AN41" s="861" t="str">
        <f>IF(T41="","",T41)</f>
        <v>Наименование тарифа</v>
      </c>
      <c r="AO41" s="861"/>
      <c r="AP41" s="861"/>
    </row>
    <row customHeight="1" ht="23.25">
      <c r="A42" s="1729" t="s">
        <v>236</v>
      </c>
      <c r="B42" s="1729" t="s">
        <v>237</v>
      </c>
      <c r="C42" s="1729"/>
      <c r="D42" s="1729"/>
      <c r="E42" s="2528"/>
      <c r="F42" s="2527">
        <v>1</v>
      </c>
      <c r="G42" s="1729"/>
      <c r="H42" s="1729"/>
      <c r="I42" s="1729"/>
      <c r="J42" s="1729"/>
      <c r="K42" s="1729"/>
      <c r="L42" s="1730"/>
      <c r="M42" s="1731"/>
      <c r="N42" s="1731"/>
      <c r="O42" s="1731"/>
      <c r="P42" s="1819"/>
      <c r="Q42" s="713"/>
      <c r="R42" s="714"/>
      <c r="S42" s="1823" t="str">
        <f>INDEX(PT_DIFFERENTIATION_NUM_TER,MATCH(B42,PT_DIFFERENTIATION_TER_ID,0))</f>
        <v>.</v>
      </c>
      <c r="T42" s="669" t="s">
        <v>397</v>
      </c>
      <c r="U42" s="661"/>
      <c r="V42" s="2521"/>
      <c r="W42" s="2522"/>
      <c r="X42" s="2522"/>
      <c r="Y42" s="2522"/>
      <c r="Z42" s="2522"/>
      <c r="AA42" s="2522"/>
      <c r="AB42" s="2523"/>
      <c r="AC42" s="2521" t="str">
        <f>INDEX(PT_DIFFERENTIATION_TER,MATCH(B42,PT_DIFFERENTIATION_TER_ID,0))</f>
        <v/>
      </c>
      <c r="AD42" s="2522"/>
      <c r="AE42" s="2522"/>
      <c r="AF42" s="2522"/>
      <c r="AG42" s="2522"/>
      <c r="AH42" s="2522"/>
      <c r="AI42" s="2522"/>
      <c r="AJ42" s="2523"/>
      <c r="AK42" s="1623" t="s">
        <v>398</v>
      </c>
      <c r="AM42" s="861"/>
      <c r="AN42" s="861" t="str">
        <f>IF(T42="","",T42)</f>
        <v>Территория действия тарифа</v>
      </c>
      <c r="AO42" s="861"/>
      <c r="AP42" s="861"/>
    </row>
    <row customHeight="1" ht="23.25">
      <c r="A43" s="1729" t="s">
        <v>236</v>
      </c>
      <c r="B43" s="1729" t="s">
        <v>237</v>
      </c>
      <c r="C43" s="1729" t="s">
        <v>238</v>
      </c>
      <c r="D43" s="1729"/>
      <c r="E43" s="2528"/>
      <c r="F43" s="2528"/>
      <c r="G43" s="2527">
        <v>1</v>
      </c>
      <c r="H43" s="1729"/>
      <c r="I43" s="1729"/>
      <c r="J43" s="1729"/>
      <c r="K43" s="1729"/>
      <c r="L43" s="1730"/>
      <c r="M43" s="1731"/>
      <c r="N43" s="1731"/>
      <c r="O43" s="1731"/>
      <c r="P43" s="715"/>
      <c r="Q43" s="713"/>
      <c r="R43" s="714"/>
      <c r="S43" s="1823" t="str">
        <f>INDEX(PT_DIFFERENTIATION_NUM_CS,MATCH(C43,PT_DIFFERENTIATION_CS_ID,0))</f>
        <v>..</v>
      </c>
      <c r="T43" s="670" t="s">
        <v>479</v>
      </c>
      <c r="U43" s="661"/>
      <c r="V43" s="2521"/>
      <c r="W43" s="2522"/>
      <c r="X43" s="2522"/>
      <c r="Y43" s="2522"/>
      <c r="Z43" s="2522"/>
      <c r="AA43" s="2522"/>
      <c r="AB43" s="2523"/>
      <c r="AC43" s="2521" t="str">
        <f>INDEX(PT_DIFFERENTIATION_CS,MATCH(C43,PT_DIFFERENTIATION_CS_ID,0))</f>
        <v/>
      </c>
      <c r="AD43" s="2522"/>
      <c r="AE43" s="2522"/>
      <c r="AF43" s="2522"/>
      <c r="AG43" s="2522"/>
      <c r="AH43" s="2522"/>
      <c r="AI43" s="2522"/>
      <c r="AJ43" s="2523"/>
      <c r="AK43" s="1623" t="s">
        <v>480</v>
      </c>
      <c r="AM43" s="861"/>
      <c r="AN43" s="861" t="str">
        <f>IF(T43="","",T43)</f>
        <v>Наименование централизованной системы холодного водоснабжения</v>
      </c>
      <c r="AO43" s="861"/>
      <c r="AP43" s="861"/>
    </row>
    <row customHeight="1" ht="23.25">
      <c r="A44" s="1729" t="s">
        <v>236</v>
      </c>
      <c r="B44" s="1729" t="s">
        <v>237</v>
      </c>
      <c r="C44" s="1729" t="s">
        <v>238</v>
      </c>
      <c r="D44" s="1729" t="s">
        <v>496</v>
      </c>
      <c r="E44" s="2528"/>
      <c r="F44" s="2528"/>
      <c r="G44" s="2528"/>
      <c r="H44" s="2528"/>
      <c r="I44" s="2529" t="str">
        <f>S43&amp;".1"</f>
        <v>...1</v>
      </c>
      <c r="J44" s="1729"/>
      <c r="K44" s="1729"/>
      <c r="L44" s="1730"/>
      <c r="P44" s="2531">
        <v>1</v>
      </c>
      <c r="Q44" s="1816"/>
      <c r="R44" s="717"/>
      <c r="S44" s="1823" t="str">
        <f>$I44</f>
        <v>...1</v>
      </c>
      <c r="T44" s="646" t="s">
        <v>481</v>
      </c>
      <c r="U44" s="661"/>
      <c r="V44" s="2614"/>
      <c r="W44" s="2615"/>
      <c r="X44" s="2615"/>
      <c r="Y44" s="2615"/>
      <c r="Z44" s="2615"/>
      <c r="AA44" s="2615"/>
      <c r="AB44" s="2616"/>
      <c r="AC44" s="2617"/>
      <c r="AD44" s="2618"/>
      <c r="AE44" s="2618"/>
      <c r="AF44" s="2618"/>
      <c r="AG44" s="2618"/>
      <c r="AH44" s="2618"/>
      <c r="AI44" s="2618"/>
      <c r="AJ44" s="2619"/>
      <c r="AK44" s="1623" t="s">
        <v>482</v>
      </c>
      <c r="AM44" s="861"/>
      <c r="AN44" s="861" t="str">
        <f>IF(T44="","",T44)</f>
        <v>Наименование признака дифференциации</v>
      </c>
      <c r="AO44" s="861"/>
      <c r="AP44" s="861"/>
    </row>
    <row customHeight="1" ht="23.25">
      <c r="A45" s="1729" t="s">
        <v>236</v>
      </c>
      <c r="B45" s="1729" t="s">
        <v>237</v>
      </c>
      <c r="C45" s="1729" t="s">
        <v>238</v>
      </c>
      <c r="D45" s="1729" t="s">
        <v>496</v>
      </c>
      <c r="E45" s="2528"/>
      <c r="F45" s="2528"/>
      <c r="G45" s="2528"/>
      <c r="H45" s="2528"/>
      <c r="I45" s="2530"/>
      <c r="J45" s="2529" t="str">
        <f>I44&amp;".1"</f>
        <v>...1.1</v>
      </c>
      <c r="K45" s="1729"/>
      <c r="L45" s="1730" t="s">
        <v>406</v>
      </c>
      <c r="P45" s="2531"/>
      <c r="Q45" s="2531">
        <v>1</v>
      </c>
      <c r="R45" s="718"/>
      <c r="S45" s="1823" t="str">
        <f>$J45</f>
        <v>...1.1</v>
      </c>
      <c r="T45" s="647" t="s">
        <v>407</v>
      </c>
      <c r="U45" s="661"/>
      <c r="V45" s="2515"/>
      <c r="W45" s="2516"/>
      <c r="X45" s="2516"/>
      <c r="Y45" s="2516"/>
      <c r="Z45" s="2516"/>
      <c r="AA45" s="2516"/>
      <c r="AB45" s="2517"/>
      <c r="AC45" s="2515"/>
      <c r="AD45" s="2516"/>
      <c r="AE45" s="2516"/>
      <c r="AF45" s="2516"/>
      <c r="AG45" s="2516"/>
      <c r="AH45" s="2516"/>
      <c r="AI45" s="2516"/>
      <c r="AJ45" s="2517"/>
      <c r="AK45" s="1673" t="s">
        <v>483</v>
      </c>
      <c r="AM45" s="861"/>
      <c r="AN45" s="861" t="str">
        <f>IF(T45="","",T45)</f>
        <v>Группа потребителей</v>
      </c>
      <c r="AO45" s="861"/>
      <c r="AP45" s="861"/>
    </row>
    <row customHeight="1" ht="23.25">
      <c r="A46" s="1729" t="s">
        <v>236</v>
      </c>
      <c r="B46" s="1729" t="s">
        <v>237</v>
      </c>
      <c r="C46" s="1729" t="s">
        <v>238</v>
      </c>
      <c r="D46" s="1729" t="s">
        <v>496</v>
      </c>
      <c r="E46" s="2528"/>
      <c r="F46" s="2528"/>
      <c r="G46" s="2528"/>
      <c r="H46" s="2528"/>
      <c r="I46" s="2530"/>
      <c r="J46" s="2530"/>
      <c r="K46" s="2529" t="str">
        <f>J45&amp;".1"</f>
        <v>...1.1.1</v>
      </c>
      <c r="L46" s="1730"/>
      <c r="P46" s="2531"/>
      <c r="Q46" s="2531"/>
      <c r="R46" s="718">
        <v>1</v>
      </c>
      <c r="S46" s="1823" t="str">
        <f>$K46</f>
        <v>...1.1.1</v>
      </c>
      <c r="T46" s="1803"/>
      <c r="U46" s="661"/>
      <c r="V46" s="1112"/>
      <c r="W46" s="1112"/>
      <c r="X46" s="1622"/>
      <c r="Y46" s="2532"/>
      <c r="Z46" s="2402" t="s">
        <v>59</v>
      </c>
      <c r="AA46" s="2532"/>
      <c r="AB46" s="2402" t="s">
        <v>59</v>
      </c>
      <c r="AC46" s="1112"/>
      <c r="AD46" s="1112"/>
      <c r="AE46" s="1622"/>
      <c r="AF46" s="2532"/>
      <c r="AG46" s="2402" t="s">
        <v>59</v>
      </c>
      <c r="AH46" s="2534"/>
      <c r="AI46" s="2402" t="s">
        <v>59</v>
      </c>
      <c r="AJ46" s="1804"/>
      <c r="AK46" s="26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872">
        <f>STRCHECKDATE(V47:AJ47)</f>
      </c>
      <c r="AM46" s="861"/>
      <c r="AN46" s="861" t="str">
        <f>IF(T46="","",T46)</f>
        <v/>
      </c>
      <c r="AO46" s="861"/>
      <c r="AP46" s="861"/>
    </row>
    <row customHeight="1" ht="0">
      <c r="A47" s="1729" t="s">
        <v>236</v>
      </c>
      <c r="B47" s="1729" t="s">
        <v>237</v>
      </c>
      <c r="C47" s="1729" t="s">
        <v>238</v>
      </c>
      <c r="D47" s="1729" t="s">
        <v>496</v>
      </c>
      <c r="E47" s="2528"/>
      <c r="F47" s="2528"/>
      <c r="G47" s="2528"/>
      <c r="H47" s="2528"/>
      <c r="I47" s="2530"/>
      <c r="J47" s="2530"/>
      <c r="K47" s="2529"/>
      <c r="L47" s="1730"/>
      <c r="P47" s="2531"/>
      <c r="Q47" s="2531"/>
      <c r="R47" s="718"/>
      <c r="S47" s="1822"/>
      <c r="T47" s="661"/>
      <c r="U47" s="661"/>
      <c r="V47" s="686"/>
      <c r="W47" s="686"/>
      <c r="X47" s="689" t="str">
        <f>Y46&amp;"-"&amp;AA46</f>
        <v>-</v>
      </c>
      <c r="Y47" s="2533"/>
      <c r="Z47" s="2402"/>
      <c r="AA47" s="2533"/>
      <c r="AB47" s="2402"/>
      <c r="AC47" s="686"/>
      <c r="AD47" s="686"/>
      <c r="AE47" s="689" t="str">
        <f>AF46&amp;"-"&amp;AH46</f>
        <v>-</v>
      </c>
      <c r="AF47" s="2533"/>
      <c r="AG47" s="2402"/>
      <c r="AH47" s="2535"/>
      <c r="AI47" s="2402"/>
      <c r="AJ47" s="1805"/>
      <c r="AK47" s="2620"/>
      <c r="AM47" s="861"/>
      <c r="AN47" s="861" t="str">
        <f>IF(T47="","",T47)</f>
        <v/>
      </c>
      <c r="AO47" s="861"/>
      <c r="AP47" s="861"/>
    </row>
    <row customHeight="1" ht="21">
      <c r="A48" s="1729" t="s">
        <v>236</v>
      </c>
      <c r="B48" s="1729" t="s">
        <v>237</v>
      </c>
      <c r="C48" s="1729" t="s">
        <v>238</v>
      </c>
      <c r="D48" s="1729" t="s">
        <v>496</v>
      </c>
      <c r="E48" s="2528"/>
      <c r="F48" s="2528"/>
      <c r="G48" s="2528"/>
      <c r="H48" s="2528"/>
      <c r="I48" s="2530"/>
      <c r="J48" s="2529"/>
      <c r="K48" s="1729"/>
      <c r="L48" s="1730"/>
      <c r="P48" s="2531"/>
      <c r="Q48" s="2531"/>
      <c r="R48" s="717"/>
      <c r="S48" s="1644"/>
      <c r="T48" s="648" t="s">
        <v>484</v>
      </c>
      <c r="U48" s="728"/>
      <c r="V48" s="728"/>
      <c r="W48" s="728"/>
      <c r="X48" s="728"/>
      <c r="Y48" s="728"/>
      <c r="Z48" s="728"/>
      <c r="AA48" s="728"/>
      <c r="AB48" s="728"/>
      <c r="AC48" s="728"/>
      <c r="AD48" s="728"/>
      <c r="AE48" s="728"/>
      <c r="AF48" s="728"/>
      <c r="AG48" s="728"/>
      <c r="AH48" s="728"/>
      <c r="AI48" s="728"/>
      <c r="AJ48" s="728"/>
      <c r="AK48" s="1623" t="s">
        <v>485</v>
      </c>
      <c r="AM48" s="861"/>
      <c r="AN48" s="861" t="str">
        <f>IF(T48="","",T48)</f>
        <v>Добавить значение признака дифференциации</v>
      </c>
      <c r="AO48" s="861"/>
      <c r="AP48" s="861"/>
    </row>
    <row customHeight="1" ht="21">
      <c r="A49" s="1729" t="s">
        <v>236</v>
      </c>
      <c r="B49" s="1729" t="s">
        <v>237</v>
      </c>
      <c r="C49" s="1729" t="s">
        <v>238</v>
      </c>
      <c r="D49" s="1729" t="s">
        <v>496</v>
      </c>
      <c r="E49" s="2528"/>
      <c r="F49" s="2528"/>
      <c r="G49" s="2528"/>
      <c r="H49" s="2528"/>
      <c r="I49" s="2529"/>
      <c r="J49" s="1729"/>
      <c r="K49" s="1729"/>
      <c r="L49" s="1730"/>
      <c r="P49" s="2531"/>
      <c r="Q49" s="1816"/>
      <c r="R49" s="717"/>
      <c r="S49" s="1644"/>
      <c r="T49" s="726" t="s">
        <v>412</v>
      </c>
      <c r="U49" s="728"/>
      <c r="V49" s="728"/>
      <c r="W49" s="728"/>
      <c r="X49" s="728"/>
      <c r="Y49" s="728"/>
      <c r="Z49" s="728"/>
      <c r="AA49" s="728"/>
      <c r="AB49" s="727"/>
      <c r="AC49" s="728"/>
      <c r="AD49" s="728"/>
      <c r="AE49" s="728"/>
      <c r="AF49" s="728"/>
      <c r="AG49" s="728"/>
      <c r="AH49" s="728"/>
      <c r="AI49" s="727"/>
      <c r="AJ49" s="728"/>
      <c r="AK49" s="1806"/>
      <c r="AM49" s="861"/>
      <c r="AN49" s="861" t="str">
        <f>IF(T49="","",T49)</f>
        <v>Добавить группу потребителей</v>
      </c>
      <c r="AO49" s="861"/>
      <c r="AP49" s="861"/>
    </row>
    <row customHeight="1" ht="21">
      <c r="A50" s="1729" t="s">
        <v>236</v>
      </c>
      <c r="B50" s="1729" t="s">
        <v>237</v>
      </c>
      <c r="C50" s="1729" t="s">
        <v>238</v>
      </c>
      <c r="D50" s="1729" t="s">
        <v>496</v>
      </c>
      <c r="E50" s="2528"/>
      <c r="F50" s="2528"/>
      <c r="G50" s="2528"/>
      <c r="H50" s="2527"/>
      <c r="I50" s="1729"/>
      <c r="J50" s="1729"/>
      <c r="K50" s="1729"/>
      <c r="L50" s="1730"/>
      <c r="M50" s="1731"/>
      <c r="N50" s="1731"/>
      <c r="O50" s="898"/>
      <c r="P50" s="721"/>
      <c r="Q50" s="736"/>
      <c r="R50" s="716"/>
      <c r="S50" s="1644"/>
      <c r="T50" s="733" t="s">
        <v>486</v>
      </c>
      <c r="U50" s="728"/>
      <c r="V50" s="728"/>
      <c r="W50" s="728"/>
      <c r="X50" s="728"/>
      <c r="Y50" s="728"/>
      <c r="Z50" s="728"/>
      <c r="AA50" s="728"/>
      <c r="AB50" s="727"/>
      <c r="AC50" s="728"/>
      <c r="AD50" s="728"/>
      <c r="AE50" s="728"/>
      <c r="AF50" s="728"/>
      <c r="AG50" s="728"/>
      <c r="AH50" s="728"/>
      <c r="AI50" s="727"/>
      <c r="AJ50" s="728"/>
      <c r="AK50" s="664"/>
      <c r="AM50" s="861"/>
      <c r="AN50" s="861" t="str">
        <f>IF(T50="","",T50)</f>
        <v>Добавить наименование признака дифференциации</v>
      </c>
      <c r="AO50" s="861"/>
      <c r="AP50" s="861"/>
    </row>
    <row s="19127" customFormat="1" customHeight="1" ht="0">
      <c r="A51" s="1709" t="s">
        <v>236</v>
      </c>
      <c r="B51" s="1709" t="s">
        <v>237</v>
      </c>
      <c r="C51" s="1680"/>
      <c r="D51" s="1680"/>
      <c r="E51" s="2528"/>
      <c r="F51" s="2527"/>
      <c r="G51" s="1680"/>
      <c r="H51" s="1680"/>
      <c r="I51" s="1680"/>
      <c r="J51" s="1680"/>
      <c r="K51" s="1680"/>
      <c r="L51" s="1824"/>
      <c r="M51" s="1687"/>
      <c r="N51" s="1687"/>
      <c r="P51" s="1682"/>
      <c r="Q51" s="1683"/>
      <c r="R51" s="1682"/>
      <c r="S51" s="1688"/>
      <c r="T51" s="1691" t="s">
        <v>251</v>
      </c>
      <c r="U51" s="1690"/>
      <c r="V51" s="1690"/>
      <c r="W51" s="1690"/>
      <c r="X51" s="1690"/>
      <c r="Y51" s="1690"/>
      <c r="Z51" s="1690"/>
      <c r="AA51" s="1690"/>
      <c r="AB51" s="1690"/>
      <c r="AC51" s="1690"/>
      <c r="AD51" s="1690"/>
      <c r="AE51" s="1690"/>
      <c r="AF51" s="1690"/>
      <c r="AG51" s="1690"/>
      <c r="AH51" s="1690"/>
      <c r="AI51" s="1690"/>
      <c r="AJ51" s="1690"/>
      <c r="AK51" s="1690"/>
      <c r="AM51" s="1150"/>
      <c r="AN51" s="1150" t="str">
        <f>IF(T51="","",T51)</f>
        <v>Добавить централизованную систему для дифференциации</v>
      </c>
      <c r="AO51" s="1150"/>
      <c r="AP51" s="1150"/>
    </row>
    <row s="19219" customFormat="1" customHeight="1" ht="0">
      <c r="A52" s="1709" t="s">
        <v>236</v>
      </c>
      <c r="B52" s="1709"/>
      <c r="C52" s="1709"/>
      <c r="D52" s="1709"/>
      <c r="E52" s="2527"/>
      <c r="F52" s="1709"/>
      <c r="G52" s="1709"/>
      <c r="H52" s="1709"/>
      <c r="I52" s="1709"/>
      <c r="J52" s="1709"/>
      <c r="K52" s="1709"/>
      <c r="L52" s="1712"/>
      <c r="M52" s="1687"/>
      <c r="N52" s="1687"/>
      <c r="O52" s="879"/>
      <c r="P52" s="741"/>
      <c r="Q52" s="1710"/>
      <c r="R52" s="741"/>
      <c r="S52" s="1688"/>
      <c r="T52" s="1691" t="s">
        <v>252</v>
      </c>
      <c r="U52" s="1690"/>
      <c r="V52" s="1690"/>
      <c r="W52" s="1690"/>
      <c r="X52" s="1690"/>
      <c r="Y52" s="1690"/>
      <c r="Z52" s="1690"/>
      <c r="AA52" s="1690"/>
      <c r="AB52" s="1690"/>
      <c r="AC52" s="1690"/>
      <c r="AD52" s="1690"/>
      <c r="AE52" s="1690"/>
      <c r="AF52" s="1690"/>
      <c r="AG52" s="1690"/>
      <c r="AH52" s="1690"/>
      <c r="AI52" s="1690"/>
      <c r="AJ52" s="1690"/>
      <c r="AK52" s="1690"/>
      <c r="AM52" s="861"/>
      <c r="AN52" s="861" t="str">
        <f>IF(T52="","",T52)</f>
        <v>Добавить территорию для дифференциации</v>
      </c>
      <c r="AO52" s="861"/>
      <c r="AP52" s="861"/>
    </row>
    <row s="19127" customFormat="1" customHeight="1" ht="0">
      <c r="A53" s="1680"/>
      <c r="B53" s="1680"/>
      <c r="C53" s="1680"/>
      <c r="D53" s="1680"/>
      <c r="E53" s="1709"/>
      <c r="F53" s="1680"/>
      <c r="G53" s="1680"/>
      <c r="H53" s="1680"/>
      <c r="I53" s="1680"/>
      <c r="J53" s="1680"/>
      <c r="K53" s="1680"/>
      <c r="L53" s="1824"/>
      <c r="M53" s="1687"/>
      <c r="N53" s="1687"/>
      <c r="P53" s="1682"/>
      <c r="Q53" s="1683"/>
      <c r="R53" s="1682"/>
      <c r="S53" s="1688"/>
      <c r="T53" s="1691" t="s">
        <v>253</v>
      </c>
      <c r="U53" s="1690"/>
      <c r="V53" s="1690"/>
      <c r="W53" s="1690"/>
      <c r="X53" s="1690"/>
      <c r="Y53" s="1690"/>
      <c r="Z53" s="1690"/>
      <c r="AA53" s="1690"/>
      <c r="AB53" s="1690"/>
      <c r="AC53" s="1690"/>
      <c r="AD53" s="1690"/>
      <c r="AE53" s="1690"/>
      <c r="AF53" s="1690"/>
      <c r="AG53" s="1690"/>
      <c r="AH53" s="1690"/>
      <c r="AI53" s="1690"/>
      <c r="AJ53" s="1690"/>
      <c r="AK53" s="1690"/>
      <c r="AM53" s="1150"/>
      <c r="AN53" s="1150" t="str">
        <f>IF(T53="","",T53)</f>
        <v>Добавить наименование тарифа</v>
      </c>
      <c r="AO53" s="1150"/>
      <c r="AP53" s="1150"/>
    </row>
    <row customHeight="1" ht="11.25">
      <c r="M54" s="1523"/>
      <c r="N54" s="1523"/>
      <c r="O54" s="898"/>
      <c r="P54" s="1518"/>
      <c r="Q54" s="1518"/>
      <c r="R54" s="1518"/>
      <c r="S54" s="1518"/>
      <c r="AL54" s="1518"/>
      <c r="AM54" s="1518"/>
      <c r="AN54" s="1518"/>
      <c r="AO54" s="1518"/>
      <c r="AP54" s="1518"/>
    </row>
    <row customHeight="1" ht="14.25">
      <c r="O55" s="898"/>
      <c r="S55" s="1618"/>
      <c r="T55" s="2526"/>
      <c r="U55" s="2526"/>
      <c r="V55" s="2526"/>
      <c r="W55" s="2526"/>
      <c r="X55" s="2526"/>
      <c r="Y55" s="2526"/>
      <c r="Z55" s="2526"/>
      <c r="AA55" s="2526"/>
      <c r="AB55" s="2526"/>
      <c r="AC55" s="2526"/>
      <c r="AD55" s="2526"/>
      <c r="AE55" s="2526"/>
      <c r="AF55" s="2526"/>
      <c r="AG55" s="2526"/>
      <c r="AH55" s="2526"/>
      <c r="AI55" s="2526"/>
      <c r="AJ55" s="2526"/>
      <c r="AK55" s="2526"/>
    </row>
    <row customHeight="1" ht="14.25">
      <c r="O56" s="898"/>
    </row>
    <row customHeight="1" ht="14.25">
      <c r="O57" s="898"/>
      <c r="S57" s="1618"/>
      <c r="T57" s="2526"/>
      <c r="U57" s="2526"/>
      <c r="V57" s="2526"/>
      <c r="W57" s="2526"/>
      <c r="X57" s="2526"/>
      <c r="Y57" s="2526"/>
      <c r="Z57" s="2526"/>
      <c r="AA57" s="2526"/>
      <c r="AB57" s="2526"/>
      <c r="AC57" s="2526"/>
      <c r="AD57" s="2526"/>
      <c r="AE57" s="2526"/>
      <c r="AF57" s="2526"/>
      <c r="AG57" s="2526"/>
      <c r="AH57" s="2526"/>
      <c r="AI57" s="2526"/>
      <c r="AJ57" s="2526"/>
      <c r="AK57" s="252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901DE1-D225-6909-A0D1-A16FD08F3F19}" mc:Ignorable="x14ac xr xr2 xr3">
  <sheetPr>
    <tabColor theme="6" tint="0.4"/>
  </sheetPr>
  <dimension ref="A1:AP66"/>
  <sheetViews>
    <sheetView topLeftCell="A1" showGridLines="0" zoomScale="90" workbookViewId="0">
      <selection activeCell="AK27" sqref="AK27"/>
    </sheetView>
  </sheetViews>
  <sheetFormatPr defaultColWidth="10.57421875" customHeight="1" defaultRowHeight="14.25"/>
  <cols>
    <col min="1" max="3" style="19274" width="10.140625" customWidth="1"/>
    <col min="4" max="4" style="19274" width="11.8515625" customWidth="1"/>
    <col min="5" max="11" style="19274" width="10.140625" customWidth="1"/>
    <col min="12" max="12" style="19275" width="10.140625" customWidth="1"/>
    <col min="13" max="15" style="19276" width="10.140625" customWidth="1"/>
    <col min="16" max="16" style="19228" width="3.7109375" customWidth="1"/>
    <col min="17" max="17" style="19401" width="3.7109375" customWidth="1"/>
    <col min="18" max="18" style="19230" width="3.7109375" customWidth="1"/>
    <col min="19" max="19" style="19231" width="12.7109375" customWidth="1"/>
    <col min="20" max="20" style="19274" width="32.00390625" customWidth="1"/>
    <col min="21" max="21" style="19274" width="0.140625" customWidth="1"/>
    <col min="22" max="23" style="19274" width="21.7109375" customWidth="1"/>
    <col min="24" max="24" style="19274" width="11.7109375" customWidth="1"/>
    <col min="25" max="25" style="19274" width="3.7109375" customWidth="1"/>
    <col min="26" max="26" style="19274" width="11.7109375" customWidth="1"/>
    <col min="27" max="27" style="19274" width="8.57421875" customWidth="1"/>
    <col min="28" max="28" style="19274" width="28.00390625" customWidth="1"/>
    <col min="29" max="29" style="19274" width="24.57421875" customWidth="1"/>
    <col min="30" max="31" style="19274" width="21.7109375" customWidth="1"/>
    <col min="32" max="32" style="19274" width="11.7109375" customWidth="1"/>
    <col min="33" max="33" style="19274" width="3.7109375" customWidth="1"/>
    <col min="34" max="34" style="19274" width="11.7109375" customWidth="1"/>
    <col min="35" max="35" style="19274" width="8.57421875" customWidth="1"/>
    <col min="36" max="36" style="19274" width="4.7109375" customWidth="1"/>
    <col min="37" max="37" style="19274" width="115.7109375" customWidth="1"/>
    <col min="38" max="39" style="19272" width="10.57421875"/>
    <col min="40" max="40" style="19272" width="11.140625" customWidth="1"/>
    <col min="41" max="42" style="19272" width="10.57421875"/>
  </cols>
  <sheetData>
    <row r="2" customHeight="1" ht="21">
      <c r="A2" s="1633"/>
      <c r="B2" s="1633"/>
      <c r="C2" s="1633"/>
      <c r="D2" s="1633"/>
      <c r="E2" s="2562">
        <v>1</v>
      </c>
      <c r="F2" s="1633"/>
      <c r="G2" s="1633"/>
      <c r="H2" s="1633"/>
      <c r="I2" s="1633"/>
      <c r="J2" s="1633"/>
      <c r="K2" s="1633"/>
      <c r="L2" s="1676"/>
      <c r="M2" s="1976"/>
      <c r="N2" s="1976"/>
      <c r="O2" s="1976"/>
      <c r="P2" s="1775"/>
      <c r="Q2" s="1234"/>
      <c r="R2" s="716"/>
      <c r="S2" s="2325">
        <f>INDEX(PT_DIFFERENTIATION_NUM_NTAR,MATCH(A2,PT_DIFFERENTIATION_NTAR_ID,0))</f>
      </c>
      <c r="T2" s="1891" t="s">
        <v>120</v>
      </c>
      <c r="U2" s="661"/>
      <c r="V2" s="2522"/>
      <c r="W2" s="2522"/>
      <c r="X2" s="2522"/>
      <c r="Y2" s="2522"/>
      <c r="Z2" s="2522"/>
      <c r="AA2" s="2523"/>
      <c r="AB2" s="2319"/>
      <c r="AC2" s="2522"/>
      <c r="AD2" s="2522"/>
      <c r="AE2" s="2522"/>
      <c r="AF2" s="2522"/>
      <c r="AG2" s="2522"/>
      <c r="AH2" s="2522"/>
      <c r="AI2" s="2522"/>
      <c r="AJ2" s="2523"/>
      <c r="AK2" s="1623" t="s">
        <v>396</v>
      </c>
      <c r="AM2" s="1990"/>
      <c r="AN2" s="1990" t="str">
        <f>IF(T2="","",T2)</f>
        <v>Наименование тарифа</v>
      </c>
      <c r="AO2" s="1990"/>
      <c r="AP2" s="1990"/>
    </row>
    <row customHeight="1" ht="21">
      <c r="A3" s="1633"/>
      <c r="B3" s="1633"/>
      <c r="C3" s="1633"/>
      <c r="D3" s="1633"/>
      <c r="E3" s="2563"/>
      <c r="F3" s="2562">
        <v>1</v>
      </c>
      <c r="G3" s="1633"/>
      <c r="H3" s="1633"/>
      <c r="I3" s="1633"/>
      <c r="J3" s="1633"/>
      <c r="K3" s="1633"/>
      <c r="L3" s="1676"/>
      <c r="M3" s="1976"/>
      <c r="N3" s="1976"/>
      <c r="O3" s="1976"/>
      <c r="P3" s="2336"/>
      <c r="Q3" s="1777"/>
      <c r="R3" s="714"/>
      <c r="S3" s="2325">
        <f>INDEX(PT_DIFFERENTIATION_NUM_TER,MATCH(B3,PT_DIFFERENTIATION_TER_ID,0))</f>
      </c>
      <c r="T3" s="1888" t="s">
        <v>397</v>
      </c>
      <c r="U3" s="661"/>
      <c r="V3" s="2522"/>
      <c r="W3" s="2522"/>
      <c r="X3" s="2522"/>
      <c r="Y3" s="2522"/>
      <c r="Z3" s="2522"/>
      <c r="AA3" s="2523"/>
      <c r="AB3" s="2319"/>
      <c r="AC3" s="2522"/>
      <c r="AD3" s="2522"/>
      <c r="AE3" s="2522"/>
      <c r="AF3" s="2522"/>
      <c r="AG3" s="2522"/>
      <c r="AH3" s="2522"/>
      <c r="AI3" s="2522"/>
      <c r="AJ3" s="2523"/>
      <c r="AK3" s="1623" t="s">
        <v>398</v>
      </c>
      <c r="AM3" s="1990"/>
      <c r="AN3" s="1990" t="str">
        <f>IF(T3="","",T3)</f>
        <v>Территория действия тарифа</v>
      </c>
      <c r="AO3" s="1990"/>
      <c r="AP3" s="1990"/>
    </row>
    <row customHeight="1" ht="22.5">
      <c r="A4" s="1633"/>
      <c r="B4" s="1633"/>
      <c r="C4" s="1633"/>
      <c r="D4" s="1633"/>
      <c r="E4" s="2563"/>
      <c r="F4" s="2563"/>
      <c r="G4" s="2562">
        <v>1</v>
      </c>
      <c r="H4" s="1633"/>
      <c r="I4" s="1633"/>
      <c r="J4" s="1633"/>
      <c r="K4" s="1633"/>
      <c r="L4" s="1676"/>
      <c r="M4" s="1976"/>
      <c r="N4" s="1976"/>
      <c r="O4" s="1976"/>
      <c r="P4" s="1778"/>
      <c r="Q4" s="1777"/>
      <c r="R4" s="714"/>
      <c r="S4" s="2325">
        <f>INDEX(PT_DIFFERENTIATION_NUM_CS,MATCH(C4,PT_DIFFERENTIATION_CS_ID,0))</f>
      </c>
      <c r="T4" s="670" t="s">
        <v>399</v>
      </c>
      <c r="U4" s="661"/>
      <c r="V4" s="2522"/>
      <c r="W4" s="2522"/>
      <c r="X4" s="2522"/>
      <c r="Y4" s="2522"/>
      <c r="Z4" s="2522"/>
      <c r="AA4" s="2523"/>
      <c r="AB4" s="2319"/>
      <c r="AC4" s="2522"/>
      <c r="AD4" s="2522"/>
      <c r="AE4" s="2522"/>
      <c r="AF4" s="2522"/>
      <c r="AG4" s="2522"/>
      <c r="AH4" s="2522"/>
      <c r="AI4" s="2522"/>
      <c r="AJ4" s="2523"/>
      <c r="AK4" s="1623" t="s">
        <v>400</v>
      </c>
      <c r="AM4" s="1990"/>
      <c r="AN4" s="1990" t="str">
        <f>IF(T4="","",T4)</f>
        <v>Наименование системы теплоснабжения </v>
      </c>
      <c r="AO4" s="1990"/>
      <c r="AP4" s="1990"/>
    </row>
    <row customHeight="1" ht="21">
      <c r="A5" s="1633"/>
      <c r="B5" s="1633"/>
      <c r="C5" s="1633"/>
      <c r="D5" s="1633"/>
      <c r="E5" s="2563"/>
      <c r="F5" s="2563"/>
      <c r="G5" s="2563"/>
      <c r="H5" s="2562">
        <v>1</v>
      </c>
      <c r="I5" s="1633"/>
      <c r="J5" s="1633"/>
      <c r="K5" s="1633"/>
      <c r="L5" s="1676"/>
      <c r="M5" s="1976"/>
      <c r="N5" s="1976"/>
      <c r="O5" s="1976"/>
      <c r="P5" s="1778"/>
      <c r="Q5" s="1777"/>
      <c r="R5" s="714"/>
      <c r="S5" s="2325">
        <f>INDEX(PT_DIFFERENTIATION_NUM_IST_TE,MATCH(D5,PT_DIFFERENTIATION_IST_TE_ID,0))</f>
      </c>
      <c r="T5" s="671" t="s">
        <v>401</v>
      </c>
      <c r="U5" s="661"/>
      <c r="V5" s="2522"/>
      <c r="W5" s="2522"/>
      <c r="X5" s="2522"/>
      <c r="Y5" s="2522"/>
      <c r="Z5" s="2522"/>
      <c r="AA5" s="2523"/>
      <c r="AB5" s="2319"/>
      <c r="AC5" s="2522"/>
      <c r="AD5" s="2522"/>
      <c r="AE5" s="2522"/>
      <c r="AF5" s="2522"/>
      <c r="AG5" s="2522"/>
      <c r="AH5" s="2522"/>
      <c r="AI5" s="2522"/>
      <c r="AJ5" s="2523"/>
      <c r="AK5" s="1623" t="s">
        <v>402</v>
      </c>
      <c r="AM5" s="1990"/>
      <c r="AN5" s="1990" t="str">
        <f>IF(T5="","",T5)</f>
        <v>Источник тепловой энергии  </v>
      </c>
      <c r="AO5" s="1990"/>
      <c r="AP5" s="1990"/>
    </row>
    <row s="19272" customFormat="1" customHeight="1" ht="0">
      <c r="A6" s="1741"/>
      <c r="B6" s="1741"/>
      <c r="C6" s="1741"/>
      <c r="D6" s="1741"/>
      <c r="E6" s="2563"/>
      <c r="F6" s="2563"/>
      <c r="G6" s="2563"/>
      <c r="H6" s="2563"/>
      <c r="I6" s="2392">
        <f>S5&amp;".1"</f>
      </c>
      <c r="J6" s="1741"/>
      <c r="K6" s="1741"/>
      <c r="L6" s="1747" t="s">
        <v>403</v>
      </c>
      <c r="M6" s="1611"/>
      <c r="N6" s="1611"/>
      <c r="O6" s="1611"/>
      <c r="P6" s="2531">
        <v>1</v>
      </c>
      <c r="Q6" s="2321"/>
      <c r="R6" s="717"/>
      <c r="S6" s="1404"/>
      <c r="T6" s="1749"/>
      <c r="U6" s="1750"/>
      <c r="V6" s="2570"/>
      <c r="W6" s="2570"/>
      <c r="X6" s="2570"/>
      <c r="Y6" s="2570"/>
      <c r="Z6" s="2570"/>
      <c r="AA6" s="2571"/>
      <c r="AB6" s="2327"/>
      <c r="AC6" s="2570"/>
      <c r="AD6" s="2570"/>
      <c r="AE6" s="2570"/>
      <c r="AF6" s="2570"/>
      <c r="AG6" s="2570"/>
      <c r="AH6" s="2570"/>
      <c r="AI6" s="2570"/>
      <c r="AJ6" s="2571"/>
      <c r="AK6" s="1751"/>
      <c r="AM6" s="1990"/>
      <c r="AN6" s="1990" t="str">
        <f>IF(T6="","",T6)</f>
        <v/>
      </c>
      <c r="AO6" s="1990"/>
      <c r="AP6" s="1990"/>
    </row>
    <row s="19272" customFormat="1" customHeight="1" ht="0">
      <c r="A7" s="1741"/>
      <c r="B7" s="1741"/>
      <c r="C7" s="1741"/>
      <c r="D7" s="1741"/>
      <c r="E7" s="2563"/>
      <c r="F7" s="2563"/>
      <c r="G7" s="2563"/>
      <c r="H7" s="2563"/>
      <c r="I7" s="2376"/>
      <c r="J7" s="2392">
        <f>S5&amp;".1"</f>
      </c>
      <c r="K7" s="1741"/>
      <c r="L7" s="1747"/>
      <c r="M7" s="1611"/>
      <c r="N7" s="1611"/>
      <c r="O7" s="1611"/>
      <c r="P7" s="2531"/>
      <c r="Q7" s="2531">
        <v>1</v>
      </c>
      <c r="R7" s="718"/>
      <c r="S7" s="1404"/>
      <c r="T7" s="1765"/>
      <c r="U7" s="1750"/>
      <c r="V7" s="2570"/>
      <c r="W7" s="2570"/>
      <c r="X7" s="2570"/>
      <c r="Y7" s="2570"/>
      <c r="Z7" s="2570"/>
      <c r="AA7" s="2571"/>
      <c r="AB7" s="2327"/>
      <c r="AC7" s="2570"/>
      <c r="AD7" s="2570"/>
      <c r="AE7" s="2570"/>
      <c r="AF7" s="2570"/>
      <c r="AG7" s="2570"/>
      <c r="AH7" s="2570"/>
      <c r="AI7" s="2570"/>
      <c r="AJ7" s="2571"/>
      <c r="AK7" s="1751"/>
      <c r="AM7" s="1990"/>
      <c r="AN7" s="1990" t="str">
        <f>IF(T7="","",T7)</f>
        <v/>
      </c>
      <c r="AO7" s="1990"/>
      <c r="AP7" s="1990"/>
    </row>
    <row customHeight="1" ht="21">
      <c r="A8" s="1633"/>
      <c r="B8" s="1633"/>
      <c r="C8" s="1633"/>
      <c r="D8" s="1633"/>
      <c r="E8" s="2563"/>
      <c r="F8" s="2563"/>
      <c r="G8" s="2563"/>
      <c r="H8" s="2563"/>
      <c r="I8" s="2376"/>
      <c r="J8" s="2376"/>
      <c r="K8" s="2392">
        <f>S5&amp;".1"</f>
      </c>
      <c r="L8" s="1676"/>
      <c r="P8" s="2531"/>
      <c r="Q8" s="2531"/>
      <c r="R8" s="2607">
        <v>1</v>
      </c>
      <c r="S8" s="2604">
        <f>$K8</f>
      </c>
      <c r="T8" s="2601"/>
      <c r="U8" s="661"/>
      <c r="V8" s="1112"/>
      <c r="W8" s="1622"/>
      <c r="X8" s="2532"/>
      <c r="Y8" s="2402" t="s">
        <v>59</v>
      </c>
      <c r="Z8" s="2532"/>
      <c r="AA8" s="2402" t="s">
        <v>59</v>
      </c>
      <c r="AB8" s="2309"/>
      <c r="AC8" s="2613"/>
      <c r="AD8" s="1112"/>
      <c r="AE8" s="1622"/>
      <c r="AF8" s="2322"/>
      <c r="AG8" s="2309" t="s">
        <v>59</v>
      </c>
      <c r="AH8" s="2322"/>
      <c r="AI8" s="2309" t="s">
        <v>59</v>
      </c>
      <c r="AJ8" s="1714"/>
      <c r="AK8" s="2557" t="s">
        <v>461</v>
      </c>
      <c r="AL8" s="2002">
        <f>STRCHECKDATE(V11:AJ11)</f>
      </c>
      <c r="AM8" s="1990"/>
      <c r="AN8" s="1990" t="str">
        <f>IF(T8="","",T8)</f>
        <v/>
      </c>
      <c r="AO8" s="1990"/>
      <c r="AP8" s="1990"/>
    </row>
    <row customHeight="1" ht="11.25">
      <c r="A9" s="1633"/>
      <c r="B9" s="1633"/>
      <c r="C9" s="1633"/>
      <c r="D9" s="1633"/>
      <c r="E9" s="2563"/>
      <c r="F9" s="2563"/>
      <c r="G9" s="2563"/>
      <c r="H9" s="2563"/>
      <c r="I9" s="2376"/>
      <c r="J9" s="2376"/>
      <c r="K9" s="2392"/>
      <c r="L9" s="1676"/>
      <c r="P9" s="2531"/>
      <c r="Q9" s="2531"/>
      <c r="R9" s="2607"/>
      <c r="S9" s="2605"/>
      <c r="T9" s="2602"/>
      <c r="U9" s="661"/>
      <c r="V9" s="1759"/>
      <c r="W9" s="1763"/>
      <c r="X9" s="2532"/>
      <c r="Y9" s="2402"/>
      <c r="Z9" s="2532"/>
      <c r="AA9" s="2402"/>
      <c r="AB9" s="2309"/>
      <c r="AC9" s="2613"/>
      <c r="AD9" s="1759"/>
      <c r="AE9" s="1862"/>
      <c r="AF9" s="1759"/>
      <c r="AG9" s="1759"/>
      <c r="AH9" s="1759"/>
      <c r="AI9" s="1759"/>
      <c r="AJ9" s="1756"/>
      <c r="AK9" s="2558"/>
      <c r="AM9" s="1990"/>
      <c r="AN9" s="1990"/>
      <c r="AO9" s="1990"/>
      <c r="AP9" s="1990"/>
    </row>
    <row customHeight="1" ht="11.25">
      <c r="A10" s="1633"/>
      <c r="B10" s="1633"/>
      <c r="C10" s="1633"/>
      <c r="D10" s="1633"/>
      <c r="E10" s="2563"/>
      <c r="F10" s="2563"/>
      <c r="G10" s="2563"/>
      <c r="H10" s="2563"/>
      <c r="I10" s="2376"/>
      <c r="J10" s="2376"/>
      <c r="K10" s="2392"/>
      <c r="L10" s="1676"/>
      <c r="P10" s="2531"/>
      <c r="Q10" s="2531"/>
      <c r="R10" s="2607"/>
      <c r="S10" s="2605"/>
      <c r="T10" s="2602"/>
      <c r="U10" s="661"/>
      <c r="V10" s="1759"/>
      <c r="W10" s="1763"/>
      <c r="X10" s="2532"/>
      <c r="Y10" s="2402"/>
      <c r="Z10" s="2532"/>
      <c r="AA10" s="2402"/>
      <c r="AB10" s="2309"/>
      <c r="AC10" s="2613"/>
      <c r="AD10" s="1759"/>
      <c r="AE10" s="1862"/>
      <c r="AF10" s="1759"/>
      <c r="AG10" s="1759"/>
      <c r="AH10" s="1759"/>
      <c r="AI10" s="1759"/>
      <c r="AJ10" s="1756"/>
      <c r="AK10" s="2558"/>
      <c r="AM10" s="1990"/>
      <c r="AN10" s="1990"/>
      <c r="AO10" s="1990"/>
      <c r="AP10" s="1990"/>
    </row>
    <row customHeight="1" ht="11.25">
      <c r="A11" s="1633"/>
      <c r="B11" s="1633"/>
      <c r="C11" s="1633"/>
      <c r="D11" s="1633"/>
      <c r="E11" s="2563"/>
      <c r="F11" s="2563"/>
      <c r="G11" s="2563"/>
      <c r="H11" s="2563"/>
      <c r="I11" s="2376"/>
      <c r="J11" s="2376"/>
      <c r="K11" s="2392"/>
      <c r="L11" s="1676"/>
      <c r="P11" s="2531"/>
      <c r="Q11" s="2531"/>
      <c r="R11" s="2607"/>
      <c r="S11" s="2606"/>
      <c r="T11" s="2603"/>
      <c r="U11" s="661"/>
      <c r="V11" s="1759"/>
      <c r="W11" s="1762" t="str">
        <f>X8&amp;"-"&amp;Z8</f>
        <v>-</v>
      </c>
      <c r="X11" s="2533"/>
      <c r="Y11" s="2402"/>
      <c r="Z11" s="2533"/>
      <c r="AA11" s="2402"/>
      <c r="AB11" s="2338"/>
      <c r="AC11" s="1531" t="s">
        <v>464</v>
      </c>
      <c r="AD11" s="1759"/>
      <c r="AE11" s="1760" t="str">
        <f>AF8&amp;"-"&amp;AH8</f>
        <v>-</v>
      </c>
      <c r="AF11" s="1759"/>
      <c r="AG11" s="1759"/>
      <c r="AH11" s="1759"/>
      <c r="AI11" s="1759"/>
      <c r="AJ11" s="1715"/>
      <c r="AK11" s="2558"/>
      <c r="AM11" s="1990"/>
      <c r="AN11" s="1990" t="str">
        <f>IF(T11="","",T11)</f>
        <v/>
      </c>
      <c r="AO11" s="1990"/>
      <c r="AP11" s="1990"/>
    </row>
    <row customHeight="1" ht="11.25">
      <c r="A12" s="1633"/>
      <c r="B12" s="1633"/>
      <c r="C12" s="1633"/>
      <c r="D12" s="1633"/>
      <c r="E12" s="2563"/>
      <c r="F12" s="2563"/>
      <c r="G12" s="2563"/>
      <c r="H12" s="2563"/>
      <c r="I12" s="2376"/>
      <c r="J12" s="2392"/>
      <c r="K12" s="1633"/>
      <c r="L12" s="1676"/>
      <c r="P12" s="2531"/>
      <c r="Q12" s="2531"/>
      <c r="R12" s="717"/>
      <c r="S12" s="1644"/>
      <c r="T12" s="648" t="s">
        <v>465</v>
      </c>
      <c r="U12" s="961"/>
      <c r="V12" s="961"/>
      <c r="W12" s="961"/>
      <c r="X12" s="961"/>
      <c r="Y12" s="961"/>
      <c r="Z12" s="961"/>
      <c r="AA12" s="961"/>
      <c r="AB12" s="961"/>
      <c r="AC12" s="961"/>
      <c r="AD12" s="961"/>
      <c r="AE12" s="961"/>
      <c r="AF12" s="961"/>
      <c r="AG12" s="961"/>
      <c r="AH12" s="961"/>
      <c r="AI12" s="961"/>
      <c r="AJ12" s="685"/>
      <c r="AK12" s="2559"/>
      <c r="AM12" s="1990"/>
      <c r="AN12" s="1990" t="str">
        <f>IF(T12="","",T12)</f>
        <v>Добавить строку</v>
      </c>
      <c r="AO12" s="1990"/>
      <c r="AP12" s="1990"/>
    </row>
    <row s="19272" customFormat="1" customHeight="1" ht="0">
      <c r="A13" s="1741"/>
      <c r="B13" s="1741"/>
      <c r="C13" s="1741"/>
      <c r="D13" s="1741"/>
      <c r="E13" s="2563"/>
      <c r="F13" s="2563"/>
      <c r="G13" s="2563"/>
      <c r="H13" s="2563"/>
      <c r="I13" s="2392"/>
      <c r="J13" s="1741"/>
      <c r="K13" s="1741"/>
      <c r="L13" s="1747"/>
      <c r="M13" s="1611"/>
      <c r="N13" s="1611"/>
      <c r="O13" s="1611"/>
      <c r="P13" s="2531"/>
      <c r="Q13" s="2321"/>
      <c r="R13" s="717"/>
      <c r="S13" s="1752"/>
      <c r="T13" s="1753"/>
      <c r="U13" s="1754"/>
      <c r="V13" s="1754"/>
      <c r="W13" s="1754"/>
      <c r="X13" s="1754"/>
      <c r="Y13" s="1754"/>
      <c r="Z13" s="1754"/>
      <c r="AA13" s="1754"/>
      <c r="AB13" s="1754"/>
      <c r="AC13" s="1754"/>
      <c r="AD13" s="1754"/>
      <c r="AE13" s="1754"/>
      <c r="AF13" s="1754"/>
      <c r="AG13" s="1754"/>
      <c r="AH13" s="1754"/>
      <c r="AI13" s="1754"/>
      <c r="AJ13" s="1754"/>
      <c r="AK13" s="1755"/>
      <c r="AM13" s="1990"/>
      <c r="AN13" s="1990" t="str">
        <f>IF(T13="","",T13)</f>
        <v/>
      </c>
      <c r="AO13" s="1990"/>
      <c r="AP13" s="1990"/>
    </row>
    <row s="19272" customFormat="1" customHeight="1" ht="0">
      <c r="A14" s="1741"/>
      <c r="B14" s="1741"/>
      <c r="C14" s="1741"/>
      <c r="D14" s="1741"/>
      <c r="E14" s="2563"/>
      <c r="F14" s="2563"/>
      <c r="G14" s="2563"/>
      <c r="H14" s="2562"/>
      <c r="I14" s="1741"/>
      <c r="J14" s="1741"/>
      <c r="K14" s="1741"/>
      <c r="L14" s="1747"/>
      <c r="M14" s="1744"/>
      <c r="N14" s="1744"/>
      <c r="O14" s="712"/>
      <c r="P14" s="741"/>
      <c r="Q14" s="1710"/>
      <c r="R14" s="1767"/>
      <c r="S14" s="1752"/>
      <c r="T14" s="1753"/>
      <c r="U14" s="1754"/>
      <c r="V14" s="1754"/>
      <c r="W14" s="1754"/>
      <c r="X14" s="1754"/>
      <c r="Y14" s="1754"/>
      <c r="Z14" s="1754"/>
      <c r="AA14" s="1754"/>
      <c r="AB14" s="1754"/>
      <c r="AC14" s="1754"/>
      <c r="AD14" s="1754"/>
      <c r="AE14" s="1754"/>
      <c r="AF14" s="1754"/>
      <c r="AG14" s="1754"/>
      <c r="AH14" s="1754"/>
      <c r="AI14" s="1754"/>
      <c r="AJ14" s="1754"/>
      <c r="AK14" s="1755"/>
      <c r="AM14" s="1990"/>
      <c r="AN14" s="1990" t="str">
        <f>IF(T14="","",T14)</f>
        <v/>
      </c>
      <c r="AO14" s="1990"/>
      <c r="AP14" s="1990"/>
    </row>
    <row s="19252" customFormat="1" customHeight="1" ht="0">
      <c r="A15" s="1741"/>
      <c r="B15" s="1741"/>
      <c r="C15" s="1741"/>
      <c r="D15" s="1740"/>
      <c r="E15" s="2563"/>
      <c r="F15" s="2563"/>
      <c r="G15" s="2562"/>
      <c r="H15" s="1740"/>
      <c r="I15" s="1740"/>
      <c r="J15" s="1740"/>
      <c r="K15" s="1740"/>
      <c r="L15" s="1743"/>
      <c r="M15" s="1744"/>
      <c r="N15" s="1744"/>
      <c r="O15" s="712"/>
      <c r="P15" s="1682"/>
      <c r="Q15" s="1683"/>
      <c r="R15" s="1682"/>
      <c r="S15" s="1688"/>
      <c r="T15" s="1691" t="s">
        <v>414</v>
      </c>
      <c r="U15" s="1690"/>
      <c r="V15" s="1690"/>
      <c r="W15" s="1690"/>
      <c r="X15" s="1690"/>
      <c r="Y15" s="1690"/>
      <c r="Z15" s="1690"/>
      <c r="AA15" s="1690"/>
      <c r="AB15" s="1690"/>
      <c r="AC15" s="1690"/>
      <c r="AD15" s="1690"/>
      <c r="AE15" s="1690"/>
      <c r="AF15" s="1690"/>
      <c r="AG15" s="1690"/>
      <c r="AH15" s="1690"/>
      <c r="AI15" s="1690"/>
      <c r="AJ15" s="1690"/>
      <c r="AK15" s="1690"/>
      <c r="AM15" s="1616"/>
      <c r="AN15" s="1616" t="str">
        <f>IF(T15="","",T15)</f>
        <v>Добавить источник для дифференциации</v>
      </c>
      <c r="AO15" s="1616"/>
      <c r="AP15" s="1616"/>
    </row>
    <row s="19252" customFormat="1" customHeight="1" ht="0">
      <c r="A16" s="1741"/>
      <c r="B16" s="1741"/>
      <c r="C16" s="1740"/>
      <c r="D16" s="1740"/>
      <c r="E16" s="2563"/>
      <c r="F16" s="2562"/>
      <c r="G16" s="1740"/>
      <c r="H16" s="1740"/>
      <c r="I16" s="1740"/>
      <c r="J16" s="1740"/>
      <c r="K16" s="1740"/>
      <c r="L16" s="1743"/>
      <c r="M16" s="1745"/>
      <c r="N16" s="1745"/>
      <c r="O16" s="712"/>
      <c r="P16" s="1682"/>
      <c r="Q16" s="1683"/>
      <c r="R16" s="1682"/>
      <c r="S16" s="1688"/>
      <c r="T16" s="1691" t="s">
        <v>251</v>
      </c>
      <c r="U16" s="1690"/>
      <c r="V16" s="1690"/>
      <c r="W16" s="1690"/>
      <c r="X16" s="1690"/>
      <c r="Y16" s="1690"/>
      <c r="Z16" s="1690"/>
      <c r="AA16" s="1690"/>
      <c r="AB16" s="1690"/>
      <c r="AC16" s="1690"/>
      <c r="AD16" s="1690"/>
      <c r="AE16" s="1690"/>
      <c r="AF16" s="1690"/>
      <c r="AG16" s="1690"/>
      <c r="AH16" s="1690"/>
      <c r="AI16" s="1690"/>
      <c r="AJ16" s="1690"/>
      <c r="AK16" s="1690"/>
      <c r="AM16" s="1616"/>
      <c r="AN16" s="1616" t="str">
        <f>IF(T16="","",T16)</f>
        <v>Добавить централизованную систему для дифференциации</v>
      </c>
      <c r="AO16" s="1616"/>
      <c r="AP16" s="1616"/>
    </row>
    <row s="19272" customFormat="1" customHeight="1" ht="0">
      <c r="A17" s="1741"/>
      <c r="B17" s="1741"/>
      <c r="C17" s="1741"/>
      <c r="D17" s="1741"/>
      <c r="E17" s="2562"/>
      <c r="F17" s="1741"/>
      <c r="G17" s="1741"/>
      <c r="H17" s="1741"/>
      <c r="I17" s="1741"/>
      <c r="J17" s="1741"/>
      <c r="K17" s="1741"/>
      <c r="L17" s="1747"/>
      <c r="M17" s="1745"/>
      <c r="N17" s="1745"/>
      <c r="O17" s="712"/>
      <c r="P17" s="741"/>
      <c r="Q17" s="1710"/>
      <c r="R17" s="741"/>
      <c r="S17" s="1688"/>
      <c r="T17" s="1691" t="s">
        <v>252</v>
      </c>
      <c r="U17" s="1690"/>
      <c r="V17" s="1690"/>
      <c r="W17" s="1690"/>
      <c r="X17" s="1690"/>
      <c r="Y17" s="1690"/>
      <c r="Z17" s="1690"/>
      <c r="AA17" s="1690"/>
      <c r="AB17" s="1690"/>
      <c r="AC17" s="1690"/>
      <c r="AD17" s="1690"/>
      <c r="AE17" s="1690"/>
      <c r="AF17" s="1690"/>
      <c r="AG17" s="1690"/>
      <c r="AH17" s="1690"/>
      <c r="AI17" s="1690"/>
      <c r="AJ17" s="1690"/>
      <c r="AK17" s="1690"/>
      <c r="AM17" s="1990"/>
      <c r="AN17" s="1990" t="str">
        <f>IF(T17="","",T17)</f>
        <v>Добавить территорию для дифференциации</v>
      </c>
      <c r="AO17" s="1990"/>
      <c r="AP17" s="1990"/>
    </row>
    <row r="19" customHeight="1" ht="14.25">
      <c r="AC19" s="1868"/>
      <c r="AD19" s="1769"/>
      <c r="AE19" s="1770"/>
      <c r="AF19" s="2102"/>
      <c r="AG19" s="2333" t="s">
        <v>59</v>
      </c>
      <c r="AH19" s="2102"/>
      <c r="AI19" s="2333" t="s">
        <v>59</v>
      </c>
    </row>
    <row customHeight="1" ht="14.25">
      <c r="AL20" s="2007"/>
      <c r="AM20" s="2007"/>
      <c r="AN20" s="2007"/>
      <c r="AO20" s="2007"/>
      <c r="AP20" s="2007"/>
    </row>
    <row customHeight="1" ht="14.25">
      <c r="O21" s="1711" t="s">
        <v>415</v>
      </c>
      <c r="X21" s="1711"/>
      <c r="Z21" s="1711"/>
      <c r="AF21" s="1711"/>
      <c r="AH21" s="1711"/>
      <c r="AL21" s="2007"/>
      <c r="AM21" s="2007"/>
      <c r="AN21" s="2007"/>
      <c r="AO21" s="2007"/>
      <c r="AP21" s="2007"/>
    </row>
    <row customHeight="1" ht="14.25">
      <c r="AL22" s="2007"/>
      <c r="AM22" s="2007"/>
      <c r="AN22" s="2007"/>
      <c r="AO22" s="2007"/>
      <c r="AP22" s="2007"/>
    </row>
    <row s="19375" customFormat="1" customHeight="1" ht="14.25">
      <c r="A23" s="2339"/>
      <c r="B23" s="2339"/>
      <c r="C23" s="2339"/>
      <c r="D23" s="2339"/>
      <c r="E23" s="2339"/>
      <c r="F23" s="2339"/>
      <c r="G23" s="2339"/>
      <c r="H23" s="2339"/>
      <c r="I23" s="2339"/>
      <c r="J23" s="2339"/>
      <c r="K23" s="2339"/>
      <c r="L23" s="2339"/>
      <c r="M23" s="2340"/>
      <c r="N23" s="2340"/>
      <c r="O23" s="2341" t="s">
        <v>416</v>
      </c>
      <c r="P23" s="1874"/>
      <c r="Q23" s="1876"/>
      <c r="R23" s="1876"/>
      <c r="Y23" s="1873" t="s">
        <v>418</v>
      </c>
      <c r="AA23" s="1873" t="s">
        <v>419</v>
      </c>
      <c r="AC23" s="1873" t="s">
        <v>467</v>
      </c>
      <c r="AG23" s="1873" t="s">
        <v>418</v>
      </c>
      <c r="AI23" s="1873" t="s">
        <v>419</v>
      </c>
      <c r="AL23" s="1877"/>
      <c r="AM23" s="1877"/>
      <c r="AN23" s="1877"/>
      <c r="AO23" s="1877"/>
      <c r="AP23" s="1877"/>
    </row>
    <row customHeight="1" ht="14.25">
      <c r="O24" s="1676"/>
      <c r="AL24" s="2007"/>
      <c r="AM24" s="2007"/>
      <c r="AN24" s="2007"/>
      <c r="AO24" s="2007"/>
      <c r="AP24" s="2007"/>
    </row>
    <row customHeight="1" ht="14.25">
      <c r="O25" s="1676"/>
      <c r="AL25" s="2007"/>
      <c r="AM25" s="2007"/>
      <c r="AN25" s="2007"/>
      <c r="AO25" s="2007"/>
      <c r="AP25" s="2007"/>
    </row>
    <row customHeight="1" ht="14.25">
      <c r="Q26" s="652"/>
      <c r="R26" s="737"/>
      <c r="S26" s="1641"/>
      <c r="T26" s="818"/>
      <c r="U26" s="818"/>
      <c r="V26" s="2001"/>
      <c r="W26" s="2001"/>
      <c r="X26" s="2001"/>
      <c r="Y26" s="2001"/>
      <c r="Z26" s="2001"/>
      <c r="AA26" s="2001"/>
      <c r="AB26" s="2001"/>
      <c r="AC26" s="2001"/>
      <c r="AD26" s="2001"/>
      <c r="AE26" s="2001"/>
      <c r="AF26" s="2001"/>
      <c r="AG26" s="2001"/>
      <c r="AH26" s="2001"/>
      <c r="AI26" s="2001"/>
    </row>
    <row customHeight="1" ht="38.25">
      <c r="Q27" s="652"/>
      <c r="R27" s="737"/>
      <c r="S27" s="256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560"/>
      <c r="U27" s="2560"/>
      <c r="V27" s="2560"/>
      <c r="W27" s="2560"/>
      <c r="X27" s="2560"/>
      <c r="Y27" s="2560"/>
      <c r="Z27" s="2560"/>
      <c r="AA27" s="2560"/>
      <c r="AB27" s="2560"/>
      <c r="AC27" s="2560"/>
      <c r="AD27" s="2560"/>
      <c r="AE27" s="2560"/>
      <c r="AF27" s="2560"/>
      <c r="AG27" s="2560"/>
      <c r="AH27" s="2560"/>
      <c r="AI27" s="1608"/>
    </row>
    <row customHeight="1" ht="14.25">
      <c r="Q28" s="652"/>
      <c r="R28" s="737"/>
      <c r="S28" s="2561" t="str">
        <f>IF(org=0,"Не определено",org)</f>
        <v>Филиал "Шатурская ГРЭС" ПАО "Юнипро"</v>
      </c>
      <c r="T28" s="2561"/>
      <c r="U28" s="2561"/>
      <c r="V28" s="2561"/>
      <c r="W28" s="2561"/>
      <c r="X28" s="2561"/>
      <c r="Y28" s="2561"/>
      <c r="Z28" s="2561"/>
      <c r="AA28" s="2561"/>
      <c r="AB28" s="2561"/>
      <c r="AC28" s="2561"/>
      <c r="AD28" s="2561"/>
      <c r="AE28" s="2561"/>
      <c r="AF28" s="2561"/>
      <c r="AG28" s="2561"/>
      <c r="AH28" s="2561"/>
      <c r="AI28" s="1608"/>
    </row>
    <row customHeight="1" ht="14.25" hidden="1">
      <c r="Q29" s="652"/>
      <c r="R29" s="737"/>
      <c r="S29" s="1641"/>
      <c r="T29" s="818"/>
      <c r="U29" s="818"/>
      <c r="V29" s="683"/>
      <c r="W29" s="683"/>
      <c r="X29" s="683"/>
      <c r="Y29" s="683"/>
      <c r="Z29" s="683"/>
      <c r="AA29" s="683"/>
      <c r="AB29" s="683"/>
      <c r="AC29" s="683"/>
      <c r="AD29" s="683"/>
      <c r="AE29" s="683"/>
      <c r="AF29" s="683"/>
      <c r="AG29" s="683"/>
      <c r="AH29" s="683"/>
      <c r="AI29" s="683"/>
      <c r="AJ29" s="2001"/>
    </row>
    <row s="19160" customFormat="1" customHeight="1" ht="25.5" hidden="1">
      <c r="A30" s="1613"/>
      <c r="B30" s="1613"/>
      <c r="C30" s="1613"/>
      <c r="D30" s="1613"/>
      <c r="E30" s="1613"/>
      <c r="F30" s="1613"/>
      <c r="G30" s="1613"/>
      <c r="H30" s="1613"/>
      <c r="I30" s="1613"/>
      <c r="J30" s="1613"/>
      <c r="K30" s="1613"/>
      <c r="L30" s="1746"/>
      <c r="M30" s="1613"/>
      <c r="N30" s="1613"/>
      <c r="O30" s="1613"/>
      <c r="P30" s="1734"/>
      <c r="Q30" s="1734"/>
      <c r="S30" s="2518" t="s">
        <v>38</v>
      </c>
      <c r="T30" s="2518"/>
      <c r="U30" s="1738"/>
      <c r="V30" s="2520" t="str">
        <f>IF(TITLE_NAME_OR_PR_CHANGE="",IF(TITLE_NAME_OR_PR="","",TITLE_NAME_OR_PR),TITLE_NAME_OR_PR_CHANGE)</f>
        <v>Комитет по ценам и тарифам по Московской области</v>
      </c>
      <c r="W30" s="2520"/>
      <c r="X30" s="2520"/>
      <c r="Y30" s="2520"/>
      <c r="Z30" s="2520"/>
      <c r="AA30" s="2001"/>
      <c r="AB30" s="2001"/>
      <c r="AC30" s="2520"/>
      <c r="AD30" s="2520"/>
      <c r="AE30" s="2520"/>
      <c r="AF30" s="2520"/>
      <c r="AG30" s="2520"/>
      <c r="AH30" s="2520"/>
      <c r="AI30" s="2001"/>
      <c r="AJ30" s="2001"/>
      <c r="AK30" s="641"/>
      <c r="AL30" s="729"/>
      <c r="AM30" s="729"/>
      <c r="AN30" s="729"/>
      <c r="AO30" s="729"/>
      <c r="AP30" s="729"/>
    </row>
    <row s="19160" customFormat="1" customHeight="1" ht="18.75" hidden="1">
      <c r="A31" s="1613"/>
      <c r="B31" s="1613"/>
      <c r="C31" s="1613"/>
      <c r="D31" s="1613"/>
      <c r="E31" s="1613"/>
      <c r="F31" s="1613"/>
      <c r="G31" s="1613"/>
      <c r="H31" s="1613"/>
      <c r="I31" s="1613"/>
      <c r="J31" s="1613"/>
      <c r="K31" s="1613"/>
      <c r="L31" s="1746"/>
      <c r="M31" s="1613"/>
      <c r="N31" s="1613"/>
      <c r="O31" s="1613"/>
      <c r="P31" s="1734"/>
      <c r="Q31" s="1734"/>
      <c r="S31" s="2518" t="s">
        <v>421</v>
      </c>
      <c r="T31" s="2518"/>
      <c r="U31" s="1738"/>
      <c r="V31" s="2519" t="str">
        <f>IF(TITLE_DATE_PR_CHANGE="",IF(TITLE_DATE_PR="","",TITLE_DATE_PR),TITLE_DATE_PR_CHANGE)</f>
        <v>45280.70914351852</v>
      </c>
      <c r="W31" s="2519"/>
      <c r="X31" s="2519"/>
      <c r="Y31" s="2519"/>
      <c r="Z31" s="2519"/>
      <c r="AA31" s="2001"/>
      <c r="AB31" s="2001"/>
      <c r="AC31" s="2519"/>
      <c r="AD31" s="2519"/>
      <c r="AE31" s="2519"/>
      <c r="AF31" s="2519"/>
      <c r="AG31" s="2519"/>
      <c r="AH31" s="2519"/>
      <c r="AI31" s="2001"/>
      <c r="AJ31" s="2001"/>
      <c r="AK31" s="641"/>
      <c r="AL31" s="729"/>
      <c r="AM31" s="729"/>
      <c r="AN31" s="729"/>
      <c r="AO31" s="729"/>
      <c r="AP31" s="729"/>
    </row>
    <row s="19160" customFormat="1" customHeight="1" ht="18.75" hidden="1">
      <c r="A32" s="1613"/>
      <c r="B32" s="1613"/>
      <c r="C32" s="1613"/>
      <c r="D32" s="1613"/>
      <c r="E32" s="1613"/>
      <c r="F32" s="1613"/>
      <c r="G32" s="1613"/>
      <c r="H32" s="1613"/>
      <c r="I32" s="1613"/>
      <c r="J32" s="1613"/>
      <c r="K32" s="1613"/>
      <c r="L32" s="1746"/>
      <c r="M32" s="1613"/>
      <c r="N32" s="1613"/>
      <c r="O32" s="1613"/>
      <c r="P32" s="1734"/>
      <c r="Q32" s="1734"/>
      <c r="S32" s="2518" t="s">
        <v>422</v>
      </c>
      <c r="T32" s="2518"/>
      <c r="U32" s="1738"/>
      <c r="V32" s="2520" t="str">
        <f>IF(TITLE_NUMBER_PR_CHANGE="",IF(TITLE_NUMBER_PR="","",TITLE_NUMBER_PR),TITLE_NUMBER_PR_CHANGE)</f>
        <v>317-Р</v>
      </c>
      <c r="W32" s="2520"/>
      <c r="X32" s="2520"/>
      <c r="Y32" s="2520"/>
      <c r="Z32" s="2520"/>
      <c r="AA32" s="2001"/>
      <c r="AB32" s="2001"/>
      <c r="AC32" s="2520"/>
      <c r="AD32" s="2520"/>
      <c r="AE32" s="2520"/>
      <c r="AF32" s="2520"/>
      <c r="AG32" s="2520"/>
      <c r="AH32" s="2520"/>
      <c r="AI32" s="2001"/>
      <c r="AJ32" s="2001"/>
      <c r="AK32" s="641"/>
      <c r="AL32" s="729"/>
      <c r="AM32" s="729"/>
      <c r="AN32" s="729"/>
      <c r="AO32" s="729"/>
      <c r="AP32" s="729"/>
    </row>
    <row s="19160" customFormat="1" customHeight="1" ht="18.75" hidden="1">
      <c r="A33" s="1613"/>
      <c r="B33" s="1613"/>
      <c r="C33" s="1613"/>
      <c r="D33" s="1613"/>
      <c r="E33" s="1613"/>
      <c r="F33" s="1613"/>
      <c r="G33" s="1613"/>
      <c r="H33" s="1613"/>
      <c r="I33" s="1613"/>
      <c r="J33" s="1613"/>
      <c r="K33" s="1613"/>
      <c r="L33" s="1746"/>
      <c r="M33" s="1613"/>
      <c r="N33" s="1613"/>
      <c r="O33" s="1613"/>
      <c r="P33" s="1734"/>
      <c r="Q33" s="1734"/>
      <c r="S33" s="2518" t="s">
        <v>40</v>
      </c>
      <c r="T33" s="2518"/>
      <c r="U33" s="1738"/>
      <c r="V33"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3" s="2520"/>
      <c r="X33" s="2520"/>
      <c r="Y33" s="2520"/>
      <c r="Z33" s="2520"/>
      <c r="AA33" s="2001"/>
      <c r="AB33" s="2001"/>
      <c r="AC33" s="2520"/>
      <c r="AD33" s="2520"/>
      <c r="AE33" s="2520"/>
      <c r="AF33" s="2520"/>
      <c r="AG33" s="2520"/>
      <c r="AH33" s="2520"/>
      <c r="AI33" s="2001"/>
      <c r="AJ33" s="2001"/>
      <c r="AK33" s="641"/>
      <c r="AL33" s="729"/>
      <c r="AM33" s="729"/>
      <c r="AN33" s="729"/>
      <c r="AO33" s="729"/>
      <c r="AP33" s="729"/>
    </row>
    <row customHeight="1" ht="14.25" hidden="1">
      <c r="Q34" s="652"/>
      <c r="R34" s="737"/>
      <c r="S34" s="1641"/>
      <c r="T34" s="818"/>
      <c r="U34" s="818"/>
      <c r="V34" s="683"/>
      <c r="W34" s="683"/>
      <c r="X34" s="683"/>
      <c r="Y34" s="683"/>
      <c r="Z34" s="683"/>
      <c r="AA34" s="683"/>
      <c r="AB34" s="683"/>
      <c r="AC34" s="683"/>
      <c r="AD34" s="683"/>
      <c r="AE34" s="683"/>
      <c r="AF34" s="683"/>
      <c r="AG34" s="683"/>
      <c r="AH34" s="683"/>
      <c r="AI34" s="683"/>
      <c r="AJ34" s="2001"/>
    </row>
    <row s="19160" customFormat="1" customHeight="1" ht="18.75" hidden="1">
      <c r="A35" s="1613"/>
      <c r="B35" s="1613"/>
      <c r="C35" s="1613"/>
      <c r="D35" s="1613"/>
      <c r="E35" s="1613"/>
      <c r="F35" s="1613"/>
      <c r="G35" s="1613"/>
      <c r="H35" s="1613"/>
      <c r="I35" s="1613"/>
      <c r="J35" s="1613"/>
      <c r="K35" s="1613"/>
      <c r="L35" s="1746"/>
      <c r="M35" s="1613"/>
      <c r="N35" s="1613"/>
      <c r="O35" s="1613"/>
      <c r="P35" s="1734"/>
      <c r="Q35" s="1734"/>
      <c r="S35" s="2518" t="s">
        <v>421</v>
      </c>
      <c r="T35" s="2518"/>
      <c r="U35" s="1738"/>
      <c r="V35" s="2519" t="str">
        <f>IF(TITLE_DATE_PR_CHANGE="",IF(TITLE_DATE_PR="","",TITLE_DATE_PR),TITLE_DATE_PR_CHANGE)</f>
        <v>45280.70914351852</v>
      </c>
      <c r="W35" s="2519"/>
      <c r="X35" s="2519"/>
      <c r="Y35" s="2519"/>
      <c r="Z35" s="2519"/>
      <c r="AA35" s="2001"/>
      <c r="AB35" s="2001"/>
      <c r="AC35" s="2519"/>
      <c r="AD35" s="2519"/>
      <c r="AE35" s="2519"/>
      <c r="AF35" s="2519"/>
      <c r="AG35" s="2519"/>
      <c r="AH35" s="2519"/>
      <c r="AI35" s="2001"/>
      <c r="AJ35" s="2001"/>
      <c r="AK35" s="641"/>
      <c r="AL35" s="729"/>
      <c r="AM35" s="729"/>
      <c r="AN35" s="729"/>
      <c r="AO35" s="729"/>
      <c r="AP35" s="729"/>
    </row>
    <row s="19160" customFormat="1" customHeight="1" ht="18" hidden="1">
      <c r="A36" s="1613"/>
      <c r="B36" s="1613"/>
      <c r="C36" s="1613"/>
      <c r="D36" s="1613"/>
      <c r="E36" s="1613"/>
      <c r="F36" s="1613"/>
      <c r="G36" s="1613"/>
      <c r="H36" s="1613"/>
      <c r="I36" s="1613"/>
      <c r="J36" s="1613"/>
      <c r="K36" s="1613"/>
      <c r="L36" s="1746"/>
      <c r="M36" s="1613"/>
      <c r="N36" s="1613"/>
      <c r="O36" s="1613"/>
      <c r="P36" s="1734"/>
      <c r="Q36" s="1734"/>
      <c r="S36" s="2518" t="s">
        <v>422</v>
      </c>
      <c r="T36" s="2518"/>
      <c r="U36" s="1738"/>
      <c r="V36" s="2520" t="str">
        <f>IF(TITLE_NUMBER_PR_CHANGE="",IF(TITLE_NUMBER_PR="","",TITLE_NUMBER_PR),TITLE_NUMBER_PR_CHANGE)</f>
        <v>317-Р</v>
      </c>
      <c r="W36" s="2520"/>
      <c r="X36" s="2520"/>
      <c r="Y36" s="2520"/>
      <c r="Z36" s="2520"/>
      <c r="AA36" s="2001"/>
      <c r="AB36" s="2001"/>
      <c r="AC36" s="2520"/>
      <c r="AD36" s="2520"/>
      <c r="AE36" s="2520"/>
      <c r="AF36" s="2520"/>
      <c r="AG36" s="2520"/>
      <c r="AH36" s="2520"/>
      <c r="AI36" s="2001"/>
      <c r="AJ36" s="2001"/>
      <c r="AK36" s="641"/>
      <c r="AL36" s="729"/>
      <c r="AM36" s="729"/>
      <c r="AN36" s="729"/>
      <c r="AO36" s="729"/>
      <c r="AP36" s="729"/>
    </row>
    <row s="19160" customFormat="1" customHeight="1" ht="0.75">
      <c r="A37" s="1613"/>
      <c r="B37" s="1613"/>
      <c r="C37" s="1613"/>
      <c r="D37" s="1613"/>
      <c r="E37" s="1613"/>
      <c r="F37" s="1613"/>
      <c r="G37" s="1613"/>
      <c r="H37" s="1613"/>
      <c r="I37" s="1613"/>
      <c r="J37" s="1613"/>
      <c r="K37" s="1613"/>
      <c r="L37" s="1746"/>
      <c r="M37" s="1613"/>
      <c r="N37" s="1613"/>
      <c r="O37" s="1613"/>
      <c r="P37" s="1734"/>
      <c r="Q37" s="1734"/>
      <c r="S37" s="2001"/>
      <c r="T37" s="2001"/>
      <c r="U37" s="2337"/>
      <c r="V37" s="2001"/>
      <c r="W37" s="2001"/>
      <c r="X37" s="2001"/>
      <c r="Y37" s="2001"/>
      <c r="Z37" s="2001"/>
      <c r="AA37" s="2008" t="s">
        <v>425</v>
      </c>
      <c r="AB37" s="2008"/>
      <c r="AC37" s="2001"/>
      <c r="AD37" s="2001"/>
      <c r="AE37" s="2001"/>
      <c r="AF37" s="2001"/>
      <c r="AG37" s="2001"/>
      <c r="AH37" s="2001"/>
      <c r="AI37" s="2008" t="s">
        <v>425</v>
      </c>
      <c r="AL37" s="729"/>
      <c r="AM37" s="729"/>
      <c r="AN37" s="729"/>
      <c r="AO37" s="729"/>
      <c r="AP37" s="729"/>
    </row>
    <row customHeight="1" ht="14.25">
      <c r="Q38" s="652"/>
      <c r="R38" s="737"/>
      <c r="S38" s="1641"/>
      <c r="T38" s="818"/>
      <c r="U38" s="1609"/>
      <c r="V38" s="2544"/>
      <c r="W38" s="2544"/>
      <c r="X38" s="2544"/>
      <c r="Y38" s="2544"/>
      <c r="Z38" s="2544"/>
      <c r="AA38" s="2544"/>
      <c r="AB38" s="2324"/>
      <c r="AC38" s="2544"/>
      <c r="AD38" s="2544"/>
      <c r="AE38" s="2544"/>
      <c r="AF38" s="2544"/>
      <c r="AG38" s="2544"/>
      <c r="AH38" s="2544"/>
      <c r="AI38" s="2544"/>
    </row>
    <row customHeight="1" ht="14.25">
      <c r="Q39" s="652"/>
      <c r="R39" s="737"/>
      <c r="S39" s="2392" t="s">
        <v>300</v>
      </c>
      <c r="T39" s="2392"/>
      <c r="U39" s="2392"/>
      <c r="V39" s="2392"/>
      <c r="W39" s="2392"/>
      <c r="X39" s="2392"/>
      <c r="Y39" s="2392"/>
      <c r="Z39" s="2392"/>
      <c r="AA39" s="2449"/>
      <c r="AB39" s="2449"/>
      <c r="AC39" s="2449"/>
      <c r="AD39" s="2392"/>
      <c r="AE39" s="2392"/>
      <c r="AF39" s="2392"/>
      <c r="AG39" s="2392"/>
      <c r="AH39" s="2392"/>
      <c r="AI39" s="2392"/>
      <c r="AJ39" s="2392"/>
      <c r="AK39" s="2392" t="s">
        <v>301</v>
      </c>
    </row>
    <row customHeight="1" ht="14.25">
      <c r="Q40" s="652"/>
      <c r="R40" s="737"/>
      <c r="S40" s="2545" t="s">
        <v>85</v>
      </c>
      <c r="T40" s="2482" t="s">
        <v>497</v>
      </c>
      <c r="U40" s="698"/>
      <c r="V40" s="2547"/>
      <c r="W40" s="2547"/>
      <c r="X40" s="2547"/>
      <c r="Y40" s="2547"/>
      <c r="Z40" s="2547"/>
      <c r="AA40" s="2482" t="s">
        <v>428</v>
      </c>
      <c r="AB40" s="2481" t="s">
        <v>498</v>
      </c>
      <c r="AC40" s="2481" t="s">
        <v>471</v>
      </c>
      <c r="AD40" s="2568" t="s">
        <v>427</v>
      </c>
      <c r="AE40" s="2568"/>
      <c r="AF40" s="2547"/>
      <c r="AG40" s="2547"/>
      <c r="AH40" s="2548"/>
      <c r="AI40" s="2549" t="s">
        <v>428</v>
      </c>
      <c r="AJ40" s="2552" t="s">
        <v>430</v>
      </c>
      <c r="AK40" s="2392"/>
    </row>
    <row customHeight="1" ht="33.75">
      <c r="Q41" s="652"/>
      <c r="R41" s="737"/>
      <c r="S41" s="2545"/>
      <c r="T41" s="2482"/>
      <c r="U41" s="1393"/>
      <c r="V41" s="2450" t="s">
        <v>474</v>
      </c>
      <c r="W41" s="2451"/>
      <c r="X41" s="2566" t="s">
        <v>434</v>
      </c>
      <c r="Y41" s="2584"/>
      <c r="Z41" s="2584"/>
      <c r="AA41" s="2482"/>
      <c r="AB41" s="2481"/>
      <c r="AC41" s="2481"/>
      <c r="AD41" s="2378" t="s">
        <v>475</v>
      </c>
      <c r="AE41" s="2392"/>
      <c r="AF41" s="2584" t="s">
        <v>434</v>
      </c>
      <c r="AG41" s="2584"/>
      <c r="AH41" s="2585"/>
      <c r="AI41" s="2550"/>
      <c r="AJ41" s="2553"/>
      <c r="AK41" s="2392"/>
    </row>
    <row customHeight="1" ht="14.25">
      <c r="Q42" s="652"/>
      <c r="R42" s="737"/>
      <c r="S42" s="2545"/>
      <c r="T42" s="2482"/>
      <c r="U42" s="1393"/>
      <c r="V42" s="2458"/>
      <c r="W42" s="2459"/>
      <c r="X42" s="2567"/>
      <c r="Y42" s="2586"/>
      <c r="Z42" s="2586"/>
      <c r="AA42" s="2482"/>
      <c r="AB42" s="2481"/>
      <c r="AC42" s="2481"/>
      <c r="AD42" s="2621"/>
      <c r="AE42" s="2612"/>
      <c r="AF42" s="2586"/>
      <c r="AG42" s="2586"/>
      <c r="AH42" s="2587"/>
      <c r="AI42" s="2550"/>
      <c r="AJ42" s="2553"/>
      <c r="AK42" s="2392"/>
    </row>
    <row customHeight="1" ht="14.25">
      <c r="A43" s="1632"/>
      <c r="B43" s="1632" t="s">
        <v>132</v>
      </c>
      <c r="C43" s="1632" t="s">
        <v>133</v>
      </c>
      <c r="D43" s="1632" t="s">
        <v>134</v>
      </c>
      <c r="E43" s="1676" t="s">
        <v>435</v>
      </c>
      <c r="F43" s="1676" t="s">
        <v>436</v>
      </c>
      <c r="G43" s="1676" t="s">
        <v>437</v>
      </c>
      <c r="H43" s="1676" t="s">
        <v>438</v>
      </c>
      <c r="I43" s="1676" t="s">
        <v>439</v>
      </c>
      <c r="J43" s="1676" t="s">
        <v>440</v>
      </c>
      <c r="K43" s="1676" t="s">
        <v>441</v>
      </c>
      <c r="L43" s="1676" t="s">
        <v>416</v>
      </c>
      <c r="Q43" s="652"/>
      <c r="R43" s="737"/>
      <c r="S43" s="2545"/>
      <c r="T43" s="2482"/>
      <c r="U43" s="663"/>
      <c r="V43" s="2317" t="s">
        <v>476</v>
      </c>
      <c r="W43" s="2317" t="s">
        <v>477</v>
      </c>
      <c r="X43" s="2305" t="s">
        <v>444</v>
      </c>
      <c r="Y43" s="2541" t="s">
        <v>445</v>
      </c>
      <c r="Z43" s="2579"/>
      <c r="AA43" s="2482"/>
      <c r="AB43" s="2481"/>
      <c r="AC43" s="2481"/>
      <c r="AD43" s="2335" t="s">
        <v>476</v>
      </c>
      <c r="AE43" s="2326" t="s">
        <v>477</v>
      </c>
      <c r="AF43" s="2305" t="s">
        <v>444</v>
      </c>
      <c r="AG43" s="2541" t="s">
        <v>445</v>
      </c>
      <c r="AH43" s="2542"/>
      <c r="AI43" s="2551"/>
      <c r="AJ43" s="2554"/>
      <c r="AK43" s="2392"/>
    </row>
    <row s="19269" customFormat="1" customHeight="1" ht="11.25" hidden="1">
      <c r="A44" s="1632"/>
      <c r="B44" s="1632"/>
      <c r="C44" s="1632"/>
      <c r="D44" s="1632"/>
      <c r="E44" s="1632"/>
      <c r="F44" s="1632"/>
      <c r="G44" s="1632"/>
      <c r="H44" s="1632"/>
      <c r="I44" s="1632"/>
      <c r="J44" s="1632"/>
      <c r="K44" s="1632"/>
      <c r="L44" s="1676"/>
      <c r="M44" s="2332"/>
      <c r="N44" s="2332"/>
      <c r="O44" s="2332"/>
      <c r="P44" s="871"/>
      <c r="Q44" s="1619"/>
      <c r="R44" s="1619">
        <v>1</v>
      </c>
      <c r="S44" s="1643" t="s">
        <v>106</v>
      </c>
      <c r="T44" s="1620" t="s">
        <v>107</v>
      </c>
      <c r="U44" s="1610" t="str">
        <f>OFFSET(U44,0,-1)</f>
        <v>2</v>
      </c>
      <c r="V44" s="2323">
        <f>OFFSET(V44,0,-1)+1</f>
        <v>3</v>
      </c>
      <c r="W44" s="2323">
        <f>OFFSET(W44,0,-1)+1</f>
        <v>4</v>
      </c>
      <c r="X44" s="2323">
        <f>OFFSET(X44,0,-1)+1</f>
        <v>5</v>
      </c>
      <c r="Y44" s="2543">
        <f>OFFSET(Y44,0,-1)+1</f>
        <v>6</v>
      </c>
      <c r="Z44" s="2543"/>
      <c r="AA44" s="1707">
        <f>OFFSET(AA44,0,-2)+1</f>
        <v>7</v>
      </c>
      <c r="AB44" s="1707"/>
      <c r="AC44" s="1707"/>
      <c r="AD44" s="2323">
        <f>OFFSET(AD44,0,-1)+1</f>
        <v>1</v>
      </c>
      <c r="AE44" s="2323">
        <f>OFFSET(AE44,0,-1)+1</f>
        <v>2</v>
      </c>
      <c r="AF44" s="2323">
        <f>OFFSET(AF44,0,-1)+1</f>
        <v>3</v>
      </c>
      <c r="AG44" s="2543">
        <f>OFFSET(AG44,0,-1)+1</f>
        <v>4</v>
      </c>
      <c r="AH44" s="2543"/>
      <c r="AI44" s="2323">
        <f>OFFSET(AI44,0,-2)+1</f>
        <v>5</v>
      </c>
      <c r="AJ44" s="1610">
        <f>OFFSET(AJ44,0,-1)</f>
        <v>5</v>
      </c>
      <c r="AK44" s="2323">
        <f>OFFSET(AK44,0,-1)+1</f>
        <v>6</v>
      </c>
      <c r="AL44" s="2002"/>
      <c r="AM44" s="2002"/>
      <c r="AN44" s="2002"/>
      <c r="AO44" s="2002"/>
      <c r="AP44" s="2002"/>
    </row>
    <row customHeight="1" ht="102">
      <c r="A45" s="1633" t="s">
        <v>201</v>
      </c>
      <c r="B45" s="1633"/>
      <c r="C45" s="1633"/>
      <c r="D45" s="1633"/>
      <c r="E45" s="2562">
        <v>1</v>
      </c>
      <c r="F45" s="1633"/>
      <c r="G45" s="1633"/>
      <c r="H45" s="1633"/>
      <c r="I45" s="1633"/>
      <c r="J45" s="1633"/>
      <c r="K45" s="1633"/>
      <c r="L45" s="1676"/>
      <c r="M45" s="1976"/>
      <c r="N45" s="1976"/>
      <c r="O45" s="1976"/>
      <c r="P45" s="1775"/>
      <c r="Q45" s="1234"/>
      <c r="R45" s="716"/>
      <c r="S45" s="2325">
        <f>INDEX(PT_DIFFERENTIATION_NUM_NTAR,MATCH(A45,PT_DIFFERENTIATION_NTAR_ID,0))</f>
        <v>0</v>
      </c>
      <c r="T45" s="1891" t="s">
        <v>120</v>
      </c>
      <c r="U45" s="661"/>
      <c r="V45" s="2522"/>
      <c r="W45" s="2522"/>
      <c r="X45" s="2522"/>
      <c r="Y45" s="2522"/>
      <c r="Z45" s="2522"/>
      <c r="AA45" s="2523"/>
      <c r="AB45" s="2319"/>
      <c r="AC45" s="2522"/>
      <c r="AD45" s="2522"/>
      <c r="AE45" s="2522"/>
      <c r="AF45" s="2522"/>
      <c r="AG45" s="2522"/>
      <c r="AH45" s="2522"/>
      <c r="AI45" s="2522"/>
      <c r="AJ45" s="2523"/>
      <c r="AK45" s="162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5" s="1990"/>
      <c r="AN45" s="1990" t="str">
        <f>IF(T45="","",T45)</f>
        <v>Наименование тарифа</v>
      </c>
      <c r="AO45" s="1990"/>
      <c r="AP45" s="1990"/>
    </row>
    <row customHeight="1" ht="21">
      <c r="A46" s="1633" t="s">
        <v>201</v>
      </c>
      <c r="B46" s="1633" t="s">
        <v>202</v>
      </c>
      <c r="C46" s="1633"/>
      <c r="D46" s="1633"/>
      <c r="E46" s="2563"/>
      <c r="F46" s="2562">
        <v>1</v>
      </c>
      <c r="G46" s="1633"/>
      <c r="H46" s="1633"/>
      <c r="I46" s="1633"/>
      <c r="J46" s="1633"/>
      <c r="K46" s="1633"/>
      <c r="L46" s="1676"/>
      <c r="M46" s="1976"/>
      <c r="N46" s="1976"/>
      <c r="O46" s="1976"/>
      <c r="P46" s="2336"/>
      <c r="Q46" s="1777"/>
      <c r="R46" s="714"/>
      <c r="S46" s="2325" t="str">
        <f>INDEX(PT_DIFFERENTIATION_NUM_TER,MATCH(B46,PT_DIFFERENTIATION_TER_ID,0))</f>
        <v>.</v>
      </c>
      <c r="T46" s="1888" t="s">
        <v>397</v>
      </c>
      <c r="U46" s="661"/>
      <c r="V46" s="2522"/>
      <c r="W46" s="2522"/>
      <c r="X46" s="2522"/>
      <c r="Y46" s="2522"/>
      <c r="Z46" s="2522"/>
      <c r="AA46" s="2523"/>
      <c r="AB46" s="2319"/>
      <c r="AC46" s="2522"/>
      <c r="AD46" s="2522"/>
      <c r="AE46" s="2522"/>
      <c r="AF46" s="2522"/>
      <c r="AG46" s="2522"/>
      <c r="AH46" s="2522"/>
      <c r="AI46" s="2522"/>
      <c r="AJ46" s="2523"/>
      <c r="AK46" s="1623" t="s">
        <v>398</v>
      </c>
      <c r="AM46" s="1990"/>
      <c r="AN46" s="1990" t="str">
        <f>IF(T46="","",T46)</f>
        <v>Территория действия тарифа</v>
      </c>
      <c r="AO46" s="1990"/>
      <c r="AP46" s="1990"/>
    </row>
    <row customHeight="1" ht="23.25">
      <c r="A47" s="1633" t="s">
        <v>201</v>
      </c>
      <c r="B47" s="1633" t="s">
        <v>202</v>
      </c>
      <c r="C47" s="1633" t="s">
        <v>203</v>
      </c>
      <c r="D47" s="1633"/>
      <c r="E47" s="2563"/>
      <c r="F47" s="2563"/>
      <c r="G47" s="2562">
        <v>1</v>
      </c>
      <c r="H47" s="1633"/>
      <c r="I47" s="1633"/>
      <c r="J47" s="1633"/>
      <c r="K47" s="1633"/>
      <c r="L47" s="1676"/>
      <c r="M47" s="1976"/>
      <c r="N47" s="1976"/>
      <c r="O47" s="1976"/>
      <c r="P47" s="1778"/>
      <c r="Q47" s="1777"/>
      <c r="R47" s="714"/>
      <c r="S47" s="2325" t="str">
        <f>INDEX(PT_DIFFERENTIATION_NUM_CS,MATCH(C47,PT_DIFFERENTIATION_CS_ID,0))</f>
        <v>..</v>
      </c>
      <c r="T47" s="670" t="s">
        <v>399</v>
      </c>
      <c r="U47" s="661"/>
      <c r="V47" s="2522"/>
      <c r="W47" s="2522"/>
      <c r="X47" s="2522"/>
      <c r="Y47" s="2522"/>
      <c r="Z47" s="2522"/>
      <c r="AA47" s="2523"/>
      <c r="AB47" s="2319"/>
      <c r="AC47" s="2522"/>
      <c r="AD47" s="2522"/>
      <c r="AE47" s="2522"/>
      <c r="AF47" s="2522"/>
      <c r="AG47" s="2522"/>
      <c r="AH47" s="2522"/>
      <c r="AI47" s="2522"/>
      <c r="AJ47" s="2523"/>
      <c r="AK47" s="1623" t="s">
        <v>400</v>
      </c>
      <c r="AM47" s="1990"/>
      <c r="AN47" s="1990" t="str">
        <f>IF(T47="","",T47)</f>
        <v>Наименование системы теплоснабжения </v>
      </c>
      <c r="AO47" s="1990"/>
      <c r="AP47" s="1990"/>
    </row>
    <row customHeight="1" ht="21">
      <c r="A48" s="1633" t="s">
        <v>201</v>
      </c>
      <c r="B48" s="1633" t="s">
        <v>202</v>
      </c>
      <c r="C48" s="1633" t="s">
        <v>203</v>
      </c>
      <c r="D48" s="1633" t="s">
        <v>204</v>
      </c>
      <c r="E48" s="2563"/>
      <c r="F48" s="2563"/>
      <c r="G48" s="2563"/>
      <c r="H48" s="2562">
        <v>1</v>
      </c>
      <c r="I48" s="1633"/>
      <c r="J48" s="1633"/>
      <c r="K48" s="1633"/>
      <c r="L48" s="1676"/>
      <c r="M48" s="1976"/>
      <c r="N48" s="1976"/>
      <c r="O48" s="1976"/>
      <c r="P48" s="1778"/>
      <c r="Q48" s="1777"/>
      <c r="R48" s="714"/>
      <c r="S48" s="2325" t="str">
        <f>INDEX(PT_DIFFERENTIATION_NUM_IST_TE,MATCH(D48,PT_DIFFERENTIATION_IST_TE_ID,0))</f>
        <v>...</v>
      </c>
      <c r="T48" s="671" t="s">
        <v>401</v>
      </c>
      <c r="U48" s="661"/>
      <c r="V48" s="2522"/>
      <c r="W48" s="2522"/>
      <c r="X48" s="2522"/>
      <c r="Y48" s="2522"/>
      <c r="Z48" s="2522"/>
      <c r="AA48" s="2523"/>
      <c r="AB48" s="2319"/>
      <c r="AC48" s="2522"/>
      <c r="AD48" s="2522"/>
      <c r="AE48" s="2522"/>
      <c r="AF48" s="2522"/>
      <c r="AG48" s="2522"/>
      <c r="AH48" s="2522"/>
      <c r="AI48" s="2522"/>
      <c r="AJ48" s="2523"/>
      <c r="AK48" s="1623" t="s">
        <v>402</v>
      </c>
      <c r="AM48" s="1990"/>
      <c r="AN48" s="1990" t="str">
        <f>IF(T48="","",T48)</f>
        <v>Источник тепловой энергии  </v>
      </c>
      <c r="AO48" s="1990"/>
      <c r="AP48" s="1990"/>
    </row>
    <row s="19272" customFormat="1" customHeight="1" ht="0">
      <c r="A49" s="1741" t="s">
        <v>201</v>
      </c>
      <c r="B49" s="1741" t="s">
        <v>202</v>
      </c>
      <c r="C49" s="1741" t="s">
        <v>203</v>
      </c>
      <c r="D49" s="1741" t="s">
        <v>204</v>
      </c>
      <c r="E49" s="2563"/>
      <c r="F49" s="2563"/>
      <c r="G49" s="2563"/>
      <c r="H49" s="2563"/>
      <c r="I49" s="2392" t="str">
        <f>S48&amp;".1"</f>
        <v>....1</v>
      </c>
      <c r="J49" s="1741"/>
      <c r="K49" s="1741"/>
      <c r="L49" s="1747" t="s">
        <v>403</v>
      </c>
      <c r="M49" s="1611"/>
      <c r="N49" s="1611"/>
      <c r="O49" s="1611"/>
      <c r="P49" s="2531">
        <v>1</v>
      </c>
      <c r="Q49" s="2321"/>
      <c r="R49" s="717"/>
      <c r="S49" s="1404"/>
      <c r="T49" s="1749"/>
      <c r="U49" s="1750"/>
      <c r="V49" s="2570"/>
      <c r="W49" s="2570"/>
      <c r="X49" s="2570"/>
      <c r="Y49" s="2570"/>
      <c r="Z49" s="2570"/>
      <c r="AA49" s="2571"/>
      <c r="AB49" s="2327"/>
      <c r="AC49" s="2570"/>
      <c r="AD49" s="2570"/>
      <c r="AE49" s="2570"/>
      <c r="AF49" s="2570"/>
      <c r="AG49" s="2570"/>
      <c r="AH49" s="2570"/>
      <c r="AI49" s="2570"/>
      <c r="AJ49" s="2571"/>
      <c r="AK49" s="1751"/>
      <c r="AM49" s="1990"/>
      <c r="AN49" s="1990" t="str">
        <f>IF(T49="","",T49)</f>
        <v/>
      </c>
      <c r="AO49" s="1990"/>
      <c r="AP49" s="1990"/>
    </row>
    <row s="19272" customFormat="1" customHeight="1" ht="0">
      <c r="A50" s="1741" t="s">
        <v>201</v>
      </c>
      <c r="B50" s="1741" t="s">
        <v>202</v>
      </c>
      <c r="C50" s="1741" t="s">
        <v>203</v>
      </c>
      <c r="D50" s="1741" t="s">
        <v>204</v>
      </c>
      <c r="E50" s="2563"/>
      <c r="F50" s="2563"/>
      <c r="G50" s="2563"/>
      <c r="H50" s="2563"/>
      <c r="I50" s="2376"/>
      <c r="J50" s="2392" t="str">
        <f>S48&amp;".1"</f>
        <v>....1</v>
      </c>
      <c r="K50" s="1741"/>
      <c r="L50" s="1747"/>
      <c r="M50" s="1611"/>
      <c r="N50" s="1611"/>
      <c r="O50" s="1611"/>
      <c r="P50" s="2531"/>
      <c r="Q50" s="2531">
        <v>1</v>
      </c>
      <c r="R50" s="718"/>
      <c r="S50" s="1404"/>
      <c r="T50" s="1765"/>
      <c r="U50" s="1750"/>
      <c r="V50" s="2570"/>
      <c r="W50" s="2570"/>
      <c r="X50" s="2570"/>
      <c r="Y50" s="2570"/>
      <c r="Z50" s="2570"/>
      <c r="AA50" s="2571"/>
      <c r="AB50" s="2327"/>
      <c r="AC50" s="2570"/>
      <c r="AD50" s="2570"/>
      <c r="AE50" s="2570"/>
      <c r="AF50" s="2570"/>
      <c r="AG50" s="2570"/>
      <c r="AH50" s="2570"/>
      <c r="AI50" s="2570"/>
      <c r="AJ50" s="2571"/>
      <c r="AK50" s="1751"/>
      <c r="AM50" s="1990"/>
      <c r="AN50" s="1990" t="str">
        <f>IF(T50="","",T50)</f>
        <v/>
      </c>
      <c r="AO50" s="1990"/>
      <c r="AP50" s="1990"/>
    </row>
    <row customHeight="1" ht="21">
      <c r="A51" s="1633" t="s">
        <v>201</v>
      </c>
      <c r="B51" s="1633" t="s">
        <v>202</v>
      </c>
      <c r="C51" s="1633" t="s">
        <v>203</v>
      </c>
      <c r="D51" s="1633" t="s">
        <v>204</v>
      </c>
      <c r="E51" s="2563"/>
      <c r="F51" s="2563"/>
      <c r="G51" s="2563"/>
      <c r="H51" s="2563"/>
      <c r="I51" s="2376"/>
      <c r="J51" s="2376"/>
      <c r="K51" s="2308" t="str">
        <f>S48&amp;".1"</f>
        <v>....1</v>
      </c>
      <c r="L51" s="1676"/>
      <c r="P51" s="2531"/>
      <c r="Q51" s="2531"/>
      <c r="R51" s="718">
        <v>1</v>
      </c>
      <c r="S51" s="2329" t="str">
        <f>$K51</f>
        <v>....1</v>
      </c>
      <c r="T51" s="2328"/>
      <c r="U51" s="661"/>
      <c r="V51" s="1112"/>
      <c r="W51" s="1622"/>
      <c r="X51" s="2322"/>
      <c r="Y51" s="2309" t="s">
        <v>59</v>
      </c>
      <c r="Z51" s="2322"/>
      <c r="AA51" s="2309" t="s">
        <v>59</v>
      </c>
      <c r="AB51" s="2331"/>
      <c r="AC51" s="2330" t="s">
        <v>24</v>
      </c>
      <c r="AD51" s="1112"/>
      <c r="AE51" s="1622"/>
      <c r="AF51" s="2322"/>
      <c r="AG51" s="2309" t="s">
        <v>59</v>
      </c>
      <c r="AH51" s="2322"/>
      <c r="AI51" s="2309" t="s">
        <v>59</v>
      </c>
      <c r="AJ51" s="1714"/>
      <c r="AK51" s="2557" t="s">
        <v>478</v>
      </c>
      <c r="AL51" s="2002">
        <f>STRCHECKDATE(#REF!)</f>
      </c>
      <c r="AM51" s="1990"/>
      <c r="AN51" s="1990" t="str">
        <f>IF(T51="","",T51)</f>
        <v/>
      </c>
      <c r="AO51" s="1990"/>
      <c r="AP51" s="1990"/>
    </row>
    <row customHeight="1" ht="11.25">
      <c r="A52" s="1633" t="s">
        <v>201</v>
      </c>
      <c r="B52" s="1633" t="s">
        <v>202</v>
      </c>
      <c r="C52" s="1633" t="s">
        <v>203</v>
      </c>
      <c r="D52" s="1633" t="s">
        <v>204</v>
      </c>
      <c r="E52" s="2563"/>
      <c r="F52" s="2563"/>
      <c r="G52" s="2563"/>
      <c r="H52" s="2563"/>
      <c r="I52" s="2376"/>
      <c r="J52" s="2392"/>
      <c r="K52" s="1633"/>
      <c r="L52" s="1676"/>
      <c r="P52" s="2531"/>
      <c r="Q52" s="2531"/>
      <c r="R52" s="717"/>
      <c r="S52" s="1644"/>
      <c r="T52" s="648" t="s">
        <v>465</v>
      </c>
      <c r="U52" s="961"/>
      <c r="V52" s="961"/>
      <c r="W52" s="961"/>
      <c r="X52" s="961"/>
      <c r="Y52" s="961"/>
      <c r="Z52" s="961"/>
      <c r="AA52" s="685"/>
      <c r="AB52" s="961"/>
      <c r="AC52" s="961"/>
      <c r="AD52" s="961"/>
      <c r="AE52" s="961"/>
      <c r="AF52" s="961"/>
      <c r="AG52" s="961"/>
      <c r="AH52" s="961"/>
      <c r="AI52" s="961"/>
      <c r="AJ52" s="685"/>
      <c r="AK52" s="2559"/>
      <c r="AM52" s="1990"/>
      <c r="AN52" s="1990" t="str">
        <f>IF(T52="","",T52)</f>
        <v>Добавить строку</v>
      </c>
      <c r="AO52" s="1990"/>
      <c r="AP52" s="1990"/>
    </row>
    <row s="19272" customFormat="1" customHeight="1" ht="5.25">
      <c r="A53" s="1741" t="s">
        <v>201</v>
      </c>
      <c r="B53" s="1741" t="s">
        <v>202</v>
      </c>
      <c r="C53" s="1741" t="s">
        <v>203</v>
      </c>
      <c r="D53" s="1741" t="s">
        <v>204</v>
      </c>
      <c r="E53" s="2563"/>
      <c r="F53" s="2563"/>
      <c r="G53" s="2563"/>
      <c r="H53" s="2563"/>
      <c r="I53" s="2392"/>
      <c r="J53" s="1741"/>
      <c r="K53" s="1741"/>
      <c r="L53" s="1747"/>
      <c r="M53" s="1611"/>
      <c r="N53" s="1611"/>
      <c r="O53" s="1611"/>
      <c r="P53" s="2531"/>
      <c r="Q53" s="2321"/>
      <c r="R53" s="717"/>
      <c r="S53" s="1752"/>
      <c r="T53" s="1753" t="s">
        <v>412</v>
      </c>
      <c r="U53" s="1754"/>
      <c r="V53" s="1754"/>
      <c r="W53" s="1754"/>
      <c r="X53" s="1754"/>
      <c r="Y53" s="1754"/>
      <c r="Z53" s="1754"/>
      <c r="AA53" s="1754"/>
      <c r="AB53" s="1754"/>
      <c r="AC53" s="1754"/>
      <c r="AD53" s="1754"/>
      <c r="AE53" s="1754"/>
      <c r="AF53" s="1754"/>
      <c r="AG53" s="1754"/>
      <c r="AH53" s="1754"/>
      <c r="AI53" s="1754"/>
      <c r="AJ53" s="1754"/>
      <c r="AK53" s="1755"/>
      <c r="AM53" s="1990"/>
      <c r="AN53" s="1990" t="str">
        <f>IF(T53="","",T53)</f>
        <v>Добавить группу потребителей</v>
      </c>
      <c r="AO53" s="1990"/>
      <c r="AP53" s="1990"/>
    </row>
    <row s="19269" customFormat="1" customHeight="1" ht="5.25">
      <c r="A54" s="1741" t="s">
        <v>201</v>
      </c>
      <c r="B54" s="1741" t="s">
        <v>202</v>
      </c>
      <c r="C54" s="1741" t="s">
        <v>203</v>
      </c>
      <c r="D54" s="1741" t="s">
        <v>204</v>
      </c>
      <c r="E54" s="2563"/>
      <c r="F54" s="2563"/>
      <c r="G54" s="2563"/>
      <c r="H54" s="2562"/>
      <c r="I54" s="1741"/>
      <c r="J54" s="1741"/>
      <c r="K54" s="1741"/>
      <c r="L54" s="1747"/>
      <c r="M54" s="1744"/>
      <c r="N54" s="1744"/>
      <c r="O54" s="712"/>
      <c r="P54" s="741"/>
      <c r="Q54" s="1710"/>
      <c r="R54" s="1766"/>
      <c r="S54" s="1752"/>
      <c r="T54" s="1753"/>
      <c r="U54" s="1754"/>
      <c r="V54" s="1754"/>
      <c r="W54" s="1754"/>
      <c r="X54" s="1754"/>
      <c r="Y54" s="1754"/>
      <c r="Z54" s="1754"/>
      <c r="AA54" s="1754"/>
      <c r="AB54" s="1754"/>
      <c r="AC54" s="1754"/>
      <c r="AD54" s="1754"/>
      <c r="AE54" s="1754"/>
      <c r="AF54" s="1754"/>
      <c r="AG54" s="1754"/>
      <c r="AH54" s="1754"/>
      <c r="AI54" s="1754"/>
      <c r="AJ54" s="1754"/>
      <c r="AK54" s="1755"/>
      <c r="AL54" s="2002"/>
      <c r="AM54" s="1990"/>
      <c r="AN54" s="1990" t="str">
        <f>IF(T54="","",T54)</f>
        <v/>
      </c>
      <c r="AO54" s="1990"/>
      <c r="AP54" s="1990"/>
    </row>
    <row s="19252" customFormat="1" customHeight="1" ht="5.25">
      <c r="A55" s="1741" t="s">
        <v>201</v>
      </c>
      <c r="B55" s="1741" t="s">
        <v>202</v>
      </c>
      <c r="C55" s="1741" t="s">
        <v>203</v>
      </c>
      <c r="D55" s="1740"/>
      <c r="E55" s="2563"/>
      <c r="F55" s="2563"/>
      <c r="G55" s="2562"/>
      <c r="H55" s="1740"/>
      <c r="I55" s="1740"/>
      <c r="J55" s="1740"/>
      <c r="K55" s="1740"/>
      <c r="L55" s="1743"/>
      <c r="M55" s="1744"/>
      <c r="N55" s="1744"/>
      <c r="O55" s="712"/>
      <c r="P55" s="1682"/>
      <c r="Q55" s="1683"/>
      <c r="R55" s="1682"/>
      <c r="S55" s="1688"/>
      <c r="T55" s="1691" t="s">
        <v>414</v>
      </c>
      <c r="U55" s="1690"/>
      <c r="V55" s="1690"/>
      <c r="W55" s="1690"/>
      <c r="X55" s="1690"/>
      <c r="Y55" s="1690"/>
      <c r="Z55" s="1690"/>
      <c r="AA55" s="1690"/>
      <c r="AB55" s="1690"/>
      <c r="AC55" s="1690"/>
      <c r="AD55" s="1690"/>
      <c r="AE55" s="1690"/>
      <c r="AF55" s="1690"/>
      <c r="AG55" s="1690"/>
      <c r="AH55" s="1690"/>
      <c r="AI55" s="1690"/>
      <c r="AJ55" s="1690"/>
      <c r="AK55" s="1690"/>
      <c r="AM55" s="1616"/>
      <c r="AN55" s="1616" t="str">
        <f>IF(T55="","",T55)</f>
        <v>Добавить источник для дифференциации</v>
      </c>
      <c r="AO55" s="1616"/>
      <c r="AP55" s="1616"/>
    </row>
    <row s="19252" customFormat="1" customHeight="1" ht="5.25">
      <c r="A56" s="1741" t="s">
        <v>201</v>
      </c>
      <c r="B56" s="1741" t="s">
        <v>202</v>
      </c>
      <c r="C56" s="1740"/>
      <c r="D56" s="1740"/>
      <c r="E56" s="2563"/>
      <c r="F56" s="2562"/>
      <c r="G56" s="1740"/>
      <c r="H56" s="1740"/>
      <c r="I56" s="1740"/>
      <c r="J56" s="1740"/>
      <c r="K56" s="1740"/>
      <c r="L56" s="1743"/>
      <c r="M56" s="1745"/>
      <c r="N56" s="1745"/>
      <c r="O56" s="712"/>
      <c r="P56" s="1682"/>
      <c r="Q56" s="1683"/>
      <c r="R56" s="1682"/>
      <c r="S56" s="1688"/>
      <c r="T56" s="1691" t="s">
        <v>251</v>
      </c>
      <c r="U56" s="1690"/>
      <c r="V56" s="1690"/>
      <c r="W56" s="1690"/>
      <c r="X56" s="1690"/>
      <c r="Y56" s="1690"/>
      <c r="Z56" s="1690"/>
      <c r="AA56" s="1690"/>
      <c r="AB56" s="1690"/>
      <c r="AC56" s="1690"/>
      <c r="AD56" s="1690"/>
      <c r="AE56" s="1690"/>
      <c r="AF56" s="1690"/>
      <c r="AG56" s="1690"/>
      <c r="AH56" s="1690"/>
      <c r="AI56" s="1690"/>
      <c r="AJ56" s="1690"/>
      <c r="AK56" s="1690"/>
      <c r="AM56" s="1616"/>
      <c r="AN56" s="1616" t="str">
        <f>IF(T56="","",T56)</f>
        <v>Добавить централизованную систему для дифференциации</v>
      </c>
      <c r="AO56" s="1616"/>
      <c r="AP56" s="1616"/>
    </row>
    <row s="19272" customFormat="1" customHeight="1" ht="5.25">
      <c r="A57" s="1741" t="s">
        <v>201</v>
      </c>
      <c r="B57" s="1741"/>
      <c r="C57" s="1741"/>
      <c r="D57" s="1741"/>
      <c r="E57" s="2563"/>
      <c r="F57" s="1741"/>
      <c r="G57" s="1741"/>
      <c r="H57" s="1741"/>
      <c r="I57" s="1741"/>
      <c r="J57" s="1741"/>
      <c r="K57" s="1741"/>
      <c r="L57" s="1747"/>
      <c r="M57" s="1745"/>
      <c r="N57" s="1745"/>
      <c r="O57" s="712"/>
      <c r="P57" s="741"/>
      <c r="Q57" s="1710"/>
      <c r="R57" s="741"/>
      <c r="S57" s="1688"/>
      <c r="T57" s="1691" t="s">
        <v>252</v>
      </c>
      <c r="U57" s="1690"/>
      <c r="V57" s="1690"/>
      <c r="W57" s="1690"/>
      <c r="X57" s="1690"/>
      <c r="Y57" s="1690"/>
      <c r="Z57" s="1690"/>
      <c r="AA57" s="1690"/>
      <c r="AB57" s="1690"/>
      <c r="AC57" s="1690"/>
      <c r="AD57" s="1690"/>
      <c r="AE57" s="1690"/>
      <c r="AF57" s="1690"/>
      <c r="AG57" s="1690"/>
      <c r="AH57" s="1690"/>
      <c r="AI57" s="1690"/>
      <c r="AJ57" s="1690"/>
      <c r="AK57" s="1690"/>
      <c r="AM57" s="1990"/>
      <c r="AN57" s="1990" t="str">
        <f>IF(T57="","",T57)</f>
        <v>Добавить территорию для дифференциации</v>
      </c>
      <c r="AO57" s="1990"/>
      <c r="AP57" s="1990"/>
    </row>
    <row s="19272" customFormat="1" customHeight="1" ht="5.25">
      <c r="A58" s="1741" t="s">
        <v>201</v>
      </c>
      <c r="B58" s="1741"/>
      <c r="C58" s="1741"/>
      <c r="D58" s="1741"/>
      <c r="E58" s="2562"/>
      <c r="F58" s="1741"/>
      <c r="G58" s="1741"/>
      <c r="H58" s="1741"/>
      <c r="I58" s="1741"/>
      <c r="J58" s="1741"/>
      <c r="K58" s="1741"/>
      <c r="L58" s="1747"/>
      <c r="M58" s="1745"/>
      <c r="N58" s="1745"/>
      <c r="O58" s="712"/>
      <c r="P58" s="741"/>
      <c r="Q58" s="1710"/>
      <c r="R58" s="741"/>
      <c r="S58" s="1688"/>
      <c r="T58" s="1691" t="s">
        <v>252</v>
      </c>
      <c r="U58" s="1690"/>
      <c r="V58" s="1690"/>
      <c r="W58" s="1690"/>
      <c r="X58" s="1690"/>
      <c r="Y58" s="1690"/>
      <c r="Z58" s="1690"/>
      <c r="AA58" s="1690"/>
      <c r="AB58" s="1690"/>
      <c r="AC58" s="1690"/>
      <c r="AD58" s="1690"/>
      <c r="AE58" s="1690"/>
      <c r="AF58" s="1690"/>
      <c r="AG58" s="1690"/>
      <c r="AH58" s="1690"/>
      <c r="AI58" s="1690"/>
      <c r="AJ58" s="1690"/>
      <c r="AK58" s="1690"/>
      <c r="AM58" s="1990"/>
      <c r="AN58" s="1990" t="str">
        <f>IF(T58="","",T58)</f>
        <v>Добавить территорию для дифференциации</v>
      </c>
      <c r="AO58" s="1990"/>
      <c r="AP58" s="1990"/>
    </row>
    <row s="19252" customFormat="1" customHeight="1" ht="5.25">
      <c r="A59" s="1740"/>
      <c r="B59" s="1740"/>
      <c r="C59" s="1740"/>
      <c r="D59" s="1740"/>
      <c r="E59" s="1741"/>
      <c r="F59" s="1740"/>
      <c r="G59" s="1740"/>
      <c r="H59" s="1740"/>
      <c r="I59" s="1740"/>
      <c r="J59" s="1740"/>
      <c r="K59" s="1740"/>
      <c r="L59" s="1743"/>
      <c r="M59" s="1745"/>
      <c r="N59" s="1745"/>
      <c r="O59" s="712"/>
      <c r="P59" s="1682"/>
      <c r="Q59" s="1683"/>
      <c r="R59" s="1682"/>
      <c r="S59" s="1688"/>
      <c r="T59" s="1691" t="s">
        <v>253</v>
      </c>
      <c r="U59" s="1690"/>
      <c r="V59" s="1690"/>
      <c r="W59" s="1690"/>
      <c r="X59" s="1690"/>
      <c r="Y59" s="1690"/>
      <c r="Z59" s="1690"/>
      <c r="AA59" s="1690"/>
      <c r="AB59" s="1690"/>
      <c r="AC59" s="1690"/>
      <c r="AD59" s="1690"/>
      <c r="AE59" s="1690"/>
      <c r="AF59" s="1690"/>
      <c r="AG59" s="1690"/>
      <c r="AH59" s="1690"/>
      <c r="AI59" s="1690"/>
      <c r="AJ59" s="1690"/>
      <c r="AK59" s="1690"/>
      <c r="AM59" s="1616"/>
      <c r="AN59" s="1616" t="str">
        <f>IF(T59="","",T59)</f>
        <v>Добавить наименование тарифа</v>
      </c>
      <c r="AO59" s="1616"/>
      <c r="AP59" s="1616"/>
    </row>
    <row customHeight="1" ht="11.25">
      <c r="M60" s="1997"/>
      <c r="N60" s="1997"/>
      <c r="O60" s="2001"/>
      <c r="P60" s="1732"/>
      <c r="Q60" s="1732"/>
      <c r="R60" s="1997"/>
      <c r="S60" s="1997"/>
      <c r="AL60" s="1997"/>
      <c r="AM60" s="1997"/>
      <c r="AN60" s="1997"/>
      <c r="AO60" s="1997"/>
      <c r="AP60" s="1997"/>
    </row>
    <row customHeight="1" ht="18.75">
      <c r="O61" s="2001"/>
      <c r="S61" s="1618"/>
      <c r="T61" s="2526"/>
      <c r="U61" s="2526"/>
      <c r="V61" s="2526"/>
      <c r="W61" s="2526"/>
      <c r="X61" s="2526"/>
      <c r="Y61" s="2526"/>
      <c r="Z61" s="2526"/>
      <c r="AA61" s="2526"/>
      <c r="AB61" s="2526"/>
      <c r="AC61" s="2526"/>
      <c r="AD61" s="2526"/>
      <c r="AE61" s="2526"/>
      <c r="AF61" s="2526"/>
      <c r="AG61" s="2526"/>
      <c r="AH61" s="2526"/>
      <c r="AI61" s="2526"/>
      <c r="AJ61" s="2526"/>
      <c r="AK61" s="2526"/>
    </row>
    <row customHeight="1" ht="19.5">
      <c r="O62" s="2001"/>
      <c r="T62" s="2526"/>
      <c r="U62" s="2526"/>
      <c r="V62" s="2526"/>
      <c r="W62" s="2526"/>
      <c r="X62" s="2526"/>
      <c r="Y62" s="2526"/>
      <c r="Z62" s="2526"/>
      <c r="AA62" s="2526"/>
      <c r="AB62" s="2526"/>
      <c r="AC62" s="2526"/>
      <c r="AD62" s="2526"/>
      <c r="AE62" s="2526"/>
      <c r="AF62" s="2526"/>
      <c r="AG62" s="2526"/>
      <c r="AH62" s="2526"/>
      <c r="AI62" s="2526"/>
      <c r="AJ62" s="2526"/>
      <c r="AK62" s="2526"/>
    </row>
    <row customHeight="1" ht="14.25">
      <c r="O63" s="2001"/>
      <c r="T63" s="2320"/>
      <c r="U63" s="2320"/>
      <c r="V63" s="2320"/>
      <c r="W63" s="2320"/>
      <c r="X63" s="2320"/>
      <c r="Y63" s="2320"/>
      <c r="Z63" s="2320"/>
      <c r="AA63" s="2320"/>
      <c r="AB63" s="2320"/>
      <c r="AC63" s="2320"/>
      <c r="AD63" s="2320"/>
      <c r="AE63" s="2320"/>
      <c r="AF63" s="2320"/>
      <c r="AG63" s="2320"/>
      <c r="AH63" s="2320"/>
      <c r="AI63" s="2320"/>
      <c r="AJ63" s="2320"/>
      <c r="AK63" s="2320"/>
    </row>
    <row customHeight="1" ht="18.75">
      <c r="O64" s="2001"/>
      <c r="T64" s="2526"/>
      <c r="U64" s="2526"/>
      <c r="V64" s="2526"/>
      <c r="W64" s="2526"/>
      <c r="X64" s="2526"/>
      <c r="Y64" s="2526"/>
      <c r="Z64" s="2526"/>
      <c r="AA64" s="2526"/>
      <c r="AB64" s="2526"/>
      <c r="AC64" s="2526"/>
      <c r="AD64" s="2526"/>
      <c r="AE64" s="2526"/>
      <c r="AF64" s="2526"/>
      <c r="AG64" s="2526"/>
      <c r="AH64" s="2526"/>
      <c r="AI64" s="2526"/>
      <c r="AJ64" s="2526"/>
      <c r="AK64" s="2526"/>
    </row>
    <row customHeight="1" ht="15.75">
      <c r="O65" s="2001"/>
      <c r="T65" s="2526"/>
      <c r="U65" s="2526"/>
      <c r="V65" s="2526"/>
      <c r="W65" s="2526"/>
      <c r="X65" s="2526"/>
      <c r="Y65" s="2526"/>
      <c r="Z65" s="2526"/>
      <c r="AA65" s="2526"/>
      <c r="AB65" s="2526"/>
      <c r="AC65" s="2526"/>
      <c r="AD65" s="2526"/>
      <c r="AE65" s="2526"/>
      <c r="AF65" s="2526"/>
      <c r="AG65" s="2526"/>
      <c r="AH65" s="2526"/>
      <c r="AI65" s="2526"/>
      <c r="AJ65" s="2526"/>
      <c r="AK65" s="2526"/>
    </row>
    <row customHeight="1" ht="14.25">
      <c r="O66" s="2001"/>
    </row>
  </sheetData>
  <sheetProtection sort="0" autoFilter="0" insertRows="0" insertColumns="1" deleteRows="0" deleteColumns="0"/>
  <mergeCells count="97">
    <mergeCell ref="T65:AK65"/>
    <mergeCell ref="V50:AA50"/>
    <mergeCell ref="AC50:AJ50"/>
    <mergeCell ref="AK51:AK52"/>
    <mergeCell ref="T61:AK61"/>
    <mergeCell ref="T62:AK62"/>
    <mergeCell ref="T64:AK64"/>
    <mergeCell ref="I49:I53"/>
    <mergeCell ref="P49:P53"/>
    <mergeCell ref="V49:AA49"/>
    <mergeCell ref="AC49:AJ49"/>
    <mergeCell ref="J50:J52"/>
    <mergeCell ref="Q50:Q52"/>
    <mergeCell ref="Y43:Z43"/>
    <mergeCell ref="AG43:AH43"/>
    <mergeCell ref="Y44:Z44"/>
    <mergeCell ref="AG44:AH44"/>
    <mergeCell ref="E45:E58"/>
    <mergeCell ref="V45:AA45"/>
    <mergeCell ref="AC45:AJ45"/>
    <mergeCell ref="F46:F56"/>
    <mergeCell ref="V46:AA46"/>
    <mergeCell ref="AC46:AJ46"/>
    <mergeCell ref="G47:G55"/>
    <mergeCell ref="V47:AA47"/>
    <mergeCell ref="AC47:AJ47"/>
    <mergeCell ref="H48:H54"/>
    <mergeCell ref="V48:AA48"/>
    <mergeCell ref="AC48:AJ48"/>
    <mergeCell ref="S39:AJ39"/>
    <mergeCell ref="AK39:AK43"/>
    <mergeCell ref="S40:S43"/>
    <mergeCell ref="T40:T43"/>
    <mergeCell ref="V40:Z40"/>
    <mergeCell ref="AA40:AA43"/>
    <mergeCell ref="AB40:AB43"/>
    <mergeCell ref="AC40:AC43"/>
    <mergeCell ref="AD40:AH40"/>
    <mergeCell ref="AI40:AI43"/>
    <mergeCell ref="AJ40:AJ43"/>
    <mergeCell ref="V41:W42"/>
    <mergeCell ref="X41:Z42"/>
    <mergeCell ref="AD41:AE41"/>
    <mergeCell ref="AF41:AH42"/>
    <mergeCell ref="AD42:AE42"/>
    <mergeCell ref="S36:T36"/>
    <mergeCell ref="V36:Z36"/>
    <mergeCell ref="AC36:AH36"/>
    <mergeCell ref="V38:AA38"/>
    <mergeCell ref="AC38:AI38"/>
    <mergeCell ref="S33:T33"/>
    <mergeCell ref="V33:Z33"/>
    <mergeCell ref="AC33:AH33"/>
    <mergeCell ref="S35:T35"/>
    <mergeCell ref="V35:Z35"/>
    <mergeCell ref="AC35:AH35"/>
    <mergeCell ref="S31:T31"/>
    <mergeCell ref="V31:Z31"/>
    <mergeCell ref="AC31:AH31"/>
    <mergeCell ref="S32:T32"/>
    <mergeCell ref="V32:Z32"/>
    <mergeCell ref="AC32:AH32"/>
    <mergeCell ref="AK8:AK12"/>
    <mergeCell ref="S27:AH27"/>
    <mergeCell ref="S30:T30"/>
    <mergeCell ref="V30:Z30"/>
    <mergeCell ref="AC30:AH30"/>
    <mergeCell ref="J7:J12"/>
    <mergeCell ref="Q7:Q12"/>
    <mergeCell ref="V7:AA7"/>
    <mergeCell ref="AC7:AJ7"/>
    <mergeCell ref="S28:AH28"/>
    <mergeCell ref="K8:K11"/>
    <mergeCell ref="R8:R11"/>
    <mergeCell ref="S8:S11"/>
    <mergeCell ref="T8:T11"/>
    <mergeCell ref="X8:X11"/>
    <mergeCell ref="Y8:Y11"/>
    <mergeCell ref="Z8:Z11"/>
    <mergeCell ref="AA8:AA11"/>
    <mergeCell ref="AC8:AC10"/>
    <mergeCell ref="E2:E17"/>
    <mergeCell ref="V2:AA2"/>
    <mergeCell ref="AC2:AJ2"/>
    <mergeCell ref="F3:F16"/>
    <mergeCell ref="V3:AA3"/>
    <mergeCell ref="AC3:AJ3"/>
    <mergeCell ref="G4:G15"/>
    <mergeCell ref="V4:AA4"/>
    <mergeCell ref="AC4:AJ4"/>
    <mergeCell ref="H5:H14"/>
    <mergeCell ref="V5:AA5"/>
    <mergeCell ref="AC5:AJ5"/>
    <mergeCell ref="I6:I13"/>
    <mergeCell ref="P6:P13"/>
    <mergeCell ref="V6:AA6"/>
    <mergeCell ref="AC6:AJ6"/>
  </mergeCells>
  <dataValidations count="10">
    <dataValidation type="decimal" allowBlank="1" showErrorMessage="1" errorTitle="Ошибка" error="Допускается ввод только действительных чисел!" sqref="AC51">
      <formula1>-9.99999999999999E+23</formula1>
      <formula2>9.99999999999999E+23</formula2>
    </dataValidation>
    <dataValidation allowBlank="1" sqref="S131125:AK131131 S196661:AK196667 S262197:AK262203 S327733:AK327739 S393269:AK393275 S458805:AK458811 S524341:AK524347 S589877:AK589883 S655413:AK655419 S720949:AK720955 S786485:AK786491 S852021:AK852027 S917557:AK917563 S983093:AK983099 S65589:AK65595"/>
    <dataValidation type="list" allowBlank="1" showInputMessage="1" errorTitle="Ошибка" error="Выберите значение из списка" prompt="Выберите значение из списка" sqref="V917554:AJ917554 V983090:AJ983090 V65586:AJ65586 V131122:AJ131122 V196658:AJ196658 V262194:AJ262194 V327730:AJ327730 V393266:AJ393266 V458802:AJ458802 V524338:AJ524338 V589874:AJ589874 V655410:AJ655410 V720946:AJ720946 V786482:AJ786482 V852018:AJ852018">
      <formula1>kind_of_cons</formula1>
    </dataValidation>
    <dataValidation type="list" allowBlank="1" showInputMessage="1" showErrorMessage="1" errorTitle="Ошибка" error="Выберите значение из списка" sqref="AC983089 AC917553 AC852017 AC786481 AC720945 AC655409 AC589873 AC524337 AC458801 AC393265 AC327729 AC262193 AC196657 AC131121 AC65585">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7 Y131123 Y196659 Y262195 Y327731 Y393267 Y458803 Y524339 Y589875 Y655411 Y720947 Y786483 Y852019 Y917555 Y983091 AA131123:AB131123 AA458803:AB458803 AA196659:AB196659 AA262195:AB262195 AA327731:AB327731 AA393267:AB393267 AA524339:AB524339 AA589875:AB589875 AA655411:AB655411 AA720947:AB720947 AA786483:AB786483 AA852019:AB852019 AA917555:AB917555 AA983091:AB983091 AA65587:AB65587 AA8:AB10 Y8:Y10 AG65587 AG131123 AG196659 AG262195 AG327731 AG393267 AG458803 AG524339 AG589875 AG655411 AG720947 AG786483 AG852019 AG917555 AG983091 AI131123 AI458803 AI196659 AI262195 AI327731 AI393267 AI524339 AI589875 AI655411 AI720947 AI786483 AI852019 AI917555 AI983091 AI65587 AG8 AC8 AG19 AI51 AI19 AC19 Y51 AI8 AG51 AA51"/>
    <dataValidation type="textLength" operator="lessThanOrEqual" allowBlank="1" showInputMessage="1" showErrorMessage="1" errorTitle="Ошибка" error="Допускается ввод не более 900 символов!" sqref="AK65581:AK65588 AK131117:AK131124 AK196653:AK196660 AK262189:AK262196 AK327725:AK327732 AK393261:AK393268 AK458797:AK458804 AK524333:AK524340 AK589869:AK589876 AK655405:AK655412 AK720941:AK720948 AK786477:AK786484 AK852013:AK852020 AK917549:AK917556 AK983085:AK983092 T8:T11 T51 AB51">
      <formula1>900</formula1>
    </dataValidation>
    <dataValidation allowBlank="1" promptTitle="checkPeriodRange" sqref="W65588 W131124 W196660 W262196 W327732 W393268 W458804 W524340 W589876 W655412 W720948 W786484 W852020 W917556 W983092 W11 AE65588 AE131124 AE196660 AE262196 AE327732 AE393268 AE458804 AE524340 AE589876 AE655412 AE720948 AE786484 AE852020 AE917556 AE983092 AE11"/>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7 X131123 X196659 X262195 X327731 X393267 X458803 X524339 X589875 X655411 X720947 X786483 X852019 X917555 X983091 Z65587 Z131123 Z196659 Z262195 Z327731 Z393267 Z458803 Z524339 Z589875 Z655411 Z720947 Z786483 Z852019 Z917555 Z983091 X8:X10 Z8:Z10 AF65587 AF131123 AF196659 AF262195 AF327731 AF393267 AF458803 AF524339 AF589875 AF655411 AF720947 AF786483 AF852019 AF917555 AF983091 AH65587 AH131123 AH196659 AH262195 AH327731 AH393267 AH458803 AH524339 AH589875 AH655411 AH720947 AH786483 AH852019 AH917555 AH983091 AH8 AH51 AH19 AF19 AF8 AF51 Z51 X51"/>
    <dataValidation type="list" allowBlank="1" showInputMessage="1" showErrorMessage="1" errorTitle="Ошибка" error="Выберите значение из списка" sqref="T65587 T131123 T196659 T262195 T327731 T393267 T458803 T524339 T589875 T655411 T720947 T786483 T852019 T917555 T983091">
      <formula1>kind_of_heat_transfer</formula1>
    </dataValidation>
    <dataValidation type="list" allowBlank="1" showInputMessage="1" showErrorMessage="1" errorTitle="Ошибка" error="Выберите значение из списка" prompt="Выберите значение из списка" sqref="AD42:AE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D3E1EC-9303-6787-E367-FCA48FB6DABE}" mc:Ignorable="x14ac xr xr2 xr3">
  <sheetPr>
    <tabColor theme="6" tint="0.4"/>
  </sheetPr>
  <dimension ref="A1:BH80"/>
  <sheetViews>
    <sheetView topLeftCell="A1" showGridLines="0" zoomScale="90" workbookViewId="0">
      <selection activeCell="AS80" sqref="AS80"/>
    </sheetView>
  </sheetViews>
  <sheetFormatPr defaultColWidth="10.57421875" customHeight="1" defaultRowHeight="14.25"/>
  <cols>
    <col min="1" max="1" style="19146" width="11.57421875" hidden="1" customWidth="1"/>
    <col min="2" max="2" style="19146" width="11.00390625" hidden="1" customWidth="1"/>
    <col min="3" max="3" style="19146" width="10.57421875" hidden="1"/>
    <col min="4" max="4" style="19146" width="12.8515625" hidden="1" customWidth="1"/>
    <col min="5" max="5" style="19146" width="10.00390625" hidden="1" customWidth="1"/>
    <col min="6" max="6" style="19146" width="8.7109375" hidden="1" customWidth="1"/>
    <col min="7" max="7" style="19146" width="7.57421875" hidden="1" customWidth="1"/>
    <col min="8" max="8" style="19146" width="11.421875" hidden="1" customWidth="1"/>
    <col min="9" max="9" style="19146" width="12.00390625" hidden="1" customWidth="1"/>
    <col min="10" max="10" style="19146" width="9.8515625" hidden="1" customWidth="1"/>
    <col min="11" max="11" style="19146" width="11.421875" hidden="1" customWidth="1"/>
    <col min="12" max="12" style="19486" width="19.140625" hidden="1" customWidth="1"/>
    <col min="13" max="14" style="19228" width="12.28125" hidden="1" customWidth="1"/>
    <col min="15" max="15" style="19228" width="23.421875" hidden="1" customWidth="1"/>
    <col min="16" max="16" style="19228" width="3.7109375" hidden="1" customWidth="1"/>
    <col min="17" max="17" style="19401" width="3.7109375" hidden="1" customWidth="1"/>
    <col min="18" max="18" style="19230" width="3.7109375" customWidth="1"/>
    <col min="19" max="19" style="19231" width="12.7109375" customWidth="1"/>
    <col min="20" max="20" style="19232" width="32.00390625" customWidth="1"/>
    <col min="21" max="21" style="19232" width="0.140625" customWidth="1"/>
    <col min="22" max="25" style="19232" width="21.7109375" hidden="1" customWidth="1"/>
    <col min="26" max="26" style="19232" width="11.7109375" hidden="1" customWidth="1"/>
    <col min="27" max="27" style="19232" width="3.7109375" hidden="1" customWidth="1"/>
    <col min="28" max="28" style="19232" width="11.7109375" hidden="1" customWidth="1"/>
    <col min="29" max="29" style="19232" width="8.57421875" hidden="1" customWidth="1"/>
    <col min="30" max="32" style="19232" width="3.7109375" customWidth="1"/>
    <col min="33" max="33" style="19232" width="24.7109375" customWidth="1"/>
    <col min="34" max="36" style="19232" width="3.7109375" customWidth="1"/>
    <col min="37" max="37" style="19232" width="24.7109375" customWidth="1"/>
    <col min="38" max="40" style="19232" width="3.7109375" customWidth="1"/>
    <col min="41" max="41" style="19232" width="18.8515625" customWidth="1"/>
    <col min="42" max="44" style="19232" width="3.7109375" customWidth="1"/>
    <col min="45" max="45" style="19232" width="18.8515625" customWidth="1"/>
    <col min="46" max="49" style="19232" width="21.7109375" customWidth="1"/>
    <col min="50" max="50" style="19232" width="11.7109375" customWidth="1"/>
    <col min="51" max="51" style="19232" width="3.7109375" customWidth="1"/>
    <col min="52" max="52" style="19232" width="11.7109375" customWidth="1"/>
    <col min="53" max="53" style="19232" width="8.57421875" hidden="1" customWidth="1"/>
    <col min="54" max="54" style="19232" width="4.7109375" customWidth="1"/>
    <col min="55" max="55" style="19232" width="115.7109375" customWidth="1"/>
    <col min="56" max="57" style="19219" width="10.57421875"/>
    <col min="58" max="58" style="19219" width="11.140625" customWidth="1"/>
    <col min="59" max="60" style="19219" width="10.57421875"/>
  </cols>
  <sheetData>
    <row customHeight="1" ht="14.25" hidden="1">
      <c r="W1" s="688"/>
      <c r="Y1" s="688"/>
      <c r="Z1" s="688"/>
      <c r="AW1" s="688"/>
      <c r="AX1" s="688"/>
    </row>
    <row customHeight="1" ht="21" hidden="1">
      <c r="A2" s="1729"/>
      <c r="B2" s="1729"/>
      <c r="C2" s="1729"/>
      <c r="D2" s="1729"/>
      <c r="E2" s="2527">
        <v>1</v>
      </c>
      <c r="F2" s="1729"/>
      <c r="G2" s="1729"/>
      <c r="H2" s="1729"/>
      <c r="I2" s="1729"/>
      <c r="J2" s="1729"/>
      <c r="K2" s="1729"/>
      <c r="L2" s="1730"/>
      <c r="M2" s="1731"/>
      <c r="N2" s="1731"/>
      <c r="O2" s="1731"/>
      <c r="P2" s="1775"/>
      <c r="Q2" s="1234"/>
      <c r="R2" s="716"/>
      <c r="S2" s="1831">
        <f>INDEX(PT_DIFFERENTIATION_NUM_NTAR,MATCH(A2,PT_DIFFERENTIATION_NTAR_ID,0))</f>
      </c>
      <c r="T2" s="659" t="s">
        <v>120</v>
      </c>
      <c r="U2" s="661"/>
      <c r="V2" s="2522"/>
      <c r="W2" s="2522"/>
      <c r="X2" s="2522"/>
      <c r="Y2" s="2522"/>
      <c r="Z2" s="2522"/>
      <c r="AA2" s="2522"/>
      <c r="AB2" s="2522"/>
      <c r="AC2" s="2523"/>
      <c r="AD2" s="2521">
        <f>INDEX(PT_DIFFERENTIATION_NTAR,MATCH(A2,PT_DIFFERENTIATION_NTAR_ID,0))</f>
      </c>
      <c r="AE2" s="2522"/>
      <c r="AF2" s="2522"/>
      <c r="AG2" s="2522"/>
      <c r="AH2" s="2522"/>
      <c r="AI2" s="2522"/>
      <c r="AJ2" s="2522"/>
      <c r="AK2" s="2522"/>
      <c r="AL2" s="2522"/>
      <c r="AM2" s="2522"/>
      <c r="AN2" s="2522"/>
      <c r="AO2" s="2522"/>
      <c r="AP2" s="2522"/>
      <c r="AQ2" s="2522"/>
      <c r="AR2" s="2522"/>
      <c r="AS2" s="2522"/>
      <c r="AT2" s="2522"/>
      <c r="AU2" s="2522"/>
      <c r="AV2" s="2522"/>
      <c r="AW2" s="2522"/>
      <c r="AX2" s="2522"/>
      <c r="AY2" s="2522"/>
      <c r="AZ2" s="2522"/>
      <c r="BA2" s="2522"/>
      <c r="BB2" s="2523"/>
      <c r="BC2" s="16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861"/>
      <c r="BF2" s="861" t="str">
        <f>IF(T2="","",T2)</f>
        <v>Наименование тарифа</v>
      </c>
      <c r="BG2" s="861"/>
      <c r="BH2" s="861"/>
    </row>
    <row customHeight="1" ht="21" hidden="1">
      <c r="A3" s="1729"/>
      <c r="B3" s="1729"/>
      <c r="C3" s="1729"/>
      <c r="D3" s="1729"/>
      <c r="E3" s="2528"/>
      <c r="F3" s="2527">
        <v>1</v>
      </c>
      <c r="G3" s="1729"/>
      <c r="H3" s="1729"/>
      <c r="I3" s="1729"/>
      <c r="J3" s="1729"/>
      <c r="K3" s="1729"/>
      <c r="L3" s="1730"/>
      <c r="M3" s="1731"/>
      <c r="N3" s="1731"/>
      <c r="O3" s="1731"/>
      <c r="P3" s="1776"/>
      <c r="Q3" s="1777"/>
      <c r="R3" s="714"/>
      <c r="S3" s="1831">
        <f>INDEX(PT_DIFFERENTIATION_NUM_TER,MATCH(B3,PT_DIFFERENTIATION_TER_ID,0))</f>
      </c>
      <c r="T3" s="669" t="s">
        <v>397</v>
      </c>
      <c r="U3" s="661"/>
      <c r="V3" s="2522"/>
      <c r="W3" s="2522"/>
      <c r="X3" s="2522"/>
      <c r="Y3" s="2522"/>
      <c r="Z3" s="2522"/>
      <c r="AA3" s="2522"/>
      <c r="AB3" s="2522"/>
      <c r="AC3" s="2523"/>
      <c r="AD3" s="2521">
        <f>INDEX(PT_DIFFERENTIATION_TER,MATCH(B3,PT_DIFFERENTIATION_TER_ID,0))</f>
      </c>
      <c r="AE3" s="2522"/>
      <c r="AF3" s="2522"/>
      <c r="AG3" s="2522"/>
      <c r="AH3" s="2522"/>
      <c r="AI3" s="2522"/>
      <c r="AJ3" s="2522"/>
      <c r="AK3" s="2522"/>
      <c r="AL3" s="2522"/>
      <c r="AM3" s="2522"/>
      <c r="AN3" s="2522"/>
      <c r="AO3" s="2522"/>
      <c r="AP3" s="2522"/>
      <c r="AQ3" s="2522"/>
      <c r="AR3" s="2522"/>
      <c r="AS3" s="2522"/>
      <c r="AT3" s="2522"/>
      <c r="AU3" s="2522"/>
      <c r="AV3" s="2522"/>
      <c r="AW3" s="2522"/>
      <c r="AX3" s="2522"/>
      <c r="AY3" s="2522"/>
      <c r="AZ3" s="2522"/>
      <c r="BA3" s="2522"/>
      <c r="BB3" s="2523"/>
      <c r="BC3" s="1623" t="s">
        <v>398</v>
      </c>
      <c r="BE3" s="861"/>
      <c r="BF3" s="861" t="str">
        <f>IF(T3="","",T3)</f>
        <v>Территория действия тарифа</v>
      </c>
      <c r="BG3" s="861"/>
      <c r="BH3" s="861"/>
    </row>
    <row customHeight="1" ht="42" hidden="1">
      <c r="A4" s="1729"/>
      <c r="B4" s="1729"/>
      <c r="C4" s="1729"/>
      <c r="D4" s="1729"/>
      <c r="E4" s="2528"/>
      <c r="F4" s="2528"/>
      <c r="G4" s="2527">
        <v>1</v>
      </c>
      <c r="H4" s="1729"/>
      <c r="I4" s="1729"/>
      <c r="J4" s="1729"/>
      <c r="K4" s="1729"/>
      <c r="L4" s="1730"/>
      <c r="M4" s="1731"/>
      <c r="N4" s="1731"/>
      <c r="O4" s="1731"/>
      <c r="P4" s="1778"/>
      <c r="Q4" s="1777"/>
      <c r="R4" s="714"/>
      <c r="S4" s="1831">
        <f>INDEX(PT_DIFFERENTIATION_NUM_CS,MATCH(C4,PT_DIFFERENTIATION_CS_ID,0))</f>
      </c>
      <c r="T4" s="670" t="s">
        <v>479</v>
      </c>
      <c r="U4" s="661"/>
      <c r="V4" s="2522"/>
      <c r="W4" s="2522"/>
      <c r="X4" s="2522"/>
      <c r="Y4" s="2522"/>
      <c r="Z4" s="2522"/>
      <c r="AA4" s="2522"/>
      <c r="AB4" s="2522"/>
      <c r="AC4" s="2523"/>
      <c r="AD4" s="2521">
        <f>INDEX(PT_DIFFERENTIATION_CS,MATCH(C4,PT_DIFFERENTIATION_CS_ID,0))</f>
      </c>
      <c r="AE4" s="2522"/>
      <c r="AF4" s="2522"/>
      <c r="AG4" s="2522"/>
      <c r="AH4" s="2522"/>
      <c r="AI4" s="2522"/>
      <c r="AJ4" s="2522"/>
      <c r="AK4" s="2522"/>
      <c r="AL4" s="2522"/>
      <c r="AM4" s="2522"/>
      <c r="AN4" s="2522"/>
      <c r="AO4" s="2522"/>
      <c r="AP4" s="2522"/>
      <c r="AQ4" s="2522"/>
      <c r="AR4" s="2522"/>
      <c r="AS4" s="2522"/>
      <c r="AT4" s="2522"/>
      <c r="AU4" s="2522"/>
      <c r="AV4" s="2522"/>
      <c r="AW4" s="2522"/>
      <c r="AX4" s="2522"/>
      <c r="AY4" s="2522"/>
      <c r="AZ4" s="2522"/>
      <c r="BA4" s="2522"/>
      <c r="BB4" s="2523"/>
      <c r="BC4" s="1623" t="s">
        <v>480</v>
      </c>
      <c r="BE4" s="861"/>
      <c r="BF4" s="861" t="str">
        <f>IF(T4="","",T4)</f>
        <v>Наименование централизованной системы холодного водоснабжения</v>
      </c>
      <c r="BG4" s="861"/>
      <c r="BH4" s="861"/>
    </row>
    <row s="19219" customFormat="1" customHeight="1" ht="14.25" hidden="1">
      <c r="A5" s="1709"/>
      <c r="B5" s="1709"/>
      <c r="C5" s="1709"/>
      <c r="D5" s="1709"/>
      <c r="E5" s="2528"/>
      <c r="F5" s="2528"/>
      <c r="G5" s="2528"/>
      <c r="H5" s="2527">
        <v>1</v>
      </c>
      <c r="I5" s="1709"/>
      <c r="J5" s="1709"/>
      <c r="K5" s="1709"/>
      <c r="L5" s="1712"/>
      <c r="M5" s="1681"/>
      <c r="N5" s="1681"/>
      <c r="O5" s="1681"/>
      <c r="P5" s="1863"/>
      <c r="Q5" s="1864"/>
      <c r="R5" s="718"/>
      <c r="S5" s="1404"/>
      <c r="T5" s="1865"/>
      <c r="U5" s="1750"/>
      <c r="V5" s="2570"/>
      <c r="W5" s="2570"/>
      <c r="X5" s="2570"/>
      <c r="Y5" s="2570"/>
      <c r="Z5" s="2570"/>
      <c r="AA5" s="2570"/>
      <c r="AB5" s="2570"/>
      <c r="AC5" s="2571"/>
      <c r="AD5" s="2569"/>
      <c r="AE5" s="2570"/>
      <c r="AF5" s="2570"/>
      <c r="AG5" s="2570"/>
      <c r="AH5" s="2570"/>
      <c r="AI5" s="2570"/>
      <c r="AJ5" s="2570"/>
      <c r="AK5" s="2570"/>
      <c r="AL5" s="2570"/>
      <c r="AM5" s="2570"/>
      <c r="AN5" s="2570"/>
      <c r="AO5" s="2570"/>
      <c r="AP5" s="2570"/>
      <c r="AQ5" s="2570"/>
      <c r="AR5" s="2570"/>
      <c r="AS5" s="2570"/>
      <c r="AT5" s="2570"/>
      <c r="AU5" s="2570"/>
      <c r="AV5" s="2570"/>
      <c r="AW5" s="2570"/>
      <c r="AX5" s="2570"/>
      <c r="AY5" s="2570"/>
      <c r="AZ5" s="2570"/>
      <c r="BA5" s="2570"/>
      <c r="BB5" s="2571"/>
      <c r="BC5" s="1751" t="s">
        <v>402</v>
      </c>
      <c r="BE5" s="861"/>
      <c r="BF5" s="861" t="str">
        <f>IF(T5="","",T5)</f>
        <v/>
      </c>
      <c r="BG5" s="861"/>
      <c r="BH5" s="861"/>
    </row>
    <row s="19219" customFormat="1" customHeight="1" ht="14.25" hidden="1">
      <c r="A6" s="1709"/>
      <c r="B6" s="1709"/>
      <c r="C6" s="1709"/>
      <c r="D6" s="1709"/>
      <c r="E6" s="2528"/>
      <c r="F6" s="2528"/>
      <c r="G6" s="2528"/>
      <c r="H6" s="2528"/>
      <c r="I6" s="2529" t="str">
        <f>S5&amp;".1"</f>
        <v>.1</v>
      </c>
      <c r="J6" s="1709"/>
      <c r="K6" s="1709"/>
      <c r="L6" s="1712" t="s">
        <v>403</v>
      </c>
      <c r="M6" s="871"/>
      <c r="N6" s="871"/>
      <c r="O6" s="871"/>
      <c r="P6" s="2531">
        <v>1</v>
      </c>
      <c r="Q6" s="1828"/>
      <c r="R6" s="717"/>
      <c r="S6" s="1404"/>
      <c r="T6" s="1749"/>
      <c r="U6" s="1750"/>
      <c r="V6" s="2570"/>
      <c r="W6" s="2570"/>
      <c r="X6" s="2570"/>
      <c r="Y6" s="2570"/>
      <c r="Z6" s="2570"/>
      <c r="AA6" s="2570"/>
      <c r="AB6" s="2570"/>
      <c r="AC6" s="2571"/>
      <c r="AD6" s="2569"/>
      <c r="AE6" s="2570"/>
      <c r="AF6" s="2570"/>
      <c r="AG6" s="2570"/>
      <c r="AH6" s="2570"/>
      <c r="AI6" s="2570"/>
      <c r="AJ6" s="2570"/>
      <c r="AK6" s="2570"/>
      <c r="AL6" s="2570"/>
      <c r="AM6" s="2570"/>
      <c r="AN6" s="2570"/>
      <c r="AO6" s="2570"/>
      <c r="AP6" s="2570"/>
      <c r="AQ6" s="2570"/>
      <c r="AR6" s="2570"/>
      <c r="AS6" s="2570"/>
      <c r="AT6" s="2570"/>
      <c r="AU6" s="2570"/>
      <c r="AV6" s="2570"/>
      <c r="AW6" s="2570"/>
      <c r="AX6" s="2570"/>
      <c r="AY6" s="2570"/>
      <c r="AZ6" s="2570"/>
      <c r="BA6" s="2570"/>
      <c r="BB6" s="2571"/>
      <c r="BC6" s="1751"/>
      <c r="BE6" s="861"/>
      <c r="BF6" s="861" t="str">
        <f>IF(T6="","",T6)</f>
        <v/>
      </c>
      <c r="BG6" s="861"/>
      <c r="BH6" s="861"/>
    </row>
    <row s="19219" customFormat="1" customHeight="1" ht="14.25" hidden="1">
      <c r="A7" s="1709"/>
      <c r="B7" s="1709"/>
      <c r="C7" s="1709"/>
      <c r="D7" s="1709"/>
      <c r="E7" s="2528"/>
      <c r="F7" s="2528"/>
      <c r="G7" s="2528"/>
      <c r="H7" s="2528"/>
      <c r="I7" s="2530"/>
      <c r="J7" s="2529" t="str">
        <f>S5&amp;".1"</f>
        <v>.1</v>
      </c>
      <c r="K7" s="1709"/>
      <c r="L7" s="1712"/>
      <c r="M7" s="871"/>
      <c r="N7" s="871"/>
      <c r="O7" s="871"/>
      <c r="P7" s="2531"/>
      <c r="Q7" s="2531">
        <v>1</v>
      </c>
      <c r="R7" s="718"/>
      <c r="S7" s="1404"/>
      <c r="T7" s="1765"/>
      <c r="U7" s="1750"/>
      <c r="V7" s="2570"/>
      <c r="W7" s="2570"/>
      <c r="X7" s="2570"/>
      <c r="Y7" s="2570"/>
      <c r="Z7" s="2570"/>
      <c r="AA7" s="2570"/>
      <c r="AB7" s="2570"/>
      <c r="AC7" s="2571"/>
      <c r="AD7" s="2569"/>
      <c r="AE7" s="2570"/>
      <c r="AF7" s="2570"/>
      <c r="AG7" s="2570"/>
      <c r="AH7" s="2570"/>
      <c r="AI7" s="2570"/>
      <c r="AJ7" s="2570"/>
      <c r="AK7" s="2570"/>
      <c r="AL7" s="2570"/>
      <c r="AM7" s="2570"/>
      <c r="AN7" s="2570"/>
      <c r="AO7" s="2570"/>
      <c r="AP7" s="2570"/>
      <c r="AQ7" s="2570"/>
      <c r="AR7" s="2570"/>
      <c r="AS7" s="2570"/>
      <c r="AT7" s="2570"/>
      <c r="AU7" s="2570"/>
      <c r="AV7" s="2570"/>
      <c r="AW7" s="2570"/>
      <c r="AX7" s="2570"/>
      <c r="AY7" s="2570"/>
      <c r="AZ7" s="2570"/>
      <c r="BA7" s="2570"/>
      <c r="BB7" s="2571"/>
      <c r="BC7" s="1751"/>
      <c r="BE7" s="861"/>
      <c r="BF7" s="861" t="str">
        <f>IF(T7="","",T7)</f>
        <v/>
      </c>
      <c r="BG7" s="861"/>
      <c r="BH7" s="861"/>
    </row>
    <row customHeight="1" ht="11.25" hidden="1">
      <c r="A8" s="1729"/>
      <c r="B8" s="1729"/>
      <c r="C8" s="1729"/>
      <c r="D8" s="1729"/>
      <c r="E8" s="2528"/>
      <c r="F8" s="2528"/>
      <c r="G8" s="2528"/>
      <c r="H8" s="2528"/>
      <c r="I8" s="2530"/>
      <c r="J8" s="2530"/>
      <c r="K8" s="2529">
        <f>S4&amp;".1"</f>
      </c>
      <c r="L8" s="1730"/>
      <c r="P8" s="2531"/>
      <c r="Q8" s="2531"/>
      <c r="R8" s="2607">
        <v>1</v>
      </c>
      <c r="S8" s="2604">
        <f>$K8</f>
      </c>
      <c r="T8" s="2624"/>
      <c r="U8" s="661"/>
      <c r="V8" s="1112"/>
      <c r="W8" s="1622"/>
      <c r="X8" s="1112"/>
      <c r="Y8" s="1622"/>
      <c r="Z8" s="2100"/>
      <c r="AA8" s="1825" t="s">
        <v>59</v>
      </c>
      <c r="AB8" s="2100"/>
      <c r="AC8" s="1825" t="s">
        <v>59</v>
      </c>
      <c r="AD8" s="2465" t="s">
        <v>59</v>
      </c>
      <c r="AE8" s="2600"/>
      <c r="AF8" s="2478">
        <v>1</v>
      </c>
      <c r="AG8" s="2623"/>
      <c r="AH8" s="2402" t="s">
        <v>59</v>
      </c>
      <c r="AI8" s="2600"/>
      <c r="AJ8" s="2478">
        <v>1</v>
      </c>
      <c r="AK8" s="2622" t="s">
        <v>24</v>
      </c>
      <c r="AL8" s="2402" t="s">
        <v>59</v>
      </c>
      <c r="AM8" s="2450"/>
      <c r="AN8" s="2478">
        <v>1</v>
      </c>
      <c r="AO8" s="2627"/>
      <c r="AP8" s="2628" t="s">
        <v>59</v>
      </c>
      <c r="AQ8" s="672"/>
      <c r="AR8" s="1829">
        <v>1</v>
      </c>
      <c r="AS8" s="1832" t="s">
        <v>24</v>
      </c>
      <c r="AT8" s="1112"/>
      <c r="AU8" s="1622"/>
      <c r="AV8" s="1112"/>
      <c r="AW8" s="1622"/>
      <c r="AX8" s="2100"/>
      <c r="AY8" s="1825" t="s">
        <v>59</v>
      </c>
      <c r="AZ8" s="2100"/>
      <c r="BA8" s="1825" t="s">
        <v>59</v>
      </c>
      <c r="BB8" s="1714"/>
      <c r="BC8" s="2557" t="s">
        <v>499</v>
      </c>
      <c r="BE8" s="861"/>
      <c r="BF8" s="861" t="str">
        <f>IF(T8="","",T8)</f>
        <v/>
      </c>
      <c r="BG8" s="861"/>
      <c r="BH8" s="861"/>
    </row>
    <row customHeight="1" ht="11.25" hidden="1">
      <c r="A9" s="1729"/>
      <c r="B9" s="1729"/>
      <c r="C9" s="1729"/>
      <c r="D9" s="1729"/>
      <c r="E9" s="2528"/>
      <c r="F9" s="2528"/>
      <c r="G9" s="2528"/>
      <c r="H9" s="2528"/>
      <c r="I9" s="2530"/>
      <c r="J9" s="2530"/>
      <c r="K9" s="2529"/>
      <c r="L9" s="1730"/>
      <c r="P9" s="2531"/>
      <c r="Q9" s="2531"/>
      <c r="R9" s="2607"/>
      <c r="S9" s="2605"/>
      <c r="T9" s="2625"/>
      <c r="U9" s="661"/>
      <c r="V9" s="1759"/>
      <c r="W9" s="1862"/>
      <c r="X9" s="1759"/>
      <c r="Y9" s="1862"/>
      <c r="Z9" s="1759"/>
      <c r="AA9" s="1759"/>
      <c r="AB9" s="1759"/>
      <c r="AC9" s="1759"/>
      <c r="AD9" s="2466"/>
      <c r="AE9" s="2600"/>
      <c r="AF9" s="2478"/>
      <c r="AG9" s="2623"/>
      <c r="AH9" s="2402"/>
      <c r="AI9" s="2600"/>
      <c r="AJ9" s="2478"/>
      <c r="AK9" s="2622"/>
      <c r="AL9" s="2402"/>
      <c r="AM9" s="2458"/>
      <c r="AN9" s="2478"/>
      <c r="AO9" s="2627"/>
      <c r="AP9" s="2629"/>
      <c r="AQ9" s="677"/>
      <c r="AR9" s="777"/>
      <c r="AS9" s="777" t="s">
        <v>500</v>
      </c>
      <c r="AT9" s="1759"/>
      <c r="AU9" s="1862"/>
      <c r="AV9" s="1759"/>
      <c r="AW9" s="1862"/>
      <c r="AX9" s="1759"/>
      <c r="AY9" s="1759"/>
      <c r="AZ9" s="1759"/>
      <c r="BA9" s="1759"/>
      <c r="BB9" s="1763"/>
      <c r="BC9" s="2558"/>
      <c r="BE9" s="861"/>
      <c r="BF9" s="861"/>
      <c r="BG9" s="861"/>
      <c r="BH9" s="861"/>
    </row>
    <row customHeight="1" ht="11.25" hidden="1">
      <c r="A10" s="1729"/>
      <c r="B10" s="1729"/>
      <c r="C10" s="1729"/>
      <c r="D10" s="1729"/>
      <c r="E10" s="2528"/>
      <c r="F10" s="2528"/>
      <c r="G10" s="2528"/>
      <c r="H10" s="2528"/>
      <c r="I10" s="2530"/>
      <c r="J10" s="2530"/>
      <c r="K10" s="2529"/>
      <c r="L10" s="1730"/>
      <c r="P10" s="2531"/>
      <c r="Q10" s="2531"/>
      <c r="R10" s="2607"/>
      <c r="S10" s="2605"/>
      <c r="T10" s="2625"/>
      <c r="U10" s="661"/>
      <c r="V10" s="1759"/>
      <c r="W10" s="1862"/>
      <c r="X10" s="1759"/>
      <c r="Y10" s="1862"/>
      <c r="Z10" s="1759"/>
      <c r="AA10" s="1759"/>
      <c r="AB10" s="1759"/>
      <c r="AC10" s="1759"/>
      <c r="AD10" s="2466"/>
      <c r="AE10" s="2600"/>
      <c r="AF10" s="2478"/>
      <c r="AG10" s="2623"/>
      <c r="AH10" s="2402"/>
      <c r="AI10" s="2600"/>
      <c r="AJ10" s="2478"/>
      <c r="AK10" s="2622"/>
      <c r="AL10" s="2402"/>
      <c r="AM10" s="677"/>
      <c r="AN10" s="1866"/>
      <c r="AO10" s="1866" t="s">
        <v>501</v>
      </c>
      <c r="AP10" s="777"/>
      <c r="AQ10" s="777"/>
      <c r="AR10" s="777"/>
      <c r="AS10" s="1759"/>
      <c r="AT10" s="1759"/>
      <c r="AU10" s="1862"/>
      <c r="AV10" s="1759"/>
      <c r="AW10" s="1862"/>
      <c r="AX10" s="1759"/>
      <c r="AY10" s="1759"/>
      <c r="AZ10" s="1759"/>
      <c r="BA10" s="1759"/>
      <c r="BB10" s="1763"/>
      <c r="BC10" s="2558"/>
      <c r="BE10" s="861"/>
      <c r="BF10" s="861"/>
      <c r="BG10" s="861"/>
      <c r="BH10" s="861"/>
    </row>
    <row customHeight="1" ht="11.25" hidden="1">
      <c r="A11" s="1729"/>
      <c r="B11" s="1729"/>
      <c r="C11" s="1729"/>
      <c r="D11" s="1729"/>
      <c r="E11" s="2528"/>
      <c r="F11" s="2528"/>
      <c r="G11" s="2528"/>
      <c r="H11" s="2528"/>
      <c r="I11" s="2530"/>
      <c r="J11" s="2530"/>
      <c r="K11" s="2529"/>
      <c r="L11" s="1730"/>
      <c r="P11" s="2531"/>
      <c r="Q11" s="2531"/>
      <c r="R11" s="2607"/>
      <c r="S11" s="2605"/>
      <c r="T11" s="2625"/>
      <c r="U11" s="661"/>
      <c r="V11" s="1759"/>
      <c r="W11" s="1862"/>
      <c r="X11" s="1759"/>
      <c r="Y11" s="1862"/>
      <c r="Z11" s="1759"/>
      <c r="AA11" s="1759"/>
      <c r="AB11" s="1759"/>
      <c r="AC11" s="1759"/>
      <c r="AD11" s="2466"/>
      <c r="AE11" s="2600"/>
      <c r="AF11" s="2478"/>
      <c r="AG11" s="2623"/>
      <c r="AH11" s="2402"/>
      <c r="AI11" s="655"/>
      <c r="AJ11" s="776"/>
      <c r="AK11" s="674" t="s">
        <v>502</v>
      </c>
      <c r="AL11" s="1759"/>
      <c r="AM11" s="1759"/>
      <c r="AN11" s="1759"/>
      <c r="AO11" s="1759"/>
      <c r="AP11" s="1759"/>
      <c r="AQ11" s="1759"/>
      <c r="AR11" s="1759"/>
      <c r="AS11" s="1759"/>
      <c r="AT11" s="1759"/>
      <c r="AU11" s="1862"/>
      <c r="AV11" s="1759"/>
      <c r="AW11" s="1862"/>
      <c r="AX11" s="1759"/>
      <c r="AY11" s="1759"/>
      <c r="AZ11" s="1759"/>
      <c r="BA11" s="1759"/>
      <c r="BB11" s="1763"/>
      <c r="BC11" s="2558"/>
      <c r="BE11" s="861"/>
      <c r="BF11" s="861"/>
      <c r="BG11" s="861"/>
      <c r="BH11" s="861"/>
    </row>
    <row customHeight="1" ht="11.25" hidden="1">
      <c r="A12" s="1729"/>
      <c r="B12" s="1729"/>
      <c r="C12" s="1729"/>
      <c r="D12" s="1729"/>
      <c r="E12" s="2528"/>
      <c r="F12" s="2528"/>
      <c r="G12" s="2528"/>
      <c r="H12" s="2528"/>
      <c r="I12" s="2530"/>
      <c r="J12" s="2530"/>
      <c r="K12" s="2529"/>
      <c r="L12" s="1730"/>
      <c r="P12" s="2531"/>
      <c r="Q12" s="2531"/>
      <c r="R12" s="2607"/>
      <c r="S12" s="2606"/>
      <c r="T12" s="2626"/>
      <c r="U12" s="661"/>
      <c r="V12" s="1759"/>
      <c r="W12" s="1760" t="str">
        <f>Z8&amp;"-"&amp;AB8</f>
        <v>-</v>
      </c>
      <c r="X12" s="1759"/>
      <c r="Y12" s="1760" t="str">
        <f>AB8&amp;"-"&amp;AD8</f>
        <v>-да</v>
      </c>
      <c r="Z12" s="1759"/>
      <c r="AA12" s="1759"/>
      <c r="AB12" s="1759"/>
      <c r="AC12" s="1759"/>
      <c r="AD12" s="2407"/>
      <c r="AE12" s="673"/>
      <c r="AF12" s="675"/>
      <c r="AG12" s="777" t="s">
        <v>503</v>
      </c>
      <c r="AH12" s="1759"/>
      <c r="AI12" s="1759"/>
      <c r="AJ12" s="1759"/>
      <c r="AK12" s="1759"/>
      <c r="AL12" s="1759"/>
      <c r="AM12" s="1759"/>
      <c r="AN12" s="1759"/>
      <c r="AO12" s="1759"/>
      <c r="AP12" s="1759"/>
      <c r="AQ12" s="1759"/>
      <c r="AR12" s="1759"/>
      <c r="AS12" s="1759"/>
      <c r="AT12" s="1759"/>
      <c r="AU12" s="1760" t="str">
        <f>AX8&amp;"-"&amp;AZ8</f>
        <v>-</v>
      </c>
      <c r="AV12" s="1759"/>
      <c r="AW12" s="1760" t="str">
        <f>AZ8&amp;"-"&amp;BB8</f>
        <v>-</v>
      </c>
      <c r="AX12" s="1759"/>
      <c r="AY12" s="1759"/>
      <c r="AZ12" s="1759"/>
      <c r="BA12" s="1759"/>
      <c r="BB12" s="1762" t="str">
        <f>BE8&amp;"-"&amp;BG8</f>
        <v>-</v>
      </c>
      <c r="BC12" s="2558"/>
      <c r="BE12" s="861"/>
      <c r="BF12" s="861" t="str">
        <f>IF(T12="","",T12)</f>
        <v/>
      </c>
      <c r="BG12" s="861"/>
      <c r="BH12" s="861"/>
    </row>
    <row customHeight="1" ht="11.25" hidden="1">
      <c r="A13" s="1729"/>
      <c r="B13" s="1729"/>
      <c r="C13" s="1729"/>
      <c r="D13" s="1729"/>
      <c r="E13" s="2528"/>
      <c r="F13" s="2528"/>
      <c r="G13" s="2528"/>
      <c r="H13" s="2528"/>
      <c r="I13" s="2530"/>
      <c r="J13" s="2529"/>
      <c r="K13" s="1729"/>
      <c r="L13" s="1730"/>
      <c r="P13" s="2531"/>
      <c r="Q13" s="2531"/>
      <c r="R13" s="717"/>
      <c r="S13" s="1644"/>
      <c r="T13" s="648" t="s">
        <v>465</v>
      </c>
      <c r="U13" s="728"/>
      <c r="V13" s="728"/>
      <c r="W13" s="728"/>
      <c r="X13" s="728"/>
      <c r="Y13" s="728"/>
      <c r="Z13" s="728"/>
      <c r="AA13" s="728"/>
      <c r="AB13" s="728"/>
      <c r="AC13" s="728"/>
      <c r="AD13" s="1871"/>
      <c r="AE13" s="728"/>
      <c r="AF13" s="728"/>
      <c r="AG13" s="728"/>
      <c r="AH13" s="728"/>
      <c r="AI13" s="728"/>
      <c r="AJ13" s="728"/>
      <c r="AK13" s="728"/>
      <c r="AL13" s="728"/>
      <c r="AM13" s="728"/>
      <c r="AN13" s="728"/>
      <c r="AO13" s="728"/>
      <c r="AP13" s="728"/>
      <c r="AQ13" s="728"/>
      <c r="AR13" s="728"/>
      <c r="AS13" s="728"/>
      <c r="AT13" s="728"/>
      <c r="AU13" s="728"/>
      <c r="AV13" s="728"/>
      <c r="AW13" s="728"/>
      <c r="AX13" s="728"/>
      <c r="AY13" s="728"/>
      <c r="AZ13" s="728"/>
      <c r="BA13" s="728"/>
      <c r="BB13" s="685"/>
      <c r="BC13" s="2559"/>
      <c r="BE13" s="861"/>
      <c r="BF13" s="861" t="str">
        <f>IF(T13="","",T13)</f>
        <v>Добавить строку</v>
      </c>
      <c r="BG13" s="861"/>
      <c r="BH13" s="861"/>
    </row>
    <row s="19219" customFormat="1" customHeight="1" ht="14.25" hidden="1">
      <c r="A14" s="1709"/>
      <c r="B14" s="1709"/>
      <c r="C14" s="1709"/>
      <c r="D14" s="1709"/>
      <c r="E14" s="2528"/>
      <c r="F14" s="2528"/>
      <c r="G14" s="2528"/>
      <c r="H14" s="2528"/>
      <c r="I14" s="2529"/>
      <c r="J14" s="1709"/>
      <c r="K14" s="1709"/>
      <c r="L14" s="1712"/>
      <c r="M14" s="871"/>
      <c r="N14" s="871"/>
      <c r="O14" s="871"/>
      <c r="P14" s="2531"/>
      <c r="Q14" s="1828"/>
      <c r="R14" s="717"/>
      <c r="S14" s="1752"/>
      <c r="T14" s="1753"/>
      <c r="U14" s="1754"/>
      <c r="V14" s="1754"/>
      <c r="W14" s="1754"/>
      <c r="X14" s="1754"/>
      <c r="Y14" s="1754"/>
      <c r="Z14" s="1754"/>
      <c r="AA14" s="1754"/>
      <c r="AB14" s="1754"/>
      <c r="AC14" s="1754"/>
      <c r="AD14" s="1754"/>
      <c r="AE14" s="1754"/>
      <c r="AF14" s="1754"/>
      <c r="AG14" s="1754"/>
      <c r="AH14" s="1754"/>
      <c r="AI14" s="1754"/>
      <c r="AJ14" s="1754"/>
      <c r="AK14" s="1754"/>
      <c r="AL14" s="1754"/>
      <c r="AM14" s="1754"/>
      <c r="AN14" s="1754"/>
      <c r="AO14" s="1754"/>
      <c r="AP14" s="1754"/>
      <c r="AQ14" s="1754"/>
      <c r="AR14" s="1754"/>
      <c r="AS14" s="1754"/>
      <c r="AT14" s="1754"/>
      <c r="AU14" s="1754"/>
      <c r="AV14" s="1754"/>
      <c r="AW14" s="1754"/>
      <c r="AX14" s="1754"/>
      <c r="AY14" s="1754"/>
      <c r="AZ14" s="1754"/>
      <c r="BA14" s="1754"/>
      <c r="BB14" s="1754"/>
      <c r="BC14" s="1755"/>
      <c r="BE14" s="861"/>
      <c r="BF14" s="861" t="str">
        <f>IF(T14="","",T14)</f>
        <v/>
      </c>
      <c r="BG14" s="861"/>
      <c r="BH14" s="861"/>
    </row>
    <row s="19219" customFormat="1" customHeight="1" ht="14.25" hidden="1">
      <c r="A15" s="1709"/>
      <c r="B15" s="1709"/>
      <c r="C15" s="1709"/>
      <c r="D15" s="1709"/>
      <c r="E15" s="2528"/>
      <c r="F15" s="2528"/>
      <c r="G15" s="2528"/>
      <c r="H15" s="2527"/>
      <c r="I15" s="1709"/>
      <c r="J15" s="1709"/>
      <c r="K15" s="1709"/>
      <c r="L15" s="1712"/>
      <c r="M15" s="1681"/>
      <c r="N15" s="1681"/>
      <c r="O15" s="879"/>
      <c r="P15" s="741"/>
      <c r="Q15" s="1710"/>
      <c r="R15" s="1767"/>
      <c r="S15" s="1752"/>
      <c r="T15" s="1753"/>
      <c r="U15" s="1754"/>
      <c r="V15" s="1754"/>
      <c r="W15" s="1754"/>
      <c r="X15" s="1754"/>
      <c r="Y15" s="1754"/>
      <c r="Z15" s="1754"/>
      <c r="AA15" s="1754"/>
      <c r="AB15" s="1754"/>
      <c r="AC15" s="1754"/>
      <c r="AD15" s="1754"/>
      <c r="AE15" s="1754"/>
      <c r="AF15" s="1754"/>
      <c r="AG15" s="1754"/>
      <c r="AH15" s="1754"/>
      <c r="AI15" s="1754"/>
      <c r="AJ15" s="1754"/>
      <c r="AK15" s="1754"/>
      <c r="AL15" s="1754"/>
      <c r="AM15" s="1754"/>
      <c r="AN15" s="1754"/>
      <c r="AO15" s="1754"/>
      <c r="AP15" s="1754"/>
      <c r="AQ15" s="1754"/>
      <c r="AR15" s="1754"/>
      <c r="AS15" s="1754"/>
      <c r="AT15" s="1754"/>
      <c r="AU15" s="1754"/>
      <c r="AV15" s="1754"/>
      <c r="AW15" s="1754"/>
      <c r="AX15" s="1754"/>
      <c r="AY15" s="1754"/>
      <c r="AZ15" s="1754"/>
      <c r="BA15" s="1754"/>
      <c r="BB15" s="1754"/>
      <c r="BC15" s="1755"/>
      <c r="BE15" s="861"/>
      <c r="BF15" s="861" t="str">
        <f>IF(T15="","",T15)</f>
        <v/>
      </c>
      <c r="BG15" s="861"/>
      <c r="BH15" s="861"/>
    </row>
    <row s="19127" customFormat="1" customHeight="1" ht="14.25" hidden="1">
      <c r="A16" s="1709"/>
      <c r="B16" s="1709"/>
      <c r="C16" s="1709"/>
      <c r="D16" s="1680"/>
      <c r="E16" s="2528"/>
      <c r="F16" s="2528"/>
      <c r="G16" s="2527"/>
      <c r="H16" s="1680"/>
      <c r="I16" s="1680"/>
      <c r="J16" s="1680"/>
      <c r="K16" s="1680"/>
      <c r="L16" s="1830"/>
      <c r="M16" s="1681"/>
      <c r="N16" s="1681"/>
      <c r="P16" s="1682"/>
      <c r="Q16" s="1683"/>
      <c r="R16" s="1682"/>
      <c r="S16" s="1688"/>
      <c r="T16" s="1691"/>
      <c r="U16" s="1690"/>
      <c r="V16" s="1690"/>
      <c r="W16" s="1690"/>
      <c r="X16" s="1690"/>
      <c r="Y16" s="1690"/>
      <c r="Z16" s="1690"/>
      <c r="AA16" s="1690"/>
      <c r="AB16" s="1690"/>
      <c r="AC16" s="1690"/>
      <c r="AD16" s="1690"/>
      <c r="AE16" s="1690"/>
      <c r="AF16" s="1690"/>
      <c r="AG16" s="1690"/>
      <c r="AH16" s="1690"/>
      <c r="AI16" s="1690"/>
      <c r="AJ16" s="1690"/>
      <c r="AK16" s="1690"/>
      <c r="AL16" s="1690"/>
      <c r="AM16" s="1690"/>
      <c r="AN16" s="1690"/>
      <c r="AO16" s="1690"/>
      <c r="AP16" s="1690"/>
      <c r="AQ16" s="1690"/>
      <c r="AR16" s="1690"/>
      <c r="AS16" s="1690"/>
      <c r="AT16" s="1690"/>
      <c r="AU16" s="1690"/>
      <c r="AV16" s="1690"/>
      <c r="AW16" s="1690"/>
      <c r="AX16" s="1690"/>
      <c r="AY16" s="1690"/>
      <c r="AZ16" s="1690"/>
      <c r="BA16" s="1690"/>
      <c r="BB16" s="1690"/>
      <c r="BC16" s="1690"/>
      <c r="BE16" s="1150"/>
      <c r="BF16" s="1150" t="str">
        <f>IF(T16="","",T16)</f>
        <v/>
      </c>
      <c r="BG16" s="1150"/>
      <c r="BH16" s="1150"/>
    </row>
    <row s="19127" customFormat="1" customHeight="1" ht="14.25" hidden="1">
      <c r="A17" s="1709"/>
      <c r="B17" s="1709"/>
      <c r="C17" s="1680"/>
      <c r="D17" s="1680"/>
      <c r="E17" s="2528"/>
      <c r="F17" s="2527"/>
      <c r="G17" s="1680"/>
      <c r="H17" s="1680"/>
      <c r="I17" s="1680"/>
      <c r="J17" s="1680"/>
      <c r="K17" s="1680"/>
      <c r="L17" s="1830"/>
      <c r="M17" s="1687"/>
      <c r="N17" s="1687"/>
      <c r="P17" s="1682"/>
      <c r="Q17" s="1683"/>
      <c r="R17" s="1682"/>
      <c r="S17" s="1688"/>
      <c r="T17" s="1691" t="s">
        <v>251</v>
      </c>
      <c r="U17" s="1690"/>
      <c r="V17" s="1690"/>
      <c r="W17" s="1690"/>
      <c r="X17" s="1690"/>
      <c r="Y17" s="1690"/>
      <c r="Z17" s="1690"/>
      <c r="AA17" s="1690"/>
      <c r="AB17" s="1690"/>
      <c r="AC17" s="1690"/>
      <c r="AD17" s="1690"/>
      <c r="AE17" s="1690"/>
      <c r="AF17" s="1690"/>
      <c r="AG17" s="1690"/>
      <c r="AH17" s="1690"/>
      <c r="AI17" s="1690"/>
      <c r="AJ17" s="1690"/>
      <c r="AK17" s="1690"/>
      <c r="AL17" s="1690"/>
      <c r="AM17" s="1690"/>
      <c r="AN17" s="1690"/>
      <c r="AO17" s="1690"/>
      <c r="AP17" s="1690"/>
      <c r="AQ17" s="1690"/>
      <c r="AR17" s="1690"/>
      <c r="AS17" s="1690"/>
      <c r="AT17" s="1690"/>
      <c r="AU17" s="1690"/>
      <c r="AV17" s="1690"/>
      <c r="AW17" s="1690"/>
      <c r="AX17" s="1690"/>
      <c r="AY17" s="1690"/>
      <c r="AZ17" s="1690"/>
      <c r="BA17" s="1690"/>
      <c r="BB17" s="1690"/>
      <c r="BC17" s="1690"/>
      <c r="BE17" s="1150"/>
      <c r="BF17" s="1150" t="str">
        <f>IF(T17="","",T17)</f>
        <v>Добавить централизованную систему для дифференциации</v>
      </c>
      <c r="BG17" s="1150"/>
      <c r="BH17" s="1150"/>
    </row>
    <row s="19219" customFormat="1" customHeight="1" ht="14.25" hidden="1">
      <c r="A18" s="1709"/>
      <c r="B18" s="1709"/>
      <c r="C18" s="1709"/>
      <c r="D18" s="1709"/>
      <c r="E18" s="2527"/>
      <c r="F18" s="1709"/>
      <c r="G18" s="1709"/>
      <c r="H18" s="1709"/>
      <c r="I18" s="1709"/>
      <c r="J18" s="1709"/>
      <c r="K18" s="1709"/>
      <c r="L18" s="1712"/>
      <c r="M18" s="1687"/>
      <c r="N18" s="1687"/>
      <c r="O18" s="879"/>
      <c r="P18" s="741"/>
      <c r="Q18" s="1710"/>
      <c r="R18" s="741"/>
      <c r="S18" s="1688"/>
      <c r="T18" s="1691" t="s">
        <v>252</v>
      </c>
      <c r="U18" s="1690"/>
      <c r="V18" s="1690"/>
      <c r="W18" s="1690"/>
      <c r="X18" s="1690"/>
      <c r="Y18" s="1690"/>
      <c r="Z18" s="1690"/>
      <c r="AA18" s="1690"/>
      <c r="AB18" s="1690"/>
      <c r="AC18" s="1690"/>
      <c r="AD18" s="1690"/>
      <c r="AE18" s="1690"/>
      <c r="AF18" s="1690"/>
      <c r="AG18" s="1690"/>
      <c r="AH18" s="1690"/>
      <c r="AI18" s="1690"/>
      <c r="AJ18" s="1690"/>
      <c r="AK18" s="1690"/>
      <c r="AL18" s="1690"/>
      <c r="AM18" s="1690"/>
      <c r="AN18" s="1690"/>
      <c r="AO18" s="1690"/>
      <c r="AP18" s="1690"/>
      <c r="AQ18" s="1690"/>
      <c r="AR18" s="1690"/>
      <c r="AS18" s="1690"/>
      <c r="AT18" s="1690"/>
      <c r="AU18" s="1690"/>
      <c r="AV18" s="1690"/>
      <c r="AW18" s="1690"/>
      <c r="AX18" s="1690"/>
      <c r="AY18" s="1690"/>
      <c r="AZ18" s="1690"/>
      <c r="BA18" s="1690"/>
      <c r="BB18" s="1690"/>
      <c r="BC18" s="1690"/>
      <c r="BE18" s="861"/>
      <c r="BF18" s="861" t="str">
        <f>IF(T18="","",T18)</f>
        <v>Добавить территорию для дифференциации</v>
      </c>
      <c r="BG18" s="861"/>
      <c r="BH18" s="861"/>
    </row>
    <row customHeight="1" ht="14.25" hidden="1">
      <c r="AC19" s="688"/>
      <c r="BA19" s="688"/>
    </row>
    <row customHeight="1" ht="14.25" hidden="1">
      <c r="AD20" s="1690" t="s">
        <v>54</v>
      </c>
      <c r="AE20" s="1867"/>
      <c r="AF20" s="909">
        <v>1</v>
      </c>
      <c r="AG20" s="1868"/>
      <c r="AH20" s="1690" t="s">
        <v>54</v>
      </c>
      <c r="AI20" s="1867"/>
      <c r="AJ20" s="909">
        <v>1</v>
      </c>
      <c r="AK20" s="1868"/>
      <c r="AL20" s="1690" t="s">
        <v>54</v>
      </c>
      <c r="AM20" s="1869"/>
      <c r="AN20" s="909">
        <v>1</v>
      </c>
      <c r="AO20" s="1870"/>
      <c r="AP20" s="1690" t="s">
        <v>54</v>
      </c>
      <c r="AQ20" s="1869"/>
      <c r="AR20" s="909">
        <v>1</v>
      </c>
      <c r="AS20" s="1870"/>
      <c r="AT20" s="686"/>
      <c r="AU20" s="745"/>
      <c r="AV20" s="686"/>
      <c r="AW20" s="745"/>
      <c r="AX20" s="2102"/>
      <c r="AY20" s="1826" t="s">
        <v>59</v>
      </c>
      <c r="AZ20" s="2102"/>
      <c r="BA20" s="1826" t="s">
        <v>59</v>
      </c>
    </row>
    <row customHeight="1" ht="14.25" hidden="1">
      <c r="BD21" s="857"/>
      <c r="BE21" s="857"/>
      <c r="BF21" s="857"/>
      <c r="BG21" s="857"/>
      <c r="BH21" s="857"/>
    </row>
    <row customHeight="1" ht="14.25" hidden="1">
      <c r="O22" s="1733" t="s">
        <v>415</v>
      </c>
      <c r="Z22" s="1711"/>
      <c r="AB22" s="1711"/>
      <c r="AC22" s="688"/>
      <c r="AX22" s="1711"/>
      <c r="AZ22" s="1711"/>
      <c r="BA22" s="688"/>
      <c r="BD22" s="857"/>
      <c r="BE22" s="857"/>
      <c r="BF22" s="857"/>
      <c r="BG22" s="857"/>
      <c r="BH22" s="857"/>
    </row>
    <row customHeight="1" ht="14.25" hidden="1">
      <c r="AC23" s="688"/>
      <c r="BA23" s="688"/>
      <c r="BD23" s="857"/>
      <c r="BE23" s="857"/>
      <c r="BF23" s="857"/>
      <c r="BG23" s="857"/>
      <c r="BH23" s="857"/>
    </row>
    <row s="19375" customFormat="1" customHeight="1" ht="14.25" hidden="1">
      <c r="M24" s="1874"/>
      <c r="N24" s="1874"/>
      <c r="O24" s="1875" t="s">
        <v>416</v>
      </c>
      <c r="P24" s="1874"/>
      <c r="Q24" s="1876"/>
      <c r="R24" s="1876"/>
      <c r="AA24" s="1873" t="s">
        <v>418</v>
      </c>
      <c r="AC24" s="1873" t="s">
        <v>419</v>
      </c>
      <c r="AD24" s="1873" t="s">
        <v>466</v>
      </c>
      <c r="AH24" s="1873" t="s">
        <v>466</v>
      </c>
      <c r="AK24" s="1873" t="s">
        <v>504</v>
      </c>
      <c r="AL24" s="1873" t="s">
        <v>466</v>
      </c>
      <c r="AP24" s="1873" t="s">
        <v>466</v>
      </c>
      <c r="AY24" s="1873" t="s">
        <v>418</v>
      </c>
      <c r="BA24" s="1873" t="s">
        <v>419</v>
      </c>
      <c r="BD24" s="1877"/>
      <c r="BE24" s="1877"/>
      <c r="BF24" s="1877"/>
      <c r="BG24" s="1877"/>
      <c r="BH24" s="1877"/>
    </row>
    <row customHeight="1" ht="14.25" hidden="1">
      <c r="O25" s="1730"/>
      <c r="BD25" s="857"/>
      <c r="BE25" s="857"/>
      <c r="BF25" s="857"/>
      <c r="BG25" s="857"/>
      <c r="BH25" s="857"/>
    </row>
    <row customHeight="1" ht="14.25" hidden="1">
      <c r="O26" s="1730"/>
      <c r="BD26" s="857"/>
      <c r="BE26" s="857"/>
      <c r="BF26" s="857"/>
      <c r="BG26" s="857"/>
      <c r="BH26" s="857"/>
    </row>
    <row customHeight="1" ht="14.25">
      <c r="Q27" s="652"/>
      <c r="R27" s="737"/>
      <c r="S27" s="1641"/>
      <c r="T27" s="724"/>
      <c r="U27" s="724"/>
      <c r="V27" s="870"/>
      <c r="W27" s="870"/>
      <c r="X27" s="870"/>
      <c r="Y27" s="870"/>
      <c r="Z27" s="870"/>
      <c r="AA27" s="870"/>
      <c r="AB27" s="870"/>
      <c r="AC27" s="870"/>
      <c r="AD27" s="870"/>
      <c r="AE27" s="870"/>
      <c r="AF27" s="870"/>
      <c r="AG27" s="870"/>
      <c r="AH27" s="870"/>
      <c r="AI27" s="870"/>
      <c r="AJ27" s="870"/>
      <c r="AK27" s="870"/>
      <c r="AL27" s="870"/>
      <c r="AM27" s="870"/>
      <c r="AN27" s="870"/>
      <c r="AO27" s="870"/>
      <c r="AP27" s="870"/>
      <c r="AQ27" s="870"/>
      <c r="AR27" s="870"/>
      <c r="AS27" s="870"/>
      <c r="AT27" s="870"/>
      <c r="AU27" s="870"/>
      <c r="AV27" s="870"/>
      <c r="AW27" s="870"/>
      <c r="AX27" s="870"/>
      <c r="AY27" s="870"/>
      <c r="AZ27" s="870"/>
      <c r="BA27" s="870"/>
    </row>
    <row customHeight="1" ht="14.25">
      <c r="Q28" s="652"/>
      <c r="R28" s="737"/>
      <c r="S28" s="256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560"/>
      <c r="U28" s="2560"/>
      <c r="V28" s="2560"/>
      <c r="W28" s="2560"/>
      <c r="X28" s="2560"/>
      <c r="Y28" s="2560"/>
      <c r="Z28" s="2560"/>
      <c r="AA28" s="2560"/>
      <c r="AB28" s="2560"/>
      <c r="AC28" s="2560"/>
      <c r="AD28" s="2560"/>
      <c r="AE28" s="2560"/>
      <c r="AF28" s="2560"/>
      <c r="AG28" s="2560"/>
      <c r="AH28" s="2560"/>
      <c r="AI28" s="2560"/>
      <c r="AJ28" s="2560"/>
      <c r="AK28" s="2560"/>
      <c r="AL28" s="2560"/>
      <c r="AM28" s="2560"/>
      <c r="AN28" s="2560"/>
      <c r="AO28" s="2560"/>
      <c r="AP28" s="2560"/>
      <c r="AQ28" s="2560"/>
      <c r="AR28" s="2560"/>
      <c r="AS28" s="2560"/>
      <c r="AT28" s="2560"/>
      <c r="AU28" s="2560"/>
      <c r="AV28" s="2560"/>
      <c r="AW28" s="2560"/>
      <c r="AX28" s="2560"/>
      <c r="AY28" s="2560"/>
      <c r="AZ28" s="2560"/>
      <c r="BA28" s="1608"/>
    </row>
    <row customHeight="1" ht="14.25">
      <c r="Q29" s="652"/>
      <c r="R29" s="737"/>
      <c r="S29" s="2561" t="str">
        <f>IF(org=0,"Не определено",org)</f>
        <v>Филиал "Шатурская ГРЭС" ПАО "Юнипро"</v>
      </c>
      <c r="T29" s="2561"/>
      <c r="U29" s="2561"/>
      <c r="V29" s="2561"/>
      <c r="W29" s="2561"/>
      <c r="X29" s="2561"/>
      <c r="Y29" s="2561"/>
      <c r="Z29" s="2561"/>
      <c r="AA29" s="2561"/>
      <c r="AB29" s="2561"/>
      <c r="AC29" s="2561"/>
      <c r="AD29" s="2561"/>
      <c r="AE29" s="2561"/>
      <c r="AF29" s="2561"/>
      <c r="AG29" s="2561"/>
      <c r="AH29" s="2561"/>
      <c r="AI29" s="2561"/>
      <c r="AJ29" s="2561"/>
      <c r="AK29" s="2561"/>
      <c r="AL29" s="2561"/>
      <c r="AM29" s="2561"/>
      <c r="AN29" s="2561"/>
      <c r="AO29" s="2561"/>
      <c r="AP29" s="2561"/>
      <c r="AQ29" s="2561"/>
      <c r="AR29" s="2561"/>
      <c r="AS29" s="2561"/>
      <c r="AT29" s="2561"/>
      <c r="AU29" s="2561"/>
      <c r="AV29" s="2561"/>
      <c r="AW29" s="2561"/>
      <c r="AX29" s="2561"/>
      <c r="AY29" s="2561"/>
      <c r="AZ29" s="2561"/>
      <c r="BA29" s="1608"/>
    </row>
    <row customHeight="1" ht="14.25">
      <c r="Q30" s="652"/>
      <c r="R30" s="737"/>
      <c r="S30" s="1641"/>
      <c r="T30" s="724"/>
      <c r="U30" s="724"/>
      <c r="V30" s="683"/>
      <c r="W30" s="683"/>
      <c r="X30" s="683"/>
      <c r="Y30" s="683"/>
      <c r="Z30" s="683"/>
      <c r="AA30" s="683"/>
      <c r="AB30" s="683"/>
      <c r="AC30" s="683"/>
      <c r="AD30" s="683"/>
      <c r="AE30" s="683"/>
      <c r="AF30" s="683"/>
      <c r="AG30" s="683"/>
      <c r="AH30" s="683"/>
      <c r="AI30" s="683"/>
      <c r="AJ30" s="683"/>
      <c r="AK30" s="683"/>
      <c r="AL30" s="683"/>
      <c r="AM30" s="683"/>
      <c r="AN30" s="683"/>
      <c r="AO30" s="683"/>
      <c r="AP30" s="683"/>
      <c r="AQ30" s="683"/>
      <c r="AR30" s="683"/>
      <c r="AS30" s="683"/>
      <c r="AT30" s="683"/>
      <c r="AU30" s="683"/>
      <c r="AV30" s="683"/>
      <c r="AW30" s="683"/>
      <c r="AX30" s="683"/>
      <c r="AY30" s="683"/>
      <c r="AZ30" s="683"/>
      <c r="BA30" s="683"/>
      <c r="BB30" s="870"/>
    </row>
    <row s="19160" customFormat="1" customHeight="1" ht="25.5">
      <c r="A31" s="1734"/>
      <c r="B31" s="1734"/>
      <c r="C31" s="1734"/>
      <c r="D31" s="1734"/>
      <c r="E31" s="1734"/>
      <c r="F31" s="1734"/>
      <c r="G31" s="1734"/>
      <c r="H31" s="1734"/>
      <c r="I31" s="1734"/>
      <c r="J31" s="1734"/>
      <c r="K31" s="1734"/>
      <c r="L31" s="1735"/>
      <c r="M31" s="1734"/>
      <c r="N31" s="1734"/>
      <c r="O31" s="1734"/>
      <c r="P31" s="1734"/>
      <c r="Q31" s="1734"/>
      <c r="S31" s="2518" t="s">
        <v>38</v>
      </c>
      <c r="T31" s="2518"/>
      <c r="U31" s="1738"/>
      <c r="V31" s="2520" t="str">
        <f>IF(TITLE_NAME_OR_PR_CHANGE="",IF(TITLE_NAME_OR_PR="","",TITLE_NAME_OR_PR),TITLE_NAME_OR_PR_CHANGE)</f>
        <v>Комитет по ценам и тарифам по Московской области</v>
      </c>
      <c r="W31" s="2520"/>
      <c r="X31" s="2520"/>
      <c r="Y31" s="2520"/>
      <c r="Z31" s="2520"/>
      <c r="AA31" s="2520"/>
      <c r="AB31" s="2520"/>
      <c r="AC31" s="687"/>
      <c r="AD31" s="2520" t="str">
        <f>IF(TITLE_NAME_OR_PR_CHANGE="",IF(TITLE_NAME_OR_PR="","",TITLE_NAME_OR_PR),TITLE_NAME_OR_PR_CHANGE)</f>
        <v>Комитет по ценам и тарифам по Московской области</v>
      </c>
      <c r="AE31" s="2520"/>
      <c r="AF31" s="2520"/>
      <c r="AG31" s="2520"/>
      <c r="AH31" s="2520"/>
      <c r="AI31" s="2520"/>
      <c r="AJ31" s="2520"/>
      <c r="AK31" s="2520"/>
      <c r="AL31" s="2520"/>
      <c r="AM31" s="2520"/>
      <c r="AN31" s="2520"/>
      <c r="AO31" s="2520"/>
      <c r="AP31" s="2520"/>
      <c r="AQ31" s="2520"/>
      <c r="AR31" s="2520"/>
      <c r="AS31" s="2520"/>
      <c r="AT31" s="2520"/>
      <c r="AU31" s="2520"/>
      <c r="AV31" s="2520"/>
      <c r="AW31" s="2520"/>
      <c r="AX31" s="2520"/>
      <c r="AY31" s="2520"/>
      <c r="AZ31" s="2520"/>
      <c r="BA31" s="687"/>
      <c r="BB31" s="687"/>
      <c r="BC31" s="641"/>
      <c r="BD31" s="729"/>
      <c r="BE31" s="729"/>
      <c r="BF31" s="729"/>
      <c r="BG31" s="729"/>
      <c r="BH31" s="729"/>
    </row>
    <row s="19160" customFormat="1" customHeight="1" ht="18.75">
      <c r="A32" s="1734"/>
      <c r="B32" s="1734"/>
      <c r="C32" s="1734"/>
      <c r="D32" s="1734"/>
      <c r="E32" s="1734"/>
      <c r="F32" s="1734"/>
      <c r="G32" s="1734"/>
      <c r="H32" s="1734"/>
      <c r="I32" s="1734"/>
      <c r="J32" s="1734"/>
      <c r="K32" s="1734"/>
      <c r="L32" s="1735"/>
      <c r="M32" s="1734"/>
      <c r="N32" s="1734"/>
      <c r="O32" s="1734"/>
      <c r="P32" s="1734"/>
      <c r="Q32" s="1734"/>
      <c r="S32" s="2518" t="s">
        <v>421</v>
      </c>
      <c r="T32" s="2518"/>
      <c r="U32" s="1738"/>
      <c r="V32" s="2519" t="str">
        <f>IF(TITLE_DATE_PR_CHANGE="",IF(TITLE_DATE_PR="","",TITLE_DATE_PR),TITLE_DATE_PR_CHANGE)</f>
        <v>45280.70914351852</v>
      </c>
      <c r="W32" s="2519"/>
      <c r="X32" s="2519"/>
      <c r="Y32" s="2519"/>
      <c r="Z32" s="2519"/>
      <c r="AA32" s="2519"/>
      <c r="AB32" s="2519"/>
      <c r="AC32" s="687"/>
      <c r="AD32" s="2519" t="str">
        <f>IF(TITLE_DATE_PR_CHANGE="",IF(TITLE_DATE_PR="","",TITLE_DATE_PR),TITLE_DATE_PR_CHANGE)</f>
        <v>45280.70914351852</v>
      </c>
      <c r="AE32" s="2519"/>
      <c r="AF32" s="2519"/>
      <c r="AG32" s="2519"/>
      <c r="AH32" s="2519"/>
      <c r="AI32" s="2519"/>
      <c r="AJ32" s="2519"/>
      <c r="AK32" s="2519"/>
      <c r="AL32" s="2519"/>
      <c r="AM32" s="2519"/>
      <c r="AN32" s="2519"/>
      <c r="AO32" s="2519"/>
      <c r="AP32" s="2519"/>
      <c r="AQ32" s="2519"/>
      <c r="AR32" s="2519"/>
      <c r="AS32" s="2519"/>
      <c r="AT32" s="2519"/>
      <c r="AU32" s="2519"/>
      <c r="AV32" s="2519"/>
      <c r="AW32" s="2519"/>
      <c r="AX32" s="2519"/>
      <c r="AY32" s="2519"/>
      <c r="AZ32" s="2519"/>
      <c r="BA32" s="687"/>
      <c r="BB32" s="687"/>
      <c r="BC32" s="641"/>
      <c r="BD32" s="729"/>
      <c r="BE32" s="729"/>
      <c r="BF32" s="729"/>
      <c r="BG32" s="729"/>
      <c r="BH32" s="729"/>
    </row>
    <row s="19160" customFormat="1" customHeight="1" ht="18.75">
      <c r="A33" s="1734"/>
      <c r="B33" s="1734"/>
      <c r="C33" s="1734"/>
      <c r="D33" s="1734"/>
      <c r="E33" s="1734"/>
      <c r="F33" s="1734"/>
      <c r="G33" s="1734"/>
      <c r="H33" s="1734"/>
      <c r="I33" s="1734"/>
      <c r="J33" s="1734"/>
      <c r="K33" s="1734"/>
      <c r="L33" s="1735"/>
      <c r="M33" s="1734"/>
      <c r="N33" s="1734"/>
      <c r="O33" s="1734"/>
      <c r="P33" s="1734"/>
      <c r="Q33" s="1734"/>
      <c r="S33" s="2518" t="s">
        <v>422</v>
      </c>
      <c r="T33" s="2518"/>
      <c r="U33" s="1738"/>
      <c r="V33" s="2520" t="str">
        <f>IF(TITLE_NUMBER_PR_CHANGE="",IF(TITLE_NUMBER_PR="","",TITLE_NUMBER_PR),TITLE_NUMBER_PR_CHANGE)</f>
        <v>317-Р</v>
      </c>
      <c r="W33" s="2520"/>
      <c r="X33" s="2520"/>
      <c r="Y33" s="2520"/>
      <c r="Z33" s="2520"/>
      <c r="AA33" s="2520"/>
      <c r="AB33" s="2520"/>
      <c r="AC33" s="687"/>
      <c r="AD33" s="2520" t="str">
        <f>IF(TITLE_NUMBER_PR_CHANGE="",IF(TITLE_NUMBER_PR="","",TITLE_NUMBER_PR),TITLE_NUMBER_PR_CHANGE)</f>
        <v>317-Р</v>
      </c>
      <c r="AE33" s="2520"/>
      <c r="AF33" s="2520"/>
      <c r="AG33" s="2520"/>
      <c r="AH33" s="2520"/>
      <c r="AI33" s="2520"/>
      <c r="AJ33" s="2520"/>
      <c r="AK33" s="2520"/>
      <c r="AL33" s="2520"/>
      <c r="AM33" s="2520"/>
      <c r="AN33" s="2520"/>
      <c r="AO33" s="2520"/>
      <c r="AP33" s="2520"/>
      <c r="AQ33" s="2520"/>
      <c r="AR33" s="2520"/>
      <c r="AS33" s="2520"/>
      <c r="AT33" s="2520"/>
      <c r="AU33" s="2520"/>
      <c r="AV33" s="2520"/>
      <c r="AW33" s="2520"/>
      <c r="AX33" s="2520"/>
      <c r="AY33" s="2520"/>
      <c r="AZ33" s="2520"/>
      <c r="BA33" s="687"/>
      <c r="BB33" s="687"/>
      <c r="BC33" s="641"/>
      <c r="BD33" s="729"/>
      <c r="BE33" s="729"/>
      <c r="BF33" s="729"/>
      <c r="BG33" s="729"/>
      <c r="BH33" s="729"/>
    </row>
    <row s="19160" customFormat="1" customHeight="1" ht="18.75">
      <c r="A34" s="1734"/>
      <c r="B34" s="1734"/>
      <c r="C34" s="1734"/>
      <c r="D34" s="1734"/>
      <c r="E34" s="1734"/>
      <c r="F34" s="1734"/>
      <c r="G34" s="1734"/>
      <c r="H34" s="1734"/>
      <c r="I34" s="1734"/>
      <c r="J34" s="1734"/>
      <c r="K34" s="1734"/>
      <c r="L34" s="1735"/>
      <c r="M34" s="1734"/>
      <c r="N34" s="1734"/>
      <c r="O34" s="1734"/>
      <c r="P34" s="1734"/>
      <c r="Q34" s="1734"/>
      <c r="S34" s="2518" t="s">
        <v>40</v>
      </c>
      <c r="T34" s="2518"/>
      <c r="U34" s="1738"/>
      <c r="V34"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4" s="2520"/>
      <c r="X34" s="2520"/>
      <c r="Y34" s="2520"/>
      <c r="Z34" s="2520"/>
      <c r="AA34" s="2520"/>
      <c r="AB34" s="2520"/>
      <c r="AC34" s="687"/>
      <c r="AD34"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4" s="2520"/>
      <c r="AF34" s="2520"/>
      <c r="AG34" s="2520"/>
      <c r="AH34" s="2520"/>
      <c r="AI34" s="2520"/>
      <c r="AJ34" s="2520"/>
      <c r="AK34" s="2520"/>
      <c r="AL34" s="2520"/>
      <c r="AM34" s="2520"/>
      <c r="AN34" s="2520"/>
      <c r="AO34" s="2520"/>
      <c r="AP34" s="2520"/>
      <c r="AQ34" s="2520"/>
      <c r="AR34" s="2520"/>
      <c r="AS34" s="2520"/>
      <c r="AT34" s="2520"/>
      <c r="AU34" s="2520"/>
      <c r="AV34" s="2520"/>
      <c r="AW34" s="2520"/>
      <c r="AX34" s="2520"/>
      <c r="AY34" s="2520"/>
      <c r="AZ34" s="2520"/>
      <c r="BA34" s="687"/>
      <c r="BB34" s="687"/>
      <c r="BC34" s="641"/>
      <c r="BD34" s="729"/>
      <c r="BE34" s="729"/>
      <c r="BF34" s="729"/>
      <c r="BG34" s="729"/>
      <c r="BH34" s="729"/>
    </row>
    <row customHeight="1" ht="14.25" hidden="1">
      <c r="Q35" s="652"/>
      <c r="R35" s="737"/>
      <c r="S35" s="1641"/>
      <c r="T35" s="724"/>
      <c r="U35" s="724"/>
      <c r="V35" s="683"/>
      <c r="W35" s="683"/>
      <c r="X35" s="683"/>
      <c r="Y35" s="683"/>
      <c r="Z35" s="683"/>
      <c r="AA35" s="683"/>
      <c r="AB35" s="683"/>
      <c r="AC35" s="683"/>
      <c r="AD35" s="683"/>
      <c r="AE35" s="683"/>
      <c r="AF35" s="683"/>
      <c r="AG35" s="683"/>
      <c r="AH35" s="683"/>
      <c r="AI35" s="683"/>
      <c r="AJ35" s="683"/>
      <c r="AK35" s="683"/>
      <c r="AL35" s="683"/>
      <c r="AM35" s="683"/>
      <c r="AN35" s="683"/>
      <c r="AO35" s="683"/>
      <c r="AP35" s="683"/>
      <c r="AQ35" s="683"/>
      <c r="AR35" s="683"/>
      <c r="AS35" s="683"/>
      <c r="AT35" s="683"/>
      <c r="AU35" s="683"/>
      <c r="AV35" s="683"/>
      <c r="AW35" s="683"/>
      <c r="AX35" s="683"/>
      <c r="AY35" s="683"/>
      <c r="AZ35" s="683"/>
      <c r="BA35" s="683"/>
      <c r="BB35" s="870"/>
    </row>
    <row s="19160" customFormat="1" customHeight="1" ht="18.75" hidden="1">
      <c r="A36" s="1734"/>
      <c r="B36" s="1734"/>
      <c r="C36" s="1734"/>
      <c r="D36" s="1734"/>
      <c r="E36" s="1734"/>
      <c r="F36" s="1734"/>
      <c r="G36" s="1734"/>
      <c r="H36" s="1734"/>
      <c r="I36" s="1734"/>
      <c r="J36" s="1734"/>
      <c r="K36" s="1734"/>
      <c r="L36" s="1735"/>
      <c r="M36" s="1734"/>
      <c r="N36" s="1734"/>
      <c r="O36" s="1734"/>
      <c r="P36" s="1734"/>
      <c r="Q36" s="1734"/>
      <c r="S36" s="2518" t="s">
        <v>421</v>
      </c>
      <c r="T36" s="2518"/>
      <c r="U36" s="1738"/>
      <c r="V36" s="2519" t="str">
        <f>IF(TITLE_DATE_PR_CHANGE="",IF(TITLE_DATE_PR="","",TITLE_DATE_PR),TITLE_DATE_PR_CHANGE)</f>
        <v>45280.70914351852</v>
      </c>
      <c r="W36" s="2519"/>
      <c r="X36" s="2519"/>
      <c r="Y36" s="2519"/>
      <c r="Z36" s="2519"/>
      <c r="AA36" s="2519"/>
      <c r="AB36" s="2519"/>
      <c r="AC36" s="687"/>
      <c r="AD36" s="2519" t="str">
        <f>IF(TITLE_DATE_PR_CHANGE="",IF(TITLE_DATE_PR="","",TITLE_DATE_PR),TITLE_DATE_PR_CHANGE)</f>
        <v>45280.70914351852</v>
      </c>
      <c r="AE36" s="2519"/>
      <c r="AF36" s="2519"/>
      <c r="AG36" s="2519"/>
      <c r="AH36" s="2519"/>
      <c r="AI36" s="2519"/>
      <c r="AJ36" s="2519"/>
      <c r="AK36" s="2519"/>
      <c r="AL36" s="2519"/>
      <c r="AM36" s="2519"/>
      <c r="AN36" s="2519"/>
      <c r="AO36" s="2519"/>
      <c r="AP36" s="2519"/>
      <c r="AQ36" s="2519"/>
      <c r="AR36" s="2519"/>
      <c r="AS36" s="2519"/>
      <c r="AT36" s="2519"/>
      <c r="AU36" s="2519"/>
      <c r="AV36" s="2519"/>
      <c r="AW36" s="2519"/>
      <c r="AX36" s="2519"/>
      <c r="AY36" s="2519"/>
      <c r="AZ36" s="2519"/>
      <c r="BA36" s="687"/>
      <c r="BB36" s="687"/>
      <c r="BC36" s="641"/>
      <c r="BD36" s="729"/>
      <c r="BE36" s="729"/>
      <c r="BF36" s="729"/>
      <c r="BG36" s="729"/>
      <c r="BH36" s="729"/>
    </row>
    <row s="19160" customFormat="1" customHeight="1" ht="18.75" hidden="1">
      <c r="A37" s="1734"/>
      <c r="B37" s="1734"/>
      <c r="C37" s="1734"/>
      <c r="D37" s="1734"/>
      <c r="E37" s="1734"/>
      <c r="F37" s="1734"/>
      <c r="G37" s="1734"/>
      <c r="H37" s="1734"/>
      <c r="I37" s="1734"/>
      <c r="J37" s="1734"/>
      <c r="K37" s="1734"/>
      <c r="L37" s="1735"/>
      <c r="M37" s="1734"/>
      <c r="N37" s="1734"/>
      <c r="O37" s="1734"/>
      <c r="P37" s="1734"/>
      <c r="Q37" s="1734"/>
      <c r="S37" s="2518" t="s">
        <v>422</v>
      </c>
      <c r="T37" s="2518"/>
      <c r="U37" s="1738"/>
      <c r="V37" s="2520" t="str">
        <f>IF(TITLE_NUMBER_PR_CHANGE="",IF(TITLE_NUMBER_PR="","",TITLE_NUMBER_PR),TITLE_NUMBER_PR_CHANGE)</f>
        <v>317-Р</v>
      </c>
      <c r="W37" s="2520"/>
      <c r="X37" s="2520"/>
      <c r="Y37" s="2520"/>
      <c r="Z37" s="2520"/>
      <c r="AA37" s="2520"/>
      <c r="AB37" s="2520"/>
      <c r="AC37" s="687"/>
      <c r="AD37" s="2520" t="str">
        <f>IF(TITLE_NUMBER_PR_CHANGE="",IF(TITLE_NUMBER_PR="","",TITLE_NUMBER_PR),TITLE_NUMBER_PR_CHANGE)</f>
        <v>317-Р</v>
      </c>
      <c r="AE37" s="2520"/>
      <c r="AF37" s="2520"/>
      <c r="AG37" s="2520"/>
      <c r="AH37" s="2520"/>
      <c r="AI37" s="2520"/>
      <c r="AJ37" s="2520"/>
      <c r="AK37" s="2520"/>
      <c r="AL37" s="2520"/>
      <c r="AM37" s="2520"/>
      <c r="AN37" s="2520"/>
      <c r="AO37" s="2520"/>
      <c r="AP37" s="2520"/>
      <c r="AQ37" s="2520"/>
      <c r="AR37" s="2520"/>
      <c r="AS37" s="2520"/>
      <c r="AT37" s="2520"/>
      <c r="AU37" s="2520"/>
      <c r="AV37" s="2520"/>
      <c r="AW37" s="2520"/>
      <c r="AX37" s="2520"/>
      <c r="AY37" s="2520"/>
      <c r="AZ37" s="2520"/>
      <c r="BA37" s="687"/>
      <c r="BB37" s="687"/>
      <c r="BC37" s="641"/>
      <c r="BD37" s="729"/>
      <c r="BE37" s="729"/>
      <c r="BF37" s="729"/>
      <c r="BG37" s="729"/>
      <c r="BH37" s="729"/>
    </row>
    <row s="19160" customFormat="1" customHeight="1" ht="0">
      <c r="A38" s="1734"/>
      <c r="B38" s="1734"/>
      <c r="C38" s="1734"/>
      <c r="D38" s="1734"/>
      <c r="E38" s="1734"/>
      <c r="F38" s="1734"/>
      <c r="G38" s="1734"/>
      <c r="H38" s="1734"/>
      <c r="I38" s="1734"/>
      <c r="J38" s="1734"/>
      <c r="K38" s="1734"/>
      <c r="L38" s="1735"/>
      <c r="M38" s="1734"/>
      <c r="N38" s="1734"/>
      <c r="O38" s="1734"/>
      <c r="P38" s="1734"/>
      <c r="Q38" s="1734"/>
      <c r="S38" s="684"/>
      <c r="T38" s="684"/>
      <c r="U38" s="1820"/>
      <c r="V38" s="687"/>
      <c r="W38" s="687"/>
      <c r="X38" s="687"/>
      <c r="Y38" s="687"/>
      <c r="Z38" s="687"/>
      <c r="AA38" s="687"/>
      <c r="AB38" s="687"/>
      <c r="AC38" s="639" t="s">
        <v>425</v>
      </c>
      <c r="AD38" s="687"/>
      <c r="AE38" s="687"/>
      <c r="AF38" s="687"/>
      <c r="AG38" s="687"/>
      <c r="AH38" s="687"/>
      <c r="AI38" s="687"/>
      <c r="AJ38" s="687"/>
      <c r="AK38" s="687"/>
      <c r="AL38" s="687"/>
      <c r="AM38" s="687"/>
      <c r="AN38" s="687"/>
      <c r="AO38" s="687"/>
      <c r="AP38" s="687"/>
      <c r="AQ38" s="687"/>
      <c r="AR38" s="687"/>
      <c r="AS38" s="687"/>
      <c r="AT38" s="687"/>
      <c r="AU38" s="687"/>
      <c r="AV38" s="687"/>
      <c r="AW38" s="687"/>
      <c r="AX38" s="687"/>
      <c r="AY38" s="687"/>
      <c r="AZ38" s="687"/>
      <c r="BA38" s="639" t="s">
        <v>425</v>
      </c>
      <c r="BD38" s="729"/>
      <c r="BE38" s="729"/>
      <c r="BF38" s="729"/>
      <c r="BG38" s="729"/>
      <c r="BH38" s="729"/>
    </row>
    <row customHeight="1" ht="14.25">
      <c r="Q39" s="652"/>
      <c r="R39" s="737"/>
      <c r="S39" s="1641"/>
      <c r="T39" s="724"/>
      <c r="U39" s="1609"/>
      <c r="V39" s="2544"/>
      <c r="W39" s="2544"/>
      <c r="X39" s="2544"/>
      <c r="Y39" s="2544"/>
      <c r="Z39" s="2544"/>
      <c r="AA39" s="2544"/>
      <c r="AB39" s="2544"/>
      <c r="AC39" s="2544"/>
      <c r="AD39" s="2544"/>
      <c r="AE39" s="2544"/>
      <c r="AF39" s="2544"/>
      <c r="AG39" s="2544"/>
      <c r="AH39" s="2544"/>
      <c r="AI39" s="2544"/>
      <c r="AJ39" s="2544"/>
      <c r="AK39" s="2544"/>
      <c r="AL39" s="2544"/>
      <c r="AM39" s="2544"/>
      <c r="AN39" s="2544"/>
      <c r="AO39" s="2544"/>
      <c r="AP39" s="2544"/>
      <c r="AQ39" s="2544"/>
      <c r="AR39" s="2544"/>
      <c r="AS39" s="2544"/>
      <c r="AT39" s="2544"/>
      <c r="AU39" s="2544"/>
      <c r="AV39" s="2544"/>
      <c r="AW39" s="2544"/>
      <c r="AX39" s="2544"/>
      <c r="AY39" s="2544"/>
      <c r="AZ39" s="2544"/>
      <c r="BA39" s="2544"/>
    </row>
    <row customHeight="1" ht="14.25">
      <c r="Q40" s="652"/>
      <c r="R40" s="737"/>
      <c r="S40" s="2392" t="s">
        <v>300</v>
      </c>
      <c r="T40" s="2392"/>
      <c r="U40" s="2392"/>
      <c r="V40" s="2392"/>
      <c r="W40" s="2392"/>
      <c r="X40" s="2392"/>
      <c r="Y40" s="2392"/>
      <c r="Z40" s="2392"/>
      <c r="AA40" s="2392"/>
      <c r="AB40" s="2392"/>
      <c r="AC40" s="2392"/>
      <c r="AD40" s="2392"/>
      <c r="AE40" s="2392"/>
      <c r="AF40" s="2392"/>
      <c r="AG40" s="2392"/>
      <c r="AH40" s="2392"/>
      <c r="AI40" s="2392"/>
      <c r="AJ40" s="2392"/>
      <c r="AK40" s="2392"/>
      <c r="AL40" s="2392"/>
      <c r="AM40" s="2392"/>
      <c r="AN40" s="2392"/>
      <c r="AO40" s="2392"/>
      <c r="AP40" s="2392"/>
      <c r="AQ40" s="2392"/>
      <c r="AR40" s="2392"/>
      <c r="AS40" s="2392"/>
      <c r="AT40" s="2392"/>
      <c r="AU40" s="2392"/>
      <c r="AV40" s="2392"/>
      <c r="AW40" s="2392"/>
      <c r="AX40" s="2392"/>
      <c r="AY40" s="2392"/>
      <c r="AZ40" s="2392"/>
      <c r="BA40" s="2392"/>
      <c r="BB40" s="2392"/>
      <c r="BC40" s="2392" t="s">
        <v>301</v>
      </c>
    </row>
    <row customHeight="1" ht="14.25">
      <c r="Q41" s="652"/>
      <c r="R41" s="737"/>
      <c r="S41" s="2545" t="s">
        <v>85</v>
      </c>
      <c r="T41" s="2482" t="s">
        <v>505</v>
      </c>
      <c r="U41" s="662"/>
      <c r="V41" s="2546" t="s">
        <v>427</v>
      </c>
      <c r="W41" s="2547"/>
      <c r="X41" s="2547"/>
      <c r="Y41" s="2547"/>
      <c r="Z41" s="2547"/>
      <c r="AA41" s="2547"/>
      <c r="AB41" s="2548"/>
      <c r="AC41" s="2549" t="s">
        <v>428</v>
      </c>
      <c r="AD41" s="2593" t="s">
        <v>506</v>
      </c>
      <c r="AE41" s="2568"/>
      <c r="AF41" s="2568"/>
      <c r="AG41" s="2594"/>
      <c r="AH41" s="2593" t="s">
        <v>507</v>
      </c>
      <c r="AI41" s="2568"/>
      <c r="AJ41" s="2568"/>
      <c r="AK41" s="2594"/>
      <c r="AL41" s="2593" t="s">
        <v>508</v>
      </c>
      <c r="AM41" s="2568"/>
      <c r="AN41" s="2568"/>
      <c r="AO41" s="2594"/>
      <c r="AP41" s="2593" t="s">
        <v>509</v>
      </c>
      <c r="AQ41" s="2568"/>
      <c r="AR41" s="2568"/>
      <c r="AS41" s="2594"/>
      <c r="AT41" s="2546" t="s">
        <v>427</v>
      </c>
      <c r="AU41" s="2547"/>
      <c r="AV41" s="2547"/>
      <c r="AW41" s="2547"/>
      <c r="AX41" s="2547"/>
      <c r="AY41" s="2547"/>
      <c r="AZ41" s="2548"/>
      <c r="BA41" s="2549" t="s">
        <v>428</v>
      </c>
      <c r="BB41" s="2552" t="s">
        <v>430</v>
      </c>
      <c r="BC41" s="2392"/>
    </row>
    <row customHeight="1" ht="33.75">
      <c r="Q42" s="652"/>
      <c r="R42" s="737"/>
      <c r="S42" s="2545"/>
      <c r="T42" s="2482"/>
      <c r="U42" s="1393"/>
      <c r="V42" s="2450" t="s">
        <v>510</v>
      </c>
      <c r="W42" s="2451"/>
      <c r="X42" s="2450" t="s">
        <v>511</v>
      </c>
      <c r="Y42" s="2451"/>
      <c r="Z42" s="2566" t="s">
        <v>512</v>
      </c>
      <c r="AA42" s="2584"/>
      <c r="AB42" s="2585"/>
      <c r="AC42" s="2550"/>
      <c r="AD42" s="2595"/>
      <c r="AE42" s="2596"/>
      <c r="AF42" s="2596"/>
      <c r="AG42" s="2608"/>
      <c r="AH42" s="2595"/>
      <c r="AI42" s="2596"/>
      <c r="AJ42" s="2596"/>
      <c r="AK42" s="2608"/>
      <c r="AL42" s="2595"/>
      <c r="AM42" s="2596"/>
      <c r="AN42" s="2596"/>
      <c r="AO42" s="2608"/>
      <c r="AP42" s="2595"/>
      <c r="AQ42" s="2596"/>
      <c r="AR42" s="2596"/>
      <c r="AS42" s="2608"/>
      <c r="AT42" s="2450" t="s">
        <v>510</v>
      </c>
      <c r="AU42" s="2451"/>
      <c r="AV42" s="2450" t="s">
        <v>511</v>
      </c>
      <c r="AW42" s="2451"/>
      <c r="AX42" s="2566" t="s">
        <v>512</v>
      </c>
      <c r="AY42" s="2584"/>
      <c r="AZ42" s="2585"/>
      <c r="BA42" s="2550"/>
      <c r="BB42" s="2553"/>
      <c r="BC42" s="2392"/>
    </row>
    <row customHeight="1" ht="14.25">
      <c r="Q43" s="652"/>
      <c r="R43" s="737"/>
      <c r="S43" s="2545"/>
      <c r="T43" s="2482"/>
      <c r="U43" s="1393"/>
      <c r="V43" s="2458"/>
      <c r="W43" s="2459"/>
      <c r="X43" s="2458"/>
      <c r="Y43" s="2459"/>
      <c r="Z43" s="2567"/>
      <c r="AA43" s="2586"/>
      <c r="AB43" s="2587"/>
      <c r="AC43" s="2550"/>
      <c r="AD43" s="2595"/>
      <c r="AE43" s="2596"/>
      <c r="AF43" s="2596"/>
      <c r="AG43" s="2608"/>
      <c r="AH43" s="2595"/>
      <c r="AI43" s="2596"/>
      <c r="AJ43" s="2596"/>
      <c r="AK43" s="2608"/>
      <c r="AL43" s="2595"/>
      <c r="AM43" s="2596"/>
      <c r="AN43" s="2596"/>
      <c r="AO43" s="2608"/>
      <c r="AP43" s="2595"/>
      <c r="AQ43" s="2596"/>
      <c r="AR43" s="2596"/>
      <c r="AS43" s="2608"/>
      <c r="AT43" s="2458"/>
      <c r="AU43" s="2459"/>
      <c r="AV43" s="2458"/>
      <c r="AW43" s="2459"/>
      <c r="AX43" s="2567"/>
      <c r="AY43" s="2586"/>
      <c r="AZ43" s="2587"/>
      <c r="BA43" s="2550"/>
      <c r="BB43" s="2553"/>
      <c r="BC43" s="2392"/>
    </row>
    <row customHeight="1" ht="14.25">
      <c r="A44" s="1736"/>
      <c r="B44" s="1736" t="s">
        <v>132</v>
      </c>
      <c r="C44" s="1736" t="s">
        <v>133</v>
      </c>
      <c r="D44" s="1736" t="s">
        <v>134</v>
      </c>
      <c r="E44" s="1730" t="s">
        <v>435</v>
      </c>
      <c r="F44" s="1730" t="s">
        <v>436</v>
      </c>
      <c r="G44" s="1730" t="s">
        <v>437</v>
      </c>
      <c r="H44" s="1730" t="s">
        <v>438</v>
      </c>
      <c r="I44" s="1730" t="s">
        <v>439</v>
      </c>
      <c r="J44" s="1730" t="s">
        <v>440</v>
      </c>
      <c r="K44" s="1730" t="s">
        <v>441</v>
      </c>
      <c r="L44" s="1730" t="s">
        <v>416</v>
      </c>
      <c r="Q44" s="652"/>
      <c r="R44" s="737"/>
      <c r="S44" s="2545"/>
      <c r="T44" s="2482"/>
      <c r="U44" s="663"/>
      <c r="V44" s="1814" t="s">
        <v>476</v>
      </c>
      <c r="W44" s="1814" t="s">
        <v>477</v>
      </c>
      <c r="X44" s="1814" t="s">
        <v>476</v>
      </c>
      <c r="Y44" s="1814" t="s">
        <v>477</v>
      </c>
      <c r="Z44" s="1821" t="s">
        <v>444</v>
      </c>
      <c r="AA44" s="2541" t="s">
        <v>445</v>
      </c>
      <c r="AB44" s="2542"/>
      <c r="AC44" s="2551"/>
      <c r="AD44" s="2597"/>
      <c r="AE44" s="2598"/>
      <c r="AF44" s="2598"/>
      <c r="AG44" s="2599"/>
      <c r="AH44" s="2597"/>
      <c r="AI44" s="2598"/>
      <c r="AJ44" s="2598"/>
      <c r="AK44" s="2599"/>
      <c r="AL44" s="2597"/>
      <c r="AM44" s="2598"/>
      <c r="AN44" s="2598"/>
      <c r="AO44" s="2599"/>
      <c r="AP44" s="2597"/>
      <c r="AQ44" s="2598"/>
      <c r="AR44" s="2598"/>
      <c r="AS44" s="2599"/>
      <c r="AT44" s="1814" t="s">
        <v>476</v>
      </c>
      <c r="AU44" s="1814" t="s">
        <v>477</v>
      </c>
      <c r="AV44" s="1814" t="s">
        <v>476</v>
      </c>
      <c r="AW44" s="1814" t="s">
        <v>477</v>
      </c>
      <c r="AX44" s="1821" t="s">
        <v>444</v>
      </c>
      <c r="AY44" s="2541" t="s">
        <v>445</v>
      </c>
      <c r="AZ44" s="2542"/>
      <c r="BA44" s="2551"/>
      <c r="BB44" s="2554"/>
      <c r="BC44" s="2392"/>
    </row>
    <row s="18977" customFormat="1" customHeight="1" ht="11.25" hidden="1">
      <c r="A45" s="1736"/>
      <c r="B45" s="1736"/>
      <c r="C45" s="1736"/>
      <c r="D45" s="1736"/>
      <c r="E45" s="1736"/>
      <c r="F45" s="1736"/>
      <c r="G45" s="1736"/>
      <c r="H45" s="1736"/>
      <c r="I45" s="1736"/>
      <c r="J45" s="1736"/>
      <c r="K45" s="1736"/>
      <c r="L45" s="1730"/>
      <c r="M45" s="1728"/>
      <c r="N45" s="1728"/>
      <c r="O45" s="1728"/>
      <c r="P45" s="871"/>
      <c r="Q45" s="1619"/>
      <c r="R45" s="1619">
        <v>1</v>
      </c>
      <c r="S45" s="1643" t="s">
        <v>106</v>
      </c>
      <c r="T45" s="1620" t="s">
        <v>107</v>
      </c>
      <c r="U45" s="1610" t="str">
        <f>OFFSET(U45,0,-1)</f>
        <v>2</v>
      </c>
      <c r="V45" s="1817">
        <f>OFFSET(V45,0,-1)+1</f>
        <v>3</v>
      </c>
      <c r="W45" s="1817">
        <f>OFFSET(W45,0,-1)+1</f>
        <v>4</v>
      </c>
      <c r="X45" s="1817">
        <f>OFFSET(X45,0,-1)+1</f>
        <v>5</v>
      </c>
      <c r="Y45" s="1817">
        <f>OFFSET(Y45,0,-1)+1</f>
        <v>6</v>
      </c>
      <c r="Z45" s="1817">
        <f>OFFSET(Z45,0,-1)+1</f>
        <v>7</v>
      </c>
      <c r="AA45" s="2543">
        <f>OFFSET(AA45,0,-1)+1</f>
        <v>8</v>
      </c>
      <c r="AB45" s="2543"/>
      <c r="AC45" s="1817">
        <f>OFFSET(AC45,0,-2)+1</f>
        <v>9</v>
      </c>
      <c r="AD45" s="1817">
        <f>OFFSET(AD45,0,-1)+1</f>
        <v>10</v>
      </c>
      <c r="AE45" s="1817"/>
      <c r="AF45" s="1817"/>
      <c r="AG45" s="1817"/>
      <c r="AH45" s="1817"/>
      <c r="AI45" s="1817"/>
      <c r="AJ45" s="1817"/>
      <c r="AK45" s="1817"/>
      <c r="AL45" s="1817"/>
      <c r="AM45" s="1817"/>
      <c r="AN45" s="1817"/>
      <c r="AO45" s="1817"/>
      <c r="AP45" s="1817"/>
      <c r="AQ45" s="1817"/>
      <c r="AR45" s="1817"/>
      <c r="AS45" s="1817"/>
      <c r="AT45" s="1817"/>
      <c r="AU45" s="1817"/>
      <c r="AV45" s="1817"/>
      <c r="AW45" s="1817">
        <f>OFFSET(AW45,0,-1)+1</f>
        <v>1</v>
      </c>
      <c r="AX45" s="1817">
        <f>OFFSET(AX45,0,-1)+1</f>
        <v>2</v>
      </c>
      <c r="AY45" s="2543">
        <f>OFFSET(AY45,0,-1)+1</f>
        <v>3</v>
      </c>
      <c r="AZ45" s="2543"/>
      <c r="BA45" s="1817">
        <f>OFFSET(BA45,0,-2)+1</f>
        <v>4</v>
      </c>
      <c r="BB45" s="1610">
        <f>OFFSET(BB45,0,-1)</f>
        <v>4</v>
      </c>
      <c r="BC45" s="1817">
        <f>OFFSET(BC45,0,-1)+1</f>
        <v>5</v>
      </c>
      <c r="BD45" s="872"/>
      <c r="BE45" s="872"/>
      <c r="BF45" s="872"/>
      <c r="BG45" s="872"/>
      <c r="BH45" s="872"/>
    </row>
    <row customHeight="1" ht="21">
      <c r="A46" s="1729" t="s">
        <v>241</v>
      </c>
      <c r="B46" s="1729"/>
      <c r="C46" s="1729"/>
      <c r="D46" s="1729"/>
      <c r="E46" s="2527">
        <v>1</v>
      </c>
      <c r="F46" s="1729"/>
      <c r="G46" s="1729"/>
      <c r="H46" s="1729"/>
      <c r="I46" s="1729"/>
      <c r="J46" s="1729"/>
      <c r="K46" s="1729"/>
      <c r="L46" s="1730"/>
      <c r="M46" s="1731"/>
      <c r="N46" s="1731"/>
      <c r="O46" s="1731"/>
      <c r="P46" s="1775"/>
      <c r="Q46" s="1234"/>
      <c r="R46" s="716"/>
      <c r="S46" s="1823">
        <f>INDEX(PT_DIFFERENTIATION_NUM_NTAR,MATCH(A46,PT_DIFFERENTIATION_NTAR_ID,0))</f>
        <v>0</v>
      </c>
      <c r="T46" s="659" t="s">
        <v>120</v>
      </c>
      <c r="U46" s="661"/>
      <c r="V46" s="2522"/>
      <c r="W46" s="2522"/>
      <c r="X46" s="2522"/>
      <c r="Y46" s="2522"/>
      <c r="Z46" s="2522"/>
      <c r="AA46" s="2522"/>
      <c r="AB46" s="2522"/>
      <c r="AC46" s="2523"/>
      <c r="AD46" s="2521" t="str">
        <f>INDEX(PT_DIFFERENTIATION_NTAR,MATCH(A46,PT_DIFFERENTIATION_NTAR_ID,0))</f>
        <v/>
      </c>
      <c r="AE46" s="2522"/>
      <c r="AF46" s="2522"/>
      <c r="AG46" s="2522"/>
      <c r="AH46" s="2522"/>
      <c r="AI46" s="2522"/>
      <c r="AJ46" s="2522"/>
      <c r="AK46" s="2522"/>
      <c r="AL46" s="2522"/>
      <c r="AM46" s="2522"/>
      <c r="AN46" s="2522"/>
      <c r="AO46" s="2522"/>
      <c r="AP46" s="2522"/>
      <c r="AQ46" s="2522"/>
      <c r="AR46" s="2522"/>
      <c r="AS46" s="2522"/>
      <c r="AT46" s="2522"/>
      <c r="AU46" s="2522"/>
      <c r="AV46" s="2522"/>
      <c r="AW46" s="2522"/>
      <c r="AX46" s="2522"/>
      <c r="AY46" s="2522"/>
      <c r="AZ46" s="2522"/>
      <c r="BA46" s="2522"/>
      <c r="BB46" s="2523"/>
      <c r="BC46" s="16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861"/>
      <c r="BF46" s="861" t="str">
        <f>IF(T46="","",T46)</f>
        <v>Наименование тарифа</v>
      </c>
      <c r="BG46" s="861"/>
      <c r="BH46" s="861"/>
    </row>
    <row customHeight="1" ht="21">
      <c r="A47" s="1729" t="s">
        <v>241</v>
      </c>
      <c r="B47" s="1729" t="s">
        <v>242</v>
      </c>
      <c r="C47" s="1729"/>
      <c r="D47" s="1729"/>
      <c r="E47" s="2528"/>
      <c r="F47" s="2527">
        <v>1</v>
      </c>
      <c r="G47" s="1729"/>
      <c r="H47" s="1729"/>
      <c r="I47" s="1729"/>
      <c r="J47" s="1729"/>
      <c r="K47" s="1729"/>
      <c r="L47" s="1730"/>
      <c r="M47" s="1731"/>
      <c r="N47" s="1731"/>
      <c r="O47" s="1731"/>
      <c r="P47" s="1776"/>
      <c r="Q47" s="1777"/>
      <c r="R47" s="714"/>
      <c r="S47" s="1823" t="str">
        <f>INDEX(PT_DIFFERENTIATION_NUM_TER,MATCH(B47,PT_DIFFERENTIATION_TER_ID,0))</f>
        <v>.</v>
      </c>
      <c r="T47" s="669" t="s">
        <v>397</v>
      </c>
      <c r="U47" s="661"/>
      <c r="V47" s="2522"/>
      <c r="W47" s="2522"/>
      <c r="X47" s="2522"/>
      <c r="Y47" s="2522"/>
      <c r="Z47" s="2522"/>
      <c r="AA47" s="2522"/>
      <c r="AB47" s="2522"/>
      <c r="AC47" s="2523"/>
      <c r="AD47" s="2521" t="str">
        <f>INDEX(PT_DIFFERENTIATION_TER,MATCH(B47,PT_DIFFERENTIATION_TER_ID,0))</f>
        <v/>
      </c>
      <c r="AE47" s="2522"/>
      <c r="AF47" s="2522"/>
      <c r="AG47" s="2522"/>
      <c r="AH47" s="2522"/>
      <c r="AI47" s="2522"/>
      <c r="AJ47" s="2522"/>
      <c r="AK47" s="2522"/>
      <c r="AL47" s="2522"/>
      <c r="AM47" s="2522"/>
      <c r="AN47" s="2522"/>
      <c r="AO47" s="2522"/>
      <c r="AP47" s="2522"/>
      <c r="AQ47" s="2522"/>
      <c r="AR47" s="2522"/>
      <c r="AS47" s="2522"/>
      <c r="AT47" s="2522"/>
      <c r="AU47" s="2522"/>
      <c r="AV47" s="2522"/>
      <c r="AW47" s="2522"/>
      <c r="AX47" s="2522"/>
      <c r="AY47" s="2522"/>
      <c r="AZ47" s="2522"/>
      <c r="BA47" s="2522"/>
      <c r="BB47" s="2523"/>
      <c r="BC47" s="1623" t="s">
        <v>398</v>
      </c>
      <c r="BE47" s="861"/>
      <c r="BF47" s="861" t="str">
        <f>IF(T47="","",T47)</f>
        <v>Территория действия тарифа</v>
      </c>
      <c r="BG47" s="861"/>
      <c r="BH47" s="861"/>
    </row>
    <row customHeight="1" ht="42">
      <c r="A48" s="1729" t="s">
        <v>241</v>
      </c>
      <c r="B48" s="1729" t="s">
        <v>242</v>
      </c>
      <c r="C48" s="1729" t="s">
        <v>243</v>
      </c>
      <c r="D48" s="1729"/>
      <c r="E48" s="2528"/>
      <c r="F48" s="2528"/>
      <c r="G48" s="2527">
        <v>1</v>
      </c>
      <c r="H48" s="1729"/>
      <c r="I48" s="1729"/>
      <c r="J48" s="1729"/>
      <c r="K48" s="1729"/>
      <c r="L48" s="1730"/>
      <c r="M48" s="1731"/>
      <c r="N48" s="1731"/>
      <c r="O48" s="1731"/>
      <c r="P48" s="1778"/>
      <c r="Q48" s="1777"/>
      <c r="R48" s="714"/>
      <c r="S48" s="1823" t="str">
        <f>INDEX(PT_DIFFERENTIATION_NUM_CS,MATCH(C48,PT_DIFFERENTIATION_CS_ID,0))</f>
        <v>..</v>
      </c>
      <c r="T48" s="670" t="s">
        <v>479</v>
      </c>
      <c r="U48" s="661"/>
      <c r="V48" s="2522"/>
      <c r="W48" s="2522"/>
      <c r="X48" s="2522"/>
      <c r="Y48" s="2522"/>
      <c r="Z48" s="2522"/>
      <c r="AA48" s="2522"/>
      <c r="AB48" s="2522"/>
      <c r="AC48" s="2523"/>
      <c r="AD48" s="2521" t="str">
        <f>INDEX(PT_DIFFERENTIATION_CS,MATCH(C48,PT_DIFFERENTIATION_CS_ID,0))</f>
        <v/>
      </c>
      <c r="AE48" s="2522"/>
      <c r="AF48" s="2522"/>
      <c r="AG48" s="2522"/>
      <c r="AH48" s="2522"/>
      <c r="AI48" s="2522"/>
      <c r="AJ48" s="2522"/>
      <c r="AK48" s="2522"/>
      <c r="AL48" s="2522"/>
      <c r="AM48" s="2522"/>
      <c r="AN48" s="2522"/>
      <c r="AO48" s="2522"/>
      <c r="AP48" s="2522"/>
      <c r="AQ48" s="2522"/>
      <c r="AR48" s="2522"/>
      <c r="AS48" s="2522"/>
      <c r="AT48" s="2522"/>
      <c r="AU48" s="2522"/>
      <c r="AV48" s="2522"/>
      <c r="AW48" s="2522"/>
      <c r="AX48" s="2522"/>
      <c r="AY48" s="2522"/>
      <c r="AZ48" s="2522"/>
      <c r="BA48" s="2522"/>
      <c r="BB48" s="2523"/>
      <c r="BC48" s="1623" t="s">
        <v>480</v>
      </c>
      <c r="BE48" s="861"/>
      <c r="BF48" s="861" t="str">
        <f>IF(T48="","",T48)</f>
        <v>Наименование централизованной системы холодного водоснабжения</v>
      </c>
      <c r="BG48" s="861"/>
      <c r="BH48" s="861"/>
    </row>
    <row s="19219" customFormat="1" customHeight="1" ht="0">
      <c r="A49" s="1709" t="s">
        <v>241</v>
      </c>
      <c r="B49" s="1709" t="s">
        <v>242</v>
      </c>
      <c r="C49" s="1709" t="s">
        <v>243</v>
      </c>
      <c r="D49" s="1709" t="s">
        <v>513</v>
      </c>
      <c r="E49" s="2528"/>
      <c r="F49" s="2528"/>
      <c r="G49" s="2528"/>
      <c r="H49" s="2527">
        <v>1</v>
      </c>
      <c r="I49" s="1709"/>
      <c r="J49" s="1709"/>
      <c r="K49" s="1709"/>
      <c r="L49" s="1712"/>
      <c r="M49" s="1681"/>
      <c r="N49" s="1681"/>
      <c r="O49" s="1681"/>
      <c r="P49" s="1863"/>
      <c r="Q49" s="1864"/>
      <c r="R49" s="718"/>
      <c r="S49" s="1404"/>
      <c r="T49" s="1865"/>
      <c r="U49" s="1750"/>
      <c r="V49" s="2570"/>
      <c r="W49" s="2570"/>
      <c r="X49" s="2570"/>
      <c r="Y49" s="2570"/>
      <c r="Z49" s="2570"/>
      <c r="AA49" s="2570"/>
      <c r="AB49" s="2570"/>
      <c r="AC49" s="2571"/>
      <c r="AD49" s="2569"/>
      <c r="AE49" s="2570"/>
      <c r="AF49" s="2570"/>
      <c r="AG49" s="2570"/>
      <c r="AH49" s="2570"/>
      <c r="AI49" s="2570"/>
      <c r="AJ49" s="2570"/>
      <c r="AK49" s="2570"/>
      <c r="AL49" s="2570"/>
      <c r="AM49" s="2570"/>
      <c r="AN49" s="2570"/>
      <c r="AO49" s="2570"/>
      <c r="AP49" s="2570"/>
      <c r="AQ49" s="2570"/>
      <c r="AR49" s="2570"/>
      <c r="AS49" s="2570"/>
      <c r="AT49" s="2570"/>
      <c r="AU49" s="2570"/>
      <c r="AV49" s="2570"/>
      <c r="AW49" s="2570"/>
      <c r="AX49" s="2570"/>
      <c r="AY49" s="2570"/>
      <c r="AZ49" s="2570"/>
      <c r="BA49" s="2570"/>
      <c r="BB49" s="2571"/>
      <c r="BC49" s="1751" t="s">
        <v>402</v>
      </c>
      <c r="BE49" s="861"/>
      <c r="BF49" s="861" t="str">
        <f>IF(T49="","",T49)</f>
        <v/>
      </c>
      <c r="BG49" s="861"/>
      <c r="BH49" s="861"/>
    </row>
    <row s="19219" customFormat="1" customHeight="1" ht="0">
      <c r="A50" s="1709" t="s">
        <v>241</v>
      </c>
      <c r="B50" s="1709" t="s">
        <v>242</v>
      </c>
      <c r="C50" s="1709" t="s">
        <v>243</v>
      </c>
      <c r="D50" s="1709" t="s">
        <v>513</v>
      </c>
      <c r="E50" s="2528"/>
      <c r="F50" s="2528"/>
      <c r="G50" s="2528"/>
      <c r="H50" s="2528"/>
      <c r="I50" s="2529" t="str">
        <f>S49&amp;".1"</f>
        <v>.1</v>
      </c>
      <c r="J50" s="1709"/>
      <c r="K50" s="1709"/>
      <c r="L50" s="1712" t="s">
        <v>403</v>
      </c>
      <c r="M50" s="871"/>
      <c r="N50" s="871"/>
      <c r="O50" s="871"/>
      <c r="P50" s="2531">
        <v>1</v>
      </c>
      <c r="Q50" s="1828"/>
      <c r="R50" s="717"/>
      <c r="S50" s="1404"/>
      <c r="T50" s="1749"/>
      <c r="U50" s="1750"/>
      <c r="V50" s="2570"/>
      <c r="W50" s="2570"/>
      <c r="X50" s="2570"/>
      <c r="Y50" s="2570"/>
      <c r="Z50" s="2570"/>
      <c r="AA50" s="2570"/>
      <c r="AB50" s="2570"/>
      <c r="AC50" s="2571"/>
      <c r="AD50" s="2569"/>
      <c r="AE50" s="2570"/>
      <c r="AF50" s="2570"/>
      <c r="AG50" s="2570"/>
      <c r="AH50" s="2570"/>
      <c r="AI50" s="2570"/>
      <c r="AJ50" s="2570"/>
      <c r="AK50" s="2570"/>
      <c r="AL50" s="2570"/>
      <c r="AM50" s="2570"/>
      <c r="AN50" s="2570"/>
      <c r="AO50" s="2570"/>
      <c r="AP50" s="2570"/>
      <c r="AQ50" s="2570"/>
      <c r="AR50" s="2570"/>
      <c r="AS50" s="2570"/>
      <c r="AT50" s="2570"/>
      <c r="AU50" s="2570"/>
      <c r="AV50" s="2570"/>
      <c r="AW50" s="2570"/>
      <c r="AX50" s="2570"/>
      <c r="AY50" s="2570"/>
      <c r="AZ50" s="2570"/>
      <c r="BA50" s="2570"/>
      <c r="BB50" s="2571"/>
      <c r="BC50" s="1751"/>
      <c r="BE50" s="861"/>
      <c r="BF50" s="861" t="str">
        <f>IF(T50="","",T50)</f>
        <v/>
      </c>
      <c r="BG50" s="861"/>
      <c r="BH50" s="861"/>
    </row>
    <row s="19219" customFormat="1" customHeight="1" ht="0">
      <c r="A51" s="1709" t="s">
        <v>241</v>
      </c>
      <c r="B51" s="1709" t="s">
        <v>242</v>
      </c>
      <c r="C51" s="1709" t="s">
        <v>243</v>
      </c>
      <c r="D51" s="1709" t="s">
        <v>513</v>
      </c>
      <c r="E51" s="2528"/>
      <c r="F51" s="2528"/>
      <c r="G51" s="2528"/>
      <c r="H51" s="2528"/>
      <c r="I51" s="2530"/>
      <c r="J51" s="2529" t="str">
        <f>S49&amp;".1"</f>
        <v>.1</v>
      </c>
      <c r="K51" s="1709"/>
      <c r="L51" s="1712"/>
      <c r="M51" s="871"/>
      <c r="N51" s="871"/>
      <c r="O51" s="871"/>
      <c r="P51" s="2531"/>
      <c r="Q51" s="2531">
        <v>1</v>
      </c>
      <c r="R51" s="718"/>
      <c r="S51" s="1404"/>
      <c r="T51" s="1765"/>
      <c r="U51" s="1750"/>
      <c r="V51" s="2570"/>
      <c r="W51" s="2570"/>
      <c r="X51" s="2570"/>
      <c r="Y51" s="2570"/>
      <c r="Z51" s="2570"/>
      <c r="AA51" s="2570"/>
      <c r="AB51" s="2570"/>
      <c r="AC51" s="2571"/>
      <c r="AD51" s="2569"/>
      <c r="AE51" s="2570"/>
      <c r="AF51" s="2570"/>
      <c r="AG51" s="2570"/>
      <c r="AH51" s="2570"/>
      <c r="AI51" s="2570"/>
      <c r="AJ51" s="2570"/>
      <c r="AK51" s="2570"/>
      <c r="AL51" s="2570"/>
      <c r="AM51" s="2570"/>
      <c r="AN51" s="2630"/>
      <c r="AO51" s="2630"/>
      <c r="AP51" s="2570"/>
      <c r="AQ51" s="2570"/>
      <c r="AR51" s="2570"/>
      <c r="AS51" s="2570"/>
      <c r="AT51" s="2570"/>
      <c r="AU51" s="2570"/>
      <c r="AV51" s="2570"/>
      <c r="AW51" s="2570"/>
      <c r="AX51" s="2570"/>
      <c r="AY51" s="2570"/>
      <c r="AZ51" s="2570"/>
      <c r="BA51" s="2570"/>
      <c r="BB51" s="2571"/>
      <c r="BC51" s="1751"/>
      <c r="BE51" s="861"/>
      <c r="BF51" s="861" t="str">
        <f>IF(T51="","",T51)</f>
        <v/>
      </c>
      <c r="BG51" s="861"/>
      <c r="BH51" s="861"/>
    </row>
    <row customHeight="1" ht="11.25">
      <c r="A52" s="1729" t="s">
        <v>241</v>
      </c>
      <c r="B52" s="1729" t="s">
        <v>242</v>
      </c>
      <c r="C52" s="1729" t="s">
        <v>243</v>
      </c>
      <c r="D52" s="1729" t="s">
        <v>513</v>
      </c>
      <c r="E52" s="2528"/>
      <c r="F52" s="2528"/>
      <c r="G52" s="2528"/>
      <c r="H52" s="2528"/>
      <c r="I52" s="2530"/>
      <c r="J52" s="2530"/>
      <c r="K52" s="2529" t="str">
        <f>S48&amp;".1"</f>
        <v>...1</v>
      </c>
      <c r="L52" s="1730"/>
      <c r="P52" s="2531"/>
      <c r="Q52" s="2531"/>
      <c r="R52" s="718">
        <v>1</v>
      </c>
      <c r="S52" s="2604" t="str">
        <f>$K52</f>
        <v>...1</v>
      </c>
      <c r="T52" s="2624"/>
      <c r="U52" s="661"/>
      <c r="V52" s="1112"/>
      <c r="W52" s="1622"/>
      <c r="X52" s="1112"/>
      <c r="Y52" s="1622"/>
      <c r="Z52" s="2100"/>
      <c r="AA52" s="1825" t="s">
        <v>59</v>
      </c>
      <c r="AB52" s="2100"/>
      <c r="AC52" s="1825" t="s">
        <v>59</v>
      </c>
      <c r="AD52" s="2465" t="s">
        <v>59</v>
      </c>
      <c r="AE52" s="2600"/>
      <c r="AF52" s="2478">
        <v>1</v>
      </c>
      <c r="AG52" s="2623"/>
      <c r="AH52" s="2402" t="s">
        <v>59</v>
      </c>
      <c r="AI52" s="2600"/>
      <c r="AJ52" s="2478">
        <v>1</v>
      </c>
      <c r="AK52" s="2622" t="s">
        <v>24</v>
      </c>
      <c r="AL52" s="2402" t="s">
        <v>59</v>
      </c>
      <c r="AM52" s="2450"/>
      <c r="AN52" s="2478">
        <v>1</v>
      </c>
      <c r="AO52" s="2627"/>
      <c r="AP52" s="2628" t="s">
        <v>59</v>
      </c>
      <c r="AQ52" s="672"/>
      <c r="AR52" s="1829">
        <v>1</v>
      </c>
      <c r="AS52" s="1832" t="s">
        <v>24</v>
      </c>
      <c r="AT52" s="1112"/>
      <c r="AU52" s="1622"/>
      <c r="AV52" s="1112"/>
      <c r="AW52" s="1622"/>
      <c r="AX52" s="2100"/>
      <c r="AY52" s="1825" t="s">
        <v>59</v>
      </c>
      <c r="AZ52" s="2100"/>
      <c r="BA52" s="1825" t="s">
        <v>59</v>
      </c>
      <c r="BB52" s="1714"/>
      <c r="BC52" s="2557" t="s">
        <v>499</v>
      </c>
      <c r="BE52" s="861"/>
      <c r="BF52" s="861" t="str">
        <f>IF(T52="","",T52)</f>
        <v/>
      </c>
      <c r="BG52" s="861"/>
      <c r="BH52" s="861"/>
    </row>
    <row customHeight="1" ht="11.25">
      <c r="A53" s="1729"/>
      <c r="B53" s="1729"/>
      <c r="C53" s="1729"/>
      <c r="D53" s="1729"/>
      <c r="E53" s="2528"/>
      <c r="F53" s="2528"/>
      <c r="G53" s="2528"/>
      <c r="H53" s="2528"/>
      <c r="I53" s="2530"/>
      <c r="J53" s="2530"/>
      <c r="K53" s="2529"/>
      <c r="L53" s="1730"/>
      <c r="P53" s="2531"/>
      <c r="Q53" s="2531"/>
      <c r="R53" s="718"/>
      <c r="S53" s="2605"/>
      <c r="T53" s="2625"/>
      <c r="U53" s="661"/>
      <c r="V53" s="1759"/>
      <c r="W53" s="1862"/>
      <c r="X53" s="1759"/>
      <c r="Y53" s="1862"/>
      <c r="Z53" s="1759"/>
      <c r="AA53" s="1759"/>
      <c r="AB53" s="1759"/>
      <c r="AC53" s="1759"/>
      <c r="AD53" s="2466"/>
      <c r="AE53" s="2600"/>
      <c r="AF53" s="2478"/>
      <c r="AG53" s="2623"/>
      <c r="AH53" s="2402"/>
      <c r="AI53" s="2600"/>
      <c r="AJ53" s="2478"/>
      <c r="AK53" s="2622"/>
      <c r="AL53" s="2402"/>
      <c r="AM53" s="2458"/>
      <c r="AN53" s="2478"/>
      <c r="AO53" s="2627"/>
      <c r="AP53" s="2629"/>
      <c r="AQ53" s="677"/>
      <c r="AR53" s="777"/>
      <c r="AS53" s="777" t="s">
        <v>500</v>
      </c>
      <c r="AT53" s="1759"/>
      <c r="AU53" s="1862"/>
      <c r="AV53" s="1759"/>
      <c r="AW53" s="1862"/>
      <c r="AX53" s="1759"/>
      <c r="AY53" s="1759"/>
      <c r="AZ53" s="1759"/>
      <c r="BA53" s="1759"/>
      <c r="BB53" s="1763"/>
      <c r="BC53" s="2558"/>
      <c r="BE53" s="861"/>
      <c r="BF53" s="861"/>
      <c r="BG53" s="861"/>
      <c r="BH53" s="861"/>
    </row>
    <row customHeight="1" ht="11.25">
      <c r="A54" s="1729" t="s">
        <v>241</v>
      </c>
      <c r="B54" s="1729"/>
      <c r="C54" s="1729"/>
      <c r="D54" s="1729"/>
      <c r="E54" s="2528"/>
      <c r="F54" s="2528"/>
      <c r="G54" s="2528"/>
      <c r="H54" s="2528"/>
      <c r="I54" s="2530"/>
      <c r="J54" s="2530"/>
      <c r="K54" s="2529"/>
      <c r="L54" s="1730"/>
      <c r="P54" s="2531"/>
      <c r="Q54" s="2531"/>
      <c r="R54" s="718"/>
      <c r="S54" s="2605"/>
      <c r="T54" s="2625"/>
      <c r="U54" s="661"/>
      <c r="V54" s="1759"/>
      <c r="W54" s="1862"/>
      <c r="X54" s="1759"/>
      <c r="Y54" s="1862"/>
      <c r="Z54" s="1759"/>
      <c r="AA54" s="1759"/>
      <c r="AB54" s="1759"/>
      <c r="AC54" s="1759"/>
      <c r="AD54" s="2466"/>
      <c r="AE54" s="2600"/>
      <c r="AF54" s="2478"/>
      <c r="AG54" s="2623"/>
      <c r="AH54" s="2402"/>
      <c r="AI54" s="2600"/>
      <c r="AJ54" s="2478"/>
      <c r="AK54" s="2622"/>
      <c r="AL54" s="2402"/>
      <c r="AM54" s="677"/>
      <c r="AN54" s="1866"/>
      <c r="AO54" s="1866" t="s">
        <v>501</v>
      </c>
      <c r="AP54" s="777"/>
      <c r="AQ54" s="777"/>
      <c r="AR54" s="777"/>
      <c r="AS54" s="1759"/>
      <c r="AT54" s="1759"/>
      <c r="AU54" s="1862"/>
      <c r="AV54" s="1759"/>
      <c r="AW54" s="1862"/>
      <c r="AX54" s="1759"/>
      <c r="AY54" s="1759"/>
      <c r="AZ54" s="1759"/>
      <c r="BA54" s="1759"/>
      <c r="BB54" s="1763"/>
      <c r="BC54" s="2558"/>
      <c r="BE54" s="861"/>
      <c r="BF54" s="861"/>
      <c r="BG54" s="861"/>
      <c r="BH54" s="861"/>
    </row>
    <row customHeight="1" ht="11.25">
      <c r="A55" s="1729" t="s">
        <v>241</v>
      </c>
      <c r="B55" s="1729"/>
      <c r="C55" s="1729"/>
      <c r="D55" s="1729"/>
      <c r="E55" s="2528"/>
      <c r="F55" s="2528"/>
      <c r="G55" s="2528"/>
      <c r="H55" s="2528"/>
      <c r="I55" s="2530"/>
      <c r="J55" s="2530"/>
      <c r="K55" s="2529"/>
      <c r="L55" s="1730"/>
      <c r="P55" s="2531"/>
      <c r="Q55" s="2531"/>
      <c r="R55" s="718"/>
      <c r="S55" s="2605"/>
      <c r="T55" s="2625"/>
      <c r="U55" s="661"/>
      <c r="V55" s="1759"/>
      <c r="W55" s="1862"/>
      <c r="X55" s="1759"/>
      <c r="Y55" s="1862"/>
      <c r="Z55" s="1759"/>
      <c r="AA55" s="1759"/>
      <c r="AB55" s="1759"/>
      <c r="AC55" s="1759"/>
      <c r="AD55" s="2466"/>
      <c r="AE55" s="2600"/>
      <c r="AF55" s="2478"/>
      <c r="AG55" s="2623"/>
      <c r="AH55" s="2402"/>
      <c r="AI55" s="655"/>
      <c r="AJ55" s="776"/>
      <c r="AK55" s="674" t="s">
        <v>502</v>
      </c>
      <c r="AL55" s="1759"/>
      <c r="AM55" s="1759"/>
      <c r="AN55" s="1759"/>
      <c r="AO55" s="1759"/>
      <c r="AP55" s="1759"/>
      <c r="AQ55" s="1759"/>
      <c r="AR55" s="1759"/>
      <c r="AS55" s="1759"/>
      <c r="AT55" s="1759"/>
      <c r="AU55" s="1862"/>
      <c r="AV55" s="1759"/>
      <c r="AW55" s="1862"/>
      <c r="AX55" s="1759"/>
      <c r="AY55" s="1759"/>
      <c r="AZ55" s="1759"/>
      <c r="BA55" s="1759"/>
      <c r="BB55" s="1763"/>
      <c r="BC55" s="2558"/>
      <c r="BE55" s="861"/>
      <c r="BF55" s="861"/>
      <c r="BG55" s="861"/>
      <c r="BH55" s="861"/>
    </row>
    <row customHeight="1" ht="11.25">
      <c r="A56" s="1729" t="s">
        <v>241</v>
      </c>
      <c r="B56" s="1729" t="s">
        <v>242</v>
      </c>
      <c r="C56" s="1729" t="s">
        <v>243</v>
      </c>
      <c r="D56" s="1729" t="s">
        <v>513</v>
      </c>
      <c r="E56" s="2528"/>
      <c r="F56" s="2528"/>
      <c r="G56" s="2528"/>
      <c r="H56" s="2528"/>
      <c r="I56" s="2530"/>
      <c r="J56" s="2530"/>
      <c r="K56" s="2529"/>
      <c r="L56" s="1730"/>
      <c r="P56" s="2531"/>
      <c r="Q56" s="2531"/>
      <c r="R56" s="718"/>
      <c r="S56" s="2606"/>
      <c r="T56" s="2626"/>
      <c r="U56" s="661"/>
      <c r="V56" s="1759"/>
      <c r="W56" s="1760" t="str">
        <f>Z52&amp;"-"&amp;AB52</f>
        <v>-</v>
      </c>
      <c r="X56" s="1759"/>
      <c r="Y56" s="1760" t="str">
        <f>AB52&amp;"-"&amp;AD52</f>
        <v>-да</v>
      </c>
      <c r="Z56" s="1759"/>
      <c r="AA56" s="1759"/>
      <c r="AB56" s="1759"/>
      <c r="AC56" s="1759"/>
      <c r="AD56" s="2407"/>
      <c r="AE56" s="673"/>
      <c r="AF56" s="675"/>
      <c r="AG56" s="777" t="s">
        <v>503</v>
      </c>
      <c r="AH56" s="1759"/>
      <c r="AI56" s="1759"/>
      <c r="AJ56" s="1759"/>
      <c r="AK56" s="1759"/>
      <c r="AL56" s="1759"/>
      <c r="AM56" s="1759"/>
      <c r="AN56" s="1759"/>
      <c r="AO56" s="1759"/>
      <c r="AP56" s="1759"/>
      <c r="AQ56" s="1759"/>
      <c r="AR56" s="1759"/>
      <c r="AS56" s="1759"/>
      <c r="AT56" s="1759"/>
      <c r="AU56" s="1760" t="str">
        <f>AX52&amp;"-"&amp;AZ52</f>
        <v>-</v>
      </c>
      <c r="AV56" s="1759"/>
      <c r="AW56" s="1760" t="str">
        <f>AZ52&amp;"-"&amp;BB52</f>
        <v>-</v>
      </c>
      <c r="AX56" s="1759"/>
      <c r="AY56" s="1759"/>
      <c r="AZ56" s="1759"/>
      <c r="BA56" s="1759"/>
      <c r="BB56" s="1762" t="str">
        <f>BE52&amp;"-"&amp;BG52</f>
        <v>-</v>
      </c>
      <c r="BC56" s="2558"/>
      <c r="BE56" s="861"/>
      <c r="BF56" s="861" t="str">
        <f>IF(T56="","",T56)</f>
        <v/>
      </c>
      <c r="BG56" s="861"/>
      <c r="BH56" s="861"/>
    </row>
    <row customHeight="1" ht="11.25">
      <c r="A57" s="1729" t="s">
        <v>241</v>
      </c>
      <c r="B57" s="1729" t="s">
        <v>242</v>
      </c>
      <c r="C57" s="1729" t="s">
        <v>243</v>
      </c>
      <c r="D57" s="1729" t="s">
        <v>513</v>
      </c>
      <c r="E57" s="2528"/>
      <c r="F57" s="2528"/>
      <c r="G57" s="2528"/>
      <c r="H57" s="2528"/>
      <c r="I57" s="2530"/>
      <c r="J57" s="2529"/>
      <c r="K57" s="1729"/>
      <c r="L57" s="1730"/>
      <c r="P57" s="2531"/>
      <c r="Q57" s="2531"/>
      <c r="R57" s="717"/>
      <c r="S57" s="1644"/>
      <c r="T57" s="648" t="s">
        <v>465</v>
      </c>
      <c r="U57" s="728"/>
      <c r="V57" s="728"/>
      <c r="W57" s="728"/>
      <c r="X57" s="728"/>
      <c r="Y57" s="728"/>
      <c r="Z57" s="728"/>
      <c r="AA57" s="728"/>
      <c r="AB57" s="728"/>
      <c r="AC57" s="685"/>
      <c r="AD57" s="1871"/>
      <c r="AE57" s="728"/>
      <c r="AF57" s="728"/>
      <c r="AG57" s="728"/>
      <c r="AH57" s="728"/>
      <c r="AI57" s="728"/>
      <c r="AJ57" s="728"/>
      <c r="AK57" s="728"/>
      <c r="AL57" s="728"/>
      <c r="AM57" s="728"/>
      <c r="AN57" s="728"/>
      <c r="AO57" s="728"/>
      <c r="AP57" s="728"/>
      <c r="AQ57" s="728"/>
      <c r="AR57" s="728"/>
      <c r="AS57" s="728"/>
      <c r="AT57" s="728"/>
      <c r="AU57" s="728"/>
      <c r="AV57" s="728"/>
      <c r="AW57" s="728"/>
      <c r="AX57" s="728"/>
      <c r="AY57" s="728"/>
      <c r="AZ57" s="728"/>
      <c r="BA57" s="728"/>
      <c r="BB57" s="685"/>
      <c r="BC57" s="2559"/>
      <c r="BE57" s="861"/>
      <c r="BF57" s="861" t="str">
        <f>IF(T57="","",T57)</f>
        <v>Добавить строку</v>
      </c>
      <c r="BG57" s="861"/>
      <c r="BH57" s="861"/>
    </row>
    <row s="19219" customFormat="1" customHeight="1" ht="0">
      <c r="A58" s="1709" t="s">
        <v>241</v>
      </c>
      <c r="B58" s="1709" t="s">
        <v>242</v>
      </c>
      <c r="C58" s="1709" t="s">
        <v>243</v>
      </c>
      <c r="D58" s="1709" t="s">
        <v>513</v>
      </c>
      <c r="E58" s="2528"/>
      <c r="F58" s="2528"/>
      <c r="G58" s="2528"/>
      <c r="H58" s="2528"/>
      <c r="I58" s="2529"/>
      <c r="J58" s="1709"/>
      <c r="K58" s="1709"/>
      <c r="L58" s="1712"/>
      <c r="M58" s="871"/>
      <c r="N58" s="871"/>
      <c r="O58" s="871"/>
      <c r="P58" s="2531"/>
      <c r="Q58" s="1828"/>
      <c r="R58" s="717"/>
      <c r="S58" s="1752"/>
      <c r="T58" s="1753"/>
      <c r="U58" s="1754"/>
      <c r="V58" s="1754"/>
      <c r="W58" s="1754"/>
      <c r="X58" s="1754"/>
      <c r="Y58" s="1754"/>
      <c r="Z58" s="1754"/>
      <c r="AA58" s="1754"/>
      <c r="AB58" s="1754"/>
      <c r="AC58" s="1754"/>
      <c r="AD58" s="1754"/>
      <c r="AE58" s="1754"/>
      <c r="AF58" s="1754"/>
      <c r="AG58" s="1754"/>
      <c r="AH58" s="1754"/>
      <c r="AI58" s="1754"/>
      <c r="AJ58" s="1754"/>
      <c r="AK58" s="1754"/>
      <c r="AL58" s="1754"/>
      <c r="AM58" s="1754"/>
      <c r="AN58" s="1754"/>
      <c r="AO58" s="1754"/>
      <c r="AP58" s="1754"/>
      <c r="AQ58" s="1754"/>
      <c r="AR58" s="1754"/>
      <c r="AS58" s="1754"/>
      <c r="AT58" s="1754"/>
      <c r="AU58" s="1754"/>
      <c r="AV58" s="1754"/>
      <c r="AW58" s="1754"/>
      <c r="AX58" s="1754"/>
      <c r="AY58" s="1754"/>
      <c r="AZ58" s="1754"/>
      <c r="BA58" s="1754"/>
      <c r="BB58" s="1754"/>
      <c r="BC58" s="1755"/>
      <c r="BE58" s="861"/>
      <c r="BF58" s="861" t="str">
        <f>IF(T58="","",T58)</f>
        <v/>
      </c>
      <c r="BG58" s="861"/>
      <c r="BH58" s="861"/>
    </row>
    <row s="19219" customFormat="1" customHeight="1" ht="0">
      <c r="A59" s="1709" t="s">
        <v>241</v>
      </c>
      <c r="B59" s="1709" t="s">
        <v>242</v>
      </c>
      <c r="C59" s="1709" t="s">
        <v>243</v>
      </c>
      <c r="D59" s="1709" t="s">
        <v>513</v>
      </c>
      <c r="E59" s="2528"/>
      <c r="F59" s="2528"/>
      <c r="G59" s="2528"/>
      <c r="H59" s="2527"/>
      <c r="I59" s="1709"/>
      <c r="J59" s="1709"/>
      <c r="K59" s="1709"/>
      <c r="L59" s="1712"/>
      <c r="M59" s="1681"/>
      <c r="N59" s="1681"/>
      <c r="O59" s="879"/>
      <c r="P59" s="741"/>
      <c r="Q59" s="1710"/>
      <c r="R59" s="1767"/>
      <c r="S59" s="1752"/>
      <c r="T59" s="1753"/>
      <c r="U59" s="1754"/>
      <c r="V59" s="1754"/>
      <c r="W59" s="1754"/>
      <c r="X59" s="1754"/>
      <c r="Y59" s="1754"/>
      <c r="Z59" s="1754"/>
      <c r="AA59" s="1754"/>
      <c r="AB59" s="1754"/>
      <c r="AC59" s="1754"/>
      <c r="AD59" s="1754"/>
      <c r="AE59" s="1754"/>
      <c r="AF59" s="1754"/>
      <c r="AG59" s="1754"/>
      <c r="AH59" s="1754"/>
      <c r="AI59" s="1754"/>
      <c r="AJ59" s="1754"/>
      <c r="AK59" s="1754"/>
      <c r="AL59" s="1754"/>
      <c r="AM59" s="1754"/>
      <c r="AN59" s="1754"/>
      <c r="AO59" s="1754"/>
      <c r="AP59" s="1754"/>
      <c r="AQ59" s="1754"/>
      <c r="AR59" s="1754"/>
      <c r="AS59" s="1754"/>
      <c r="AT59" s="1754"/>
      <c r="AU59" s="1754"/>
      <c r="AV59" s="1754"/>
      <c r="AW59" s="1754"/>
      <c r="AX59" s="1754"/>
      <c r="AY59" s="1754"/>
      <c r="AZ59" s="1754"/>
      <c r="BA59" s="1754"/>
      <c r="BB59" s="1754"/>
      <c r="BC59" s="1755"/>
      <c r="BE59" s="861"/>
      <c r="BF59" s="861" t="str">
        <f>IF(T59="","",T59)</f>
        <v/>
      </c>
      <c r="BG59" s="861"/>
      <c r="BH59" s="861"/>
    </row>
    <row s="19127" customFormat="1" customHeight="1" ht="0">
      <c r="A60" s="1709" t="s">
        <v>241</v>
      </c>
      <c r="B60" s="1709" t="s">
        <v>242</v>
      </c>
      <c r="C60" s="1709" t="s">
        <v>243</v>
      </c>
      <c r="D60" s="1680"/>
      <c r="E60" s="2528"/>
      <c r="F60" s="2528"/>
      <c r="G60" s="2527"/>
      <c r="H60" s="1680"/>
      <c r="I60" s="1680"/>
      <c r="J60" s="1680"/>
      <c r="K60" s="1680"/>
      <c r="L60" s="1830"/>
      <c r="M60" s="1681"/>
      <c r="N60" s="1681"/>
      <c r="P60" s="1682"/>
      <c r="Q60" s="1683"/>
      <c r="R60" s="1682"/>
      <c r="S60" s="1688"/>
      <c r="T60" s="1691"/>
      <c r="U60" s="1690"/>
      <c r="V60" s="1690"/>
      <c r="W60" s="1690"/>
      <c r="X60" s="1690"/>
      <c r="Y60" s="1690"/>
      <c r="Z60" s="1690"/>
      <c r="AA60" s="1690"/>
      <c r="AB60" s="1690"/>
      <c r="AC60" s="1690"/>
      <c r="AD60" s="1690"/>
      <c r="AE60" s="1690"/>
      <c r="AF60" s="1690"/>
      <c r="AG60" s="1690"/>
      <c r="AH60" s="1690"/>
      <c r="AI60" s="1690"/>
      <c r="AJ60" s="1690"/>
      <c r="AK60" s="1690"/>
      <c r="AL60" s="1690"/>
      <c r="AM60" s="1690"/>
      <c r="AN60" s="1690"/>
      <c r="AO60" s="1690"/>
      <c r="AP60" s="1690"/>
      <c r="AQ60" s="1690"/>
      <c r="AR60" s="1690"/>
      <c r="AS60" s="1690"/>
      <c r="AT60" s="1690"/>
      <c r="AU60" s="1690"/>
      <c r="AV60" s="1690"/>
      <c r="AW60" s="1690"/>
      <c r="AX60" s="1690"/>
      <c r="AY60" s="1690"/>
      <c r="AZ60" s="1690"/>
      <c r="BA60" s="1690"/>
      <c r="BB60" s="1690"/>
      <c r="BC60" s="1690"/>
      <c r="BE60" s="1150"/>
      <c r="BF60" s="1150" t="str">
        <f>IF(T60="","",T60)</f>
        <v/>
      </c>
      <c r="BG60" s="1150"/>
      <c r="BH60" s="1150"/>
    </row>
    <row s="19127" customFormat="1" customHeight="1" ht="0">
      <c r="A61" s="1709" t="s">
        <v>241</v>
      </c>
      <c r="B61" s="1709" t="s">
        <v>242</v>
      </c>
      <c r="C61" s="1680"/>
      <c r="D61" s="1680"/>
      <c r="E61" s="2528"/>
      <c r="F61" s="2527"/>
      <c r="G61" s="1680"/>
      <c r="H61" s="1680"/>
      <c r="I61" s="1680"/>
      <c r="J61" s="1680"/>
      <c r="K61" s="1680"/>
      <c r="L61" s="1830"/>
      <c r="M61" s="1687"/>
      <c r="N61" s="1687"/>
      <c r="P61" s="1682"/>
      <c r="Q61" s="1683"/>
      <c r="R61" s="1682"/>
      <c r="S61" s="1688"/>
      <c r="T61" s="1691" t="s">
        <v>251</v>
      </c>
      <c r="U61" s="1690"/>
      <c r="V61" s="1690"/>
      <c r="W61" s="1690"/>
      <c r="X61" s="1690"/>
      <c r="Y61" s="1690"/>
      <c r="Z61" s="1690"/>
      <c r="AA61" s="1690"/>
      <c r="AB61" s="1690"/>
      <c r="AC61" s="1690"/>
      <c r="AD61" s="1690"/>
      <c r="AE61" s="1690"/>
      <c r="AF61" s="1690"/>
      <c r="AG61" s="1690"/>
      <c r="AH61" s="1690"/>
      <c r="AI61" s="1690"/>
      <c r="AJ61" s="1690"/>
      <c r="AK61" s="1690"/>
      <c r="AL61" s="1690"/>
      <c r="AM61" s="1690"/>
      <c r="AN61" s="1690"/>
      <c r="AO61" s="1690"/>
      <c r="AP61" s="1690"/>
      <c r="AQ61" s="1690"/>
      <c r="AR61" s="1690"/>
      <c r="AS61" s="1690"/>
      <c r="AT61" s="1690"/>
      <c r="AU61" s="1690"/>
      <c r="AV61" s="1690"/>
      <c r="AW61" s="1690"/>
      <c r="AX61" s="1690"/>
      <c r="AY61" s="1690"/>
      <c r="AZ61" s="1690"/>
      <c r="BA61" s="1690"/>
      <c r="BB61" s="1690"/>
      <c r="BC61" s="1690"/>
      <c r="BE61" s="1150"/>
      <c r="BF61" s="1150" t="str">
        <f>IF(T61="","",T61)</f>
        <v>Добавить централизованную систему для дифференциации</v>
      </c>
      <c r="BG61" s="1150"/>
      <c r="BH61" s="1150"/>
    </row>
    <row s="19219" customFormat="1" customHeight="1" ht="0">
      <c r="A62" s="1709" t="s">
        <v>241</v>
      </c>
      <c r="B62" s="1709"/>
      <c r="C62" s="1709"/>
      <c r="D62" s="1709"/>
      <c r="E62" s="2527"/>
      <c r="F62" s="1709"/>
      <c r="G62" s="1709"/>
      <c r="H62" s="1709"/>
      <c r="I62" s="1709"/>
      <c r="J62" s="1709"/>
      <c r="K62" s="1709"/>
      <c r="L62" s="1712"/>
      <c r="M62" s="1687"/>
      <c r="N62" s="1687"/>
      <c r="O62" s="879"/>
      <c r="P62" s="741"/>
      <c r="Q62" s="1710"/>
      <c r="R62" s="741"/>
      <c r="S62" s="1688"/>
      <c r="T62" s="1691" t="s">
        <v>252</v>
      </c>
      <c r="U62" s="1690"/>
      <c r="V62" s="1690"/>
      <c r="W62" s="1690"/>
      <c r="X62" s="1690"/>
      <c r="Y62" s="1690"/>
      <c r="Z62" s="1690"/>
      <c r="AA62" s="1690"/>
      <c r="AB62" s="1690"/>
      <c r="AC62" s="1690"/>
      <c r="AD62" s="1690"/>
      <c r="AE62" s="1690"/>
      <c r="AF62" s="1690"/>
      <c r="AG62" s="1690"/>
      <c r="AH62" s="1690"/>
      <c r="AI62" s="1690"/>
      <c r="AJ62" s="1690"/>
      <c r="AK62" s="1690"/>
      <c r="AL62" s="1690"/>
      <c r="AM62" s="1690"/>
      <c r="AN62" s="1690"/>
      <c r="AO62" s="1690"/>
      <c r="AP62" s="1690"/>
      <c r="AQ62" s="1690"/>
      <c r="AR62" s="1690"/>
      <c r="AS62" s="1690"/>
      <c r="AT62" s="1690"/>
      <c r="AU62" s="1690"/>
      <c r="AV62" s="1690"/>
      <c r="AW62" s="1690"/>
      <c r="AX62" s="1690"/>
      <c r="AY62" s="1690"/>
      <c r="AZ62" s="1690"/>
      <c r="BA62" s="1690"/>
      <c r="BB62" s="1690"/>
      <c r="BC62" s="1690"/>
      <c r="BE62" s="861"/>
      <c r="BF62" s="861" t="str">
        <f>IF(T62="","",T62)</f>
        <v>Добавить территорию для дифференциации</v>
      </c>
      <c r="BG62" s="861"/>
      <c r="BH62" s="861"/>
    </row>
    <row s="19127" customFormat="1" customHeight="1" ht="0">
      <c r="A63" s="1680"/>
      <c r="B63" s="1680"/>
      <c r="C63" s="1680"/>
      <c r="D63" s="1680"/>
      <c r="E63" s="1709"/>
      <c r="F63" s="1680"/>
      <c r="G63" s="1680"/>
      <c r="H63" s="1680"/>
      <c r="I63" s="1680"/>
      <c r="J63" s="1680"/>
      <c r="K63" s="1680"/>
      <c r="L63" s="1830"/>
      <c r="M63" s="1687"/>
      <c r="N63" s="1687"/>
      <c r="P63" s="1682"/>
      <c r="Q63" s="1683"/>
      <c r="R63" s="1682"/>
      <c r="S63" s="1688"/>
      <c r="T63" s="1691" t="s">
        <v>253</v>
      </c>
      <c r="U63" s="1690"/>
      <c r="V63" s="1690"/>
      <c r="W63" s="1690"/>
      <c r="X63" s="1690"/>
      <c r="Y63" s="1690"/>
      <c r="Z63" s="1690"/>
      <c r="AA63" s="1690"/>
      <c r="AB63" s="1690"/>
      <c r="AC63" s="1690"/>
      <c r="AD63" s="1690"/>
      <c r="AE63" s="1690"/>
      <c r="AF63" s="1690"/>
      <c r="AG63" s="1690"/>
      <c r="AH63" s="1690"/>
      <c r="AI63" s="1690"/>
      <c r="AJ63" s="1690"/>
      <c r="AK63" s="1690"/>
      <c r="AL63" s="1690"/>
      <c r="AM63" s="1690"/>
      <c r="AN63" s="1690"/>
      <c r="AO63" s="1690"/>
      <c r="AP63" s="1690"/>
      <c r="AQ63" s="1690"/>
      <c r="AR63" s="1690"/>
      <c r="AS63" s="1690"/>
      <c r="AT63" s="1690"/>
      <c r="AU63" s="1690"/>
      <c r="AV63" s="1690"/>
      <c r="AW63" s="1690"/>
      <c r="AX63" s="1690"/>
      <c r="AY63" s="1690"/>
      <c r="AZ63" s="1690"/>
      <c r="BA63" s="1690"/>
      <c r="BB63" s="1690"/>
      <c r="BC63" s="1690"/>
      <c r="BE63" s="1150"/>
      <c r="BF63" s="1150" t="str">
        <f>IF(T63="","",T63)</f>
        <v>Добавить наименование тарифа</v>
      </c>
      <c r="BG63" s="1150"/>
      <c r="BH63" s="1150"/>
    </row>
    <row customHeight="1" ht="11.25">
      <c r="M64" s="1523"/>
      <c r="N64" s="1523"/>
      <c r="O64" s="898"/>
      <c r="P64" s="1523"/>
      <c r="Q64" s="1523"/>
      <c r="R64" s="1518"/>
      <c r="S64" s="1518"/>
      <c r="BD64" s="1518"/>
      <c r="BE64" s="1518"/>
      <c r="BF64" s="1518"/>
      <c r="BG64" s="1518"/>
      <c r="BH64" s="1518"/>
    </row>
    <row customHeight="1" ht="18.75">
      <c r="O65" s="898"/>
      <c r="S65" s="1618"/>
      <c r="T65" s="2526"/>
      <c r="U65" s="2526"/>
      <c r="V65" s="2526"/>
      <c r="W65" s="2526"/>
      <c r="X65" s="2526"/>
      <c r="Y65" s="2526"/>
      <c r="Z65" s="2526"/>
      <c r="AA65" s="2526"/>
      <c r="AB65" s="2526"/>
      <c r="AC65" s="2526"/>
      <c r="AD65" s="2526"/>
      <c r="AE65" s="2526"/>
      <c r="AF65" s="2526"/>
      <c r="AG65" s="2526"/>
      <c r="AH65" s="2526"/>
      <c r="AI65" s="2526"/>
      <c r="AJ65" s="2526"/>
      <c r="AK65" s="2526"/>
      <c r="AL65" s="2526"/>
      <c r="AM65" s="2526"/>
      <c r="AN65" s="2526"/>
      <c r="AO65" s="2526"/>
      <c r="AP65" s="2526"/>
      <c r="AQ65" s="2526"/>
      <c r="AR65" s="2526"/>
      <c r="AS65" s="2526"/>
      <c r="AT65" s="2526"/>
      <c r="AU65" s="2526"/>
      <c r="AV65" s="2526"/>
      <c r="AW65" s="2526"/>
      <c r="AX65" s="2526"/>
      <c r="AY65" s="2526"/>
      <c r="AZ65" s="2526"/>
      <c r="BA65" s="2526"/>
      <c r="BB65" s="2526"/>
      <c r="BC65" s="2526"/>
    </row>
    <row customHeight="1" ht="14.25">
      <c r="O66" s="898"/>
      <c r="T66" s="1815"/>
      <c r="U66" s="1815"/>
      <c r="V66" s="1815"/>
      <c r="W66" s="1815"/>
      <c r="X66" s="1815"/>
      <c r="Y66" s="1815"/>
      <c r="Z66" s="1815"/>
      <c r="AA66" s="1815"/>
      <c r="AB66" s="1815"/>
      <c r="AC66" s="1815"/>
      <c r="AD66" s="1815"/>
      <c r="AE66" s="1815"/>
      <c r="AF66" s="1815"/>
      <c r="AG66" s="1815"/>
      <c r="AH66" s="1815"/>
      <c r="AI66" s="1815"/>
      <c r="AJ66" s="1815"/>
      <c r="AK66" s="1815"/>
      <c r="AL66" s="1815"/>
      <c r="AM66" s="1815"/>
      <c r="AN66" s="1815"/>
      <c r="AO66" s="1815"/>
      <c r="AP66" s="1815"/>
      <c r="AQ66" s="1815"/>
      <c r="AR66" s="1815"/>
      <c r="AS66" s="1815"/>
      <c r="AT66" s="1815"/>
      <c r="AU66" s="1815"/>
      <c r="AV66" s="1815"/>
      <c r="AW66" s="1815"/>
      <c r="AX66" s="1815"/>
      <c r="AY66" s="1815"/>
      <c r="AZ66" s="1815"/>
      <c r="BA66" s="1815"/>
      <c r="BB66" s="1815"/>
      <c r="BC66" s="1815"/>
    </row>
    <row customHeight="1" ht="18.75">
      <c r="O67" s="898"/>
      <c r="S67" s="1618"/>
      <c r="T67" s="2526"/>
      <c r="U67" s="2526"/>
      <c r="V67" s="2526"/>
      <c r="W67" s="2526"/>
      <c r="X67" s="2526"/>
      <c r="Y67" s="2526"/>
      <c r="Z67" s="2526"/>
      <c r="AA67" s="2526"/>
      <c r="AB67" s="2526"/>
      <c r="AC67" s="2526"/>
      <c r="AD67" s="2526"/>
      <c r="AE67" s="2526"/>
      <c r="AF67" s="2526"/>
      <c r="AG67" s="2526"/>
      <c r="AH67" s="2526"/>
      <c r="AI67" s="2526"/>
      <c r="AJ67" s="2526"/>
      <c r="AK67" s="2526"/>
      <c r="AL67" s="2526"/>
      <c r="AM67" s="2526"/>
      <c r="AN67" s="2526"/>
      <c r="AO67" s="2526"/>
      <c r="AP67" s="2526"/>
      <c r="AQ67" s="2526"/>
      <c r="AR67" s="2526"/>
      <c r="AS67" s="2526"/>
      <c r="AT67" s="2526"/>
      <c r="AU67" s="2526"/>
      <c r="AV67" s="2526"/>
      <c r="AW67" s="2526"/>
      <c r="AX67" s="2526"/>
      <c r="AY67" s="2526"/>
      <c r="AZ67" s="2526"/>
      <c r="BA67" s="2526"/>
      <c r="BB67" s="2526"/>
      <c r="BC67" s="2526"/>
    </row>
    <row customHeight="1" ht="14.25">
      <c r="O68" s="898"/>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A8A328-A952-34EC-643E-1CF5C54412A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9146" width="10.57421875" hidden="1"/>
    <col min="2" max="2" style="19146" width="11.00390625" hidden="1" customWidth="1"/>
    <col min="3" max="3" style="19146" width="10.57421875" hidden="1"/>
    <col min="4" max="4" style="19146" width="11.8515625" hidden="1" customWidth="1"/>
    <col min="5" max="5" style="19146" width="10.00390625" hidden="1" customWidth="1"/>
    <col min="6" max="6" style="19146" width="8.7109375" hidden="1" customWidth="1"/>
    <col min="7" max="7" style="19146" width="7.57421875" hidden="1" customWidth="1"/>
    <col min="8" max="8" style="19146" width="11.421875" hidden="1" customWidth="1"/>
    <col min="9" max="9" style="19146" width="14.140625" hidden="1" customWidth="1"/>
    <col min="10" max="10" style="19146" width="9.8515625" hidden="1" customWidth="1"/>
    <col min="11" max="11" style="19146" width="14.7109375" hidden="1" customWidth="1"/>
    <col min="12" max="12" style="19497" width="19.140625" hidden="1" customWidth="1"/>
    <col min="13" max="14" style="19228" width="12.28125" hidden="1" customWidth="1"/>
    <col min="15" max="15" style="19228" width="23.421875" hidden="1" customWidth="1"/>
    <col min="16" max="16" style="19498" width="3.7109375" customWidth="1"/>
    <col min="17" max="18" style="19230" width="3.7109375" customWidth="1"/>
    <col min="19" max="19" style="19231" width="12.7109375" customWidth="1"/>
    <col min="20" max="20" style="19232" width="35.7109375" customWidth="1"/>
    <col min="21" max="21" style="19232" width="0.140625" customWidth="1"/>
    <col min="22" max="24" style="19232" width="24.7109375" hidden="1" customWidth="1"/>
    <col min="25" max="25" style="19232" width="11.7109375" hidden="1" customWidth="1"/>
    <col min="26" max="26" style="19232" width="3.7109375" hidden="1" customWidth="1"/>
    <col min="27" max="27" style="19232" width="11.7109375" hidden="1" customWidth="1"/>
    <col min="28" max="28" style="19232" width="8.57421875" hidden="1" customWidth="1"/>
    <col min="29" max="31" style="19232" width="24.7109375" customWidth="1"/>
    <col min="32" max="32" style="19232" width="11.7109375" customWidth="1"/>
    <col min="33" max="33" style="19232" width="3.7109375" customWidth="1"/>
    <col min="34" max="34" style="19232" width="11.7109375" customWidth="1"/>
    <col min="35" max="35" style="19232" width="8.57421875" hidden="1" customWidth="1"/>
    <col min="36" max="36" style="19232" width="4.7109375" customWidth="1"/>
    <col min="37" max="37" style="19232" width="115.7109375" customWidth="1"/>
    <col min="38" max="39" style="19219" width="10.57421875"/>
    <col min="40" max="40" style="19219" width="11.140625" customWidth="1"/>
    <col min="41" max="42" style="19219" width="10.57421875"/>
  </cols>
  <sheetData>
    <row customHeight="1" ht="14.25" hidden="1">
      <c r="X1" s="688"/>
      <c r="Y1" s="688"/>
      <c r="AE1" s="688"/>
      <c r="AF1" s="688"/>
    </row>
    <row customHeight="1" ht="23.25" hidden="1">
      <c r="A2" s="1729"/>
      <c r="B2" s="1729"/>
      <c r="C2" s="1729"/>
      <c r="D2" s="1729"/>
      <c r="E2" s="2527">
        <v>1</v>
      </c>
      <c r="F2" s="1729"/>
      <c r="G2" s="1729"/>
      <c r="H2" s="1729"/>
      <c r="I2" s="1729"/>
      <c r="J2" s="1729"/>
      <c r="K2" s="1729"/>
      <c r="L2" s="1730"/>
      <c r="M2" s="1731"/>
      <c r="N2" s="1731"/>
      <c r="O2" s="1731"/>
      <c r="P2" s="722"/>
      <c r="Q2" s="721"/>
      <c r="R2" s="716"/>
      <c r="S2" s="1859">
        <f>INDEX(PT_DIFFERENTIATION_NUM_NTAR,MATCH(A2,PT_DIFFERENTIATION_NTAR_ID,0))</f>
      </c>
      <c r="T2" s="659" t="s">
        <v>120</v>
      </c>
      <c r="U2" s="661"/>
      <c r="V2" s="2521"/>
      <c r="W2" s="2522"/>
      <c r="X2" s="2522"/>
      <c r="Y2" s="2522"/>
      <c r="Z2" s="2522"/>
      <c r="AA2" s="2522"/>
      <c r="AB2" s="2523"/>
      <c r="AC2" s="2521">
        <f>INDEX(PT_DIFFERENTIATION_NTAR,MATCH(A2,PT_DIFFERENTIATION_NTAR_ID,0))</f>
      </c>
      <c r="AD2" s="2522"/>
      <c r="AE2" s="2522"/>
      <c r="AF2" s="2522"/>
      <c r="AG2" s="2522"/>
      <c r="AH2" s="2522"/>
      <c r="AI2" s="2522"/>
      <c r="AJ2" s="2523"/>
      <c r="AK2" s="16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861"/>
      <c r="AN2" s="861" t="str">
        <f>IF(T2="","",T2)</f>
        <v>Наименование тарифа</v>
      </c>
      <c r="AO2" s="861"/>
      <c r="AP2" s="861"/>
    </row>
    <row customHeight="1" ht="23.25" hidden="1">
      <c r="A3" s="1729"/>
      <c r="B3" s="1729"/>
      <c r="C3" s="1729"/>
      <c r="D3" s="1729"/>
      <c r="E3" s="2528"/>
      <c r="F3" s="2527">
        <v>1</v>
      </c>
      <c r="G3" s="1729"/>
      <c r="H3" s="1729"/>
      <c r="I3" s="1729"/>
      <c r="J3" s="1729"/>
      <c r="K3" s="1729"/>
      <c r="L3" s="1730"/>
      <c r="M3" s="1731"/>
      <c r="N3" s="1731"/>
      <c r="O3" s="1731"/>
      <c r="P3" s="1853"/>
      <c r="Q3" s="713"/>
      <c r="R3" s="714"/>
      <c r="S3" s="1859">
        <f>INDEX(PT_DIFFERENTIATION_NUM_TER,MATCH(B3,PT_DIFFERENTIATION_TER_ID,0))</f>
      </c>
      <c r="T3" s="669" t="s">
        <v>397</v>
      </c>
      <c r="U3" s="661"/>
      <c r="V3" s="2521"/>
      <c r="W3" s="2522"/>
      <c r="X3" s="2522"/>
      <c r="Y3" s="2522"/>
      <c r="Z3" s="2522"/>
      <c r="AA3" s="2522"/>
      <c r="AB3" s="2523"/>
      <c r="AC3" s="2521">
        <f>INDEX(PT_DIFFERENTIATION_TER,MATCH(B3,PT_DIFFERENTIATION_TER_ID,0))</f>
      </c>
      <c r="AD3" s="2522"/>
      <c r="AE3" s="2522"/>
      <c r="AF3" s="2522"/>
      <c r="AG3" s="2522"/>
      <c r="AH3" s="2522"/>
      <c r="AI3" s="2522"/>
      <c r="AJ3" s="2523"/>
      <c r="AK3" s="1623" t="s">
        <v>398</v>
      </c>
      <c r="AM3" s="861"/>
      <c r="AN3" s="861" t="str">
        <f>IF(T3="","",T3)</f>
        <v>Территория действия тарифа</v>
      </c>
      <c r="AO3" s="861"/>
      <c r="AP3" s="861"/>
    </row>
    <row customHeight="1" ht="23.25" hidden="1">
      <c r="A4" s="1729"/>
      <c r="B4" s="1729"/>
      <c r="C4" s="1729"/>
      <c r="D4" s="1729"/>
      <c r="E4" s="2528"/>
      <c r="F4" s="2528"/>
      <c r="G4" s="2527">
        <v>1</v>
      </c>
      <c r="H4" s="1729"/>
      <c r="I4" s="1729"/>
      <c r="J4" s="1729"/>
      <c r="K4" s="1729"/>
      <c r="L4" s="1730"/>
      <c r="M4" s="1731"/>
      <c r="N4" s="1731"/>
      <c r="O4" s="1731"/>
      <c r="P4" s="715"/>
      <c r="Q4" s="713"/>
      <c r="R4" s="714"/>
      <c r="S4" s="1859">
        <f>INDEX(PT_DIFFERENTIATION_NUM_CS,MATCH(C4,PT_DIFFERENTIATION_CS_ID,0))</f>
      </c>
      <c r="T4" s="670" t="s">
        <v>514</v>
      </c>
      <c r="U4" s="661"/>
      <c r="V4" s="2521"/>
      <c r="W4" s="2522"/>
      <c r="X4" s="2522"/>
      <c r="Y4" s="2522"/>
      <c r="Z4" s="2522"/>
      <c r="AA4" s="2522"/>
      <c r="AB4" s="2523"/>
      <c r="AC4" s="2521">
        <f>INDEX(PT_DIFFERENTIATION_CS,MATCH(C4,PT_DIFFERENTIATION_CS_ID,0))</f>
      </c>
      <c r="AD4" s="2522"/>
      <c r="AE4" s="2522"/>
      <c r="AF4" s="2522"/>
      <c r="AG4" s="2522"/>
      <c r="AH4" s="2522"/>
      <c r="AI4" s="2522"/>
      <c r="AJ4" s="2523"/>
      <c r="AK4" s="1623" t="s">
        <v>515</v>
      </c>
      <c r="AM4" s="861"/>
      <c r="AN4" s="861" t="str">
        <f>IF(T4="","",T4)</f>
        <v>Наименование централизованной системы водоотведения</v>
      </c>
      <c r="AO4" s="861"/>
      <c r="AP4" s="861"/>
    </row>
    <row customHeight="1" ht="23.25" hidden="1">
      <c r="A5" s="1729"/>
      <c r="B5" s="1729"/>
      <c r="C5" s="1729"/>
      <c r="D5" s="1729"/>
      <c r="E5" s="2528"/>
      <c r="F5" s="2528"/>
      <c r="G5" s="2528"/>
      <c r="H5" s="2528"/>
      <c r="I5" s="2529">
        <f>S4&amp;".1"</f>
      </c>
      <c r="J5" s="1729"/>
      <c r="K5" s="1729"/>
      <c r="L5" s="1730"/>
      <c r="P5" s="2531">
        <v>1</v>
      </c>
      <c r="Q5" s="1847"/>
      <c r="R5" s="717"/>
      <c r="S5" s="1859">
        <f>$I5</f>
      </c>
      <c r="T5" s="646" t="s">
        <v>481</v>
      </c>
      <c r="U5" s="661"/>
      <c r="V5" s="2614"/>
      <c r="W5" s="2615"/>
      <c r="X5" s="2615"/>
      <c r="Y5" s="2615"/>
      <c r="Z5" s="2615"/>
      <c r="AA5" s="2615"/>
      <c r="AB5" s="2616"/>
      <c r="AC5" s="2617"/>
      <c r="AD5" s="2618"/>
      <c r="AE5" s="2618"/>
      <c r="AF5" s="2618"/>
      <c r="AG5" s="2618"/>
      <c r="AH5" s="2618"/>
      <c r="AI5" s="2618"/>
      <c r="AJ5" s="2619"/>
      <c r="AK5" s="1623" t="s">
        <v>482</v>
      </c>
      <c r="AM5" s="861"/>
      <c r="AN5" s="861" t="str">
        <f>IF(T5="","",T5)</f>
        <v>Наименование признака дифференциации</v>
      </c>
      <c r="AO5" s="861"/>
      <c r="AP5" s="861"/>
    </row>
    <row customHeight="1" ht="23.25" hidden="1">
      <c r="A6" s="1729"/>
      <c r="B6" s="1729"/>
      <c r="C6" s="1729"/>
      <c r="D6" s="1729"/>
      <c r="E6" s="2528"/>
      <c r="F6" s="2528"/>
      <c r="G6" s="2528"/>
      <c r="H6" s="2528"/>
      <c r="I6" s="2530"/>
      <c r="J6" s="2529">
        <f>I5&amp;".1"</f>
      </c>
      <c r="K6" s="1729"/>
      <c r="L6" s="1730" t="s">
        <v>406</v>
      </c>
      <c r="P6" s="2531"/>
      <c r="Q6" s="2531">
        <v>1</v>
      </c>
      <c r="R6" s="718"/>
      <c r="S6" s="1859">
        <f>$J6</f>
      </c>
      <c r="T6" s="647" t="s">
        <v>407</v>
      </c>
      <c r="U6" s="661"/>
      <c r="V6" s="2515"/>
      <c r="W6" s="2516"/>
      <c r="X6" s="2516"/>
      <c r="Y6" s="2516"/>
      <c r="Z6" s="2516"/>
      <c r="AA6" s="2516"/>
      <c r="AB6" s="2517"/>
      <c r="AC6" s="2515"/>
      <c r="AD6" s="2516"/>
      <c r="AE6" s="2516"/>
      <c r="AF6" s="2516"/>
      <c r="AG6" s="2516"/>
      <c r="AH6" s="2516"/>
      <c r="AI6" s="2516"/>
      <c r="AJ6" s="2517"/>
      <c r="AK6" s="1673" t="s">
        <v>483</v>
      </c>
      <c r="AM6" s="861"/>
      <c r="AN6" s="861" t="str">
        <f>IF(T6="","",T6)</f>
        <v>Группа потребителей</v>
      </c>
      <c r="AO6" s="861"/>
      <c r="AP6" s="861"/>
    </row>
    <row customHeight="1" ht="23.25" hidden="1">
      <c r="A7" s="1729"/>
      <c r="B7" s="1729"/>
      <c r="C7" s="1729"/>
      <c r="D7" s="1729"/>
      <c r="E7" s="2528"/>
      <c r="F7" s="2528"/>
      <c r="G7" s="2528"/>
      <c r="H7" s="2528"/>
      <c r="I7" s="2530"/>
      <c r="J7" s="2530"/>
      <c r="K7" s="2529">
        <f>J6&amp;".1"</f>
      </c>
      <c r="L7" s="1730"/>
      <c r="P7" s="2531"/>
      <c r="Q7" s="2531"/>
      <c r="R7" s="718">
        <v>1</v>
      </c>
      <c r="S7" s="1859">
        <f>$K7</f>
      </c>
      <c r="T7" s="1803"/>
      <c r="U7" s="661"/>
      <c r="V7" s="1112"/>
      <c r="W7" s="1112"/>
      <c r="X7" s="1622"/>
      <c r="Y7" s="2532"/>
      <c r="Z7" s="2402" t="s">
        <v>59</v>
      </c>
      <c r="AA7" s="2532"/>
      <c r="AB7" s="2402" t="s">
        <v>59</v>
      </c>
      <c r="AC7" s="1112"/>
      <c r="AD7" s="1112"/>
      <c r="AE7" s="1622"/>
      <c r="AF7" s="2532"/>
      <c r="AG7" s="2402" t="s">
        <v>59</v>
      </c>
      <c r="AH7" s="2534"/>
      <c r="AI7" s="2402" t="s">
        <v>59</v>
      </c>
      <c r="AJ7" s="1804"/>
      <c r="AK7" s="26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872">
        <f>STRCHECKDATE(V8:AJ8)</f>
      </c>
      <c r="AM7" s="861"/>
      <c r="AN7" s="861" t="str">
        <f>IF(T7="","",T7)</f>
        <v/>
      </c>
      <c r="AO7" s="861"/>
      <c r="AP7" s="861"/>
    </row>
    <row customHeight="1" ht="14.25" hidden="1">
      <c r="A8" s="1729"/>
      <c r="B8" s="1729"/>
      <c r="C8" s="1729"/>
      <c r="D8" s="1729"/>
      <c r="E8" s="2528"/>
      <c r="F8" s="2528"/>
      <c r="G8" s="2528"/>
      <c r="H8" s="2528"/>
      <c r="I8" s="2530"/>
      <c r="J8" s="2530"/>
      <c r="K8" s="2529"/>
      <c r="L8" s="1730"/>
      <c r="P8" s="2531"/>
      <c r="Q8" s="2531"/>
      <c r="R8" s="718"/>
      <c r="S8" s="1856"/>
      <c r="T8" s="661"/>
      <c r="U8" s="661"/>
      <c r="V8" s="686"/>
      <c r="W8" s="686"/>
      <c r="X8" s="689" t="str">
        <f>Y7&amp;"-"&amp;AA7</f>
        <v>-</v>
      </c>
      <c r="Y8" s="2533"/>
      <c r="Z8" s="2402"/>
      <c r="AA8" s="2533"/>
      <c r="AB8" s="2402"/>
      <c r="AC8" s="686"/>
      <c r="AD8" s="686"/>
      <c r="AE8" s="689" t="str">
        <f>AF7&amp;"-"&amp;AH7</f>
        <v>-</v>
      </c>
      <c r="AF8" s="2533"/>
      <c r="AG8" s="2402"/>
      <c r="AH8" s="2535"/>
      <c r="AI8" s="2402"/>
      <c r="AJ8" s="1805"/>
      <c r="AK8" s="2620"/>
      <c r="AM8" s="861"/>
      <c r="AN8" s="861" t="str">
        <f>IF(T8="","",T8)</f>
        <v/>
      </c>
      <c r="AO8" s="861"/>
      <c r="AP8" s="861"/>
    </row>
    <row customHeight="1" ht="21" hidden="1">
      <c r="A9" s="1729"/>
      <c r="B9" s="1729"/>
      <c r="C9" s="1729"/>
      <c r="D9" s="1729"/>
      <c r="E9" s="2528"/>
      <c r="F9" s="2528"/>
      <c r="G9" s="2528"/>
      <c r="H9" s="2528"/>
      <c r="I9" s="2530"/>
      <c r="J9" s="2529"/>
      <c r="K9" s="1729"/>
      <c r="L9" s="1730"/>
      <c r="P9" s="2531"/>
      <c r="Q9" s="2531"/>
      <c r="R9" s="717"/>
      <c r="S9" s="1644"/>
      <c r="T9" s="648" t="s">
        <v>484</v>
      </c>
      <c r="U9" s="728"/>
      <c r="V9" s="728"/>
      <c r="W9" s="728"/>
      <c r="X9" s="728"/>
      <c r="Y9" s="728"/>
      <c r="Z9" s="728"/>
      <c r="AA9" s="728"/>
      <c r="AB9" s="728"/>
      <c r="AC9" s="728"/>
      <c r="AD9" s="728"/>
      <c r="AE9" s="728"/>
      <c r="AF9" s="728"/>
      <c r="AG9" s="728"/>
      <c r="AH9" s="728"/>
      <c r="AI9" s="728"/>
      <c r="AJ9" s="728"/>
      <c r="AK9" s="1623" t="s">
        <v>485</v>
      </c>
      <c r="AM9" s="861"/>
      <c r="AN9" s="861" t="str">
        <f>IF(T9="","",T9)</f>
        <v>Добавить значение признака дифференциации</v>
      </c>
      <c r="AO9" s="861"/>
      <c r="AP9" s="861"/>
    </row>
    <row customHeight="1" ht="21" hidden="1">
      <c r="A10" s="1729"/>
      <c r="B10" s="1729"/>
      <c r="C10" s="1729"/>
      <c r="D10" s="1729"/>
      <c r="E10" s="2528"/>
      <c r="F10" s="2528"/>
      <c r="G10" s="2528"/>
      <c r="H10" s="2528"/>
      <c r="I10" s="2529"/>
      <c r="J10" s="1729"/>
      <c r="K10" s="1729"/>
      <c r="L10" s="1730"/>
      <c r="P10" s="2531"/>
      <c r="Q10" s="1847"/>
      <c r="R10" s="717"/>
      <c r="S10" s="1644"/>
      <c r="T10" s="726" t="s">
        <v>412</v>
      </c>
      <c r="U10" s="728"/>
      <c r="V10" s="728"/>
      <c r="W10" s="728"/>
      <c r="X10" s="728"/>
      <c r="Y10" s="728"/>
      <c r="Z10" s="728"/>
      <c r="AA10" s="728"/>
      <c r="AB10" s="727"/>
      <c r="AC10" s="728"/>
      <c r="AD10" s="728"/>
      <c r="AE10" s="728"/>
      <c r="AF10" s="728"/>
      <c r="AG10" s="728"/>
      <c r="AH10" s="728"/>
      <c r="AI10" s="727"/>
      <c r="AJ10" s="728"/>
      <c r="AK10" s="1806"/>
      <c r="AM10" s="861"/>
      <c r="AN10" s="861" t="str">
        <f>IF(T10="","",T10)</f>
        <v>Добавить группу потребителей</v>
      </c>
      <c r="AO10" s="861"/>
      <c r="AP10" s="861"/>
    </row>
    <row customHeight="1" ht="21" hidden="1">
      <c r="A11" s="1729"/>
      <c r="B11" s="1729"/>
      <c r="C11" s="1729"/>
      <c r="D11" s="1729"/>
      <c r="E11" s="2528"/>
      <c r="F11" s="2528"/>
      <c r="G11" s="2528"/>
      <c r="H11" s="2527"/>
      <c r="I11" s="1729"/>
      <c r="J11" s="1729"/>
      <c r="K11" s="1729"/>
      <c r="L11" s="1730"/>
      <c r="M11" s="1731"/>
      <c r="N11" s="1731"/>
      <c r="O11" s="898"/>
      <c r="P11" s="721"/>
      <c r="Q11" s="736"/>
      <c r="R11" s="716"/>
      <c r="S11" s="1644"/>
      <c r="T11" s="733" t="s">
        <v>486</v>
      </c>
      <c r="U11" s="728"/>
      <c r="V11" s="728"/>
      <c r="W11" s="728"/>
      <c r="X11" s="728"/>
      <c r="Y11" s="728"/>
      <c r="Z11" s="728"/>
      <c r="AA11" s="728"/>
      <c r="AB11" s="727"/>
      <c r="AC11" s="728"/>
      <c r="AD11" s="728"/>
      <c r="AE11" s="728"/>
      <c r="AF11" s="728"/>
      <c r="AG11" s="728"/>
      <c r="AH11" s="728"/>
      <c r="AI11" s="727"/>
      <c r="AJ11" s="728"/>
      <c r="AK11" s="664"/>
      <c r="AM11" s="861"/>
      <c r="AN11" s="861" t="str">
        <f>IF(T11="","",T11)</f>
        <v>Добавить наименование признака дифференциации</v>
      </c>
      <c r="AO11" s="861"/>
      <c r="AP11" s="861"/>
    </row>
    <row s="19127" customFormat="1" customHeight="1" ht="14.25" hidden="1">
      <c r="A12" s="1709"/>
      <c r="B12" s="1709"/>
      <c r="C12" s="1680"/>
      <c r="D12" s="1680"/>
      <c r="E12" s="2528"/>
      <c r="F12" s="2527"/>
      <c r="G12" s="1680"/>
      <c r="H12" s="1680"/>
      <c r="I12" s="1680"/>
      <c r="J12" s="1680"/>
      <c r="K12" s="1680"/>
      <c r="L12" s="1860"/>
      <c r="M12" s="1687"/>
      <c r="N12" s="1687"/>
      <c r="P12" s="1682"/>
      <c r="Q12" s="1683"/>
      <c r="R12" s="1682"/>
      <c r="S12" s="1688"/>
      <c r="T12" s="1691" t="s">
        <v>251</v>
      </c>
      <c r="U12" s="1690"/>
      <c r="V12" s="1690"/>
      <c r="W12" s="1690"/>
      <c r="X12" s="1690"/>
      <c r="Y12" s="1690"/>
      <c r="Z12" s="1690"/>
      <c r="AA12" s="1690"/>
      <c r="AB12" s="1690"/>
      <c r="AC12" s="1690"/>
      <c r="AD12" s="1690"/>
      <c r="AE12" s="1690"/>
      <c r="AF12" s="1690"/>
      <c r="AG12" s="1690"/>
      <c r="AH12" s="1690"/>
      <c r="AI12" s="1690"/>
      <c r="AJ12" s="1690"/>
      <c r="AK12" s="1690"/>
      <c r="AM12" s="1150"/>
      <c r="AN12" s="1150" t="str">
        <f>IF(T12="","",T12)</f>
        <v>Добавить централизованную систему для дифференциации</v>
      </c>
      <c r="AO12" s="1150"/>
      <c r="AP12" s="1150"/>
    </row>
    <row s="19219" customFormat="1" customHeight="1" ht="14.25" hidden="1">
      <c r="A13" s="1709"/>
      <c r="B13" s="1709"/>
      <c r="C13" s="1709"/>
      <c r="D13" s="1709"/>
      <c r="E13" s="2527"/>
      <c r="F13" s="1709"/>
      <c r="G13" s="1709"/>
      <c r="H13" s="1709"/>
      <c r="I13" s="1709"/>
      <c r="J13" s="1709"/>
      <c r="K13" s="1709"/>
      <c r="L13" s="1712"/>
      <c r="M13" s="1687"/>
      <c r="N13" s="1687"/>
      <c r="O13" s="879"/>
      <c r="P13" s="741"/>
      <c r="Q13" s="1710"/>
      <c r="R13" s="741"/>
      <c r="S13" s="1688"/>
      <c r="T13" s="1691" t="s">
        <v>252</v>
      </c>
      <c r="U13" s="1690"/>
      <c r="V13" s="1690"/>
      <c r="W13" s="1690"/>
      <c r="X13" s="1690"/>
      <c r="Y13" s="1690"/>
      <c r="Z13" s="1690"/>
      <c r="AA13" s="1690"/>
      <c r="AB13" s="1690"/>
      <c r="AC13" s="1690"/>
      <c r="AD13" s="1690"/>
      <c r="AE13" s="1690"/>
      <c r="AF13" s="1690"/>
      <c r="AG13" s="1690"/>
      <c r="AH13" s="1690"/>
      <c r="AI13" s="1690"/>
      <c r="AJ13" s="1690"/>
      <c r="AK13" s="1690"/>
      <c r="AM13" s="861"/>
      <c r="AN13" s="861" t="str">
        <f>IF(T13="","",T13)</f>
        <v>Добавить территорию для дифференциации</v>
      </c>
      <c r="AO13" s="861"/>
      <c r="AP13" s="861"/>
    </row>
    <row customHeight="1" ht="14.25" hidden="1">
      <c r="AB14" s="688"/>
      <c r="AI14" s="688"/>
    </row>
    <row customHeight="1" ht="14.25" hidden="1">
      <c r="AC15" s="1726"/>
      <c r="AD15" s="1726"/>
      <c r="AE15" s="1727"/>
      <c r="AF15" s="2525"/>
      <c r="AG15" s="2524" t="s">
        <v>59</v>
      </c>
      <c r="AH15" s="2525"/>
      <c r="AI15" s="2524" t="s">
        <v>59</v>
      </c>
    </row>
    <row customHeight="1" ht="14.25" hidden="1">
      <c r="AC16" s="1726"/>
      <c r="AD16" s="1726"/>
      <c r="AE16" s="689" t="str">
        <f>AF15&amp;"-"&amp;AH15</f>
        <v>-</v>
      </c>
      <c r="AF16" s="2524"/>
      <c r="AG16" s="2524"/>
      <c r="AH16" s="2524"/>
      <c r="AI16" s="2524"/>
    </row>
    <row customHeight="1" ht="14.25" hidden="1">
      <c r="AI17" s="688"/>
    </row>
    <row s="19146" customFormat="1" customHeight="1" ht="22.5" hidden="1">
      <c r="L18" s="1844"/>
      <c r="M18" s="1728"/>
      <c r="N18" s="1728"/>
      <c r="O18" s="1733" t="s">
        <v>415</v>
      </c>
      <c r="P18" s="1728"/>
      <c r="Q18" s="1737"/>
      <c r="R18" s="1737"/>
      <c r="S18" s="1090"/>
      <c r="Y18" s="1733"/>
      <c r="AA18" s="1733"/>
      <c r="AB18" s="1732"/>
      <c r="AF18" s="1733"/>
      <c r="AH18" s="1733"/>
      <c r="AI18" s="1732"/>
      <c r="AL18" s="872"/>
      <c r="AM18" s="872"/>
      <c r="AN18" s="872"/>
      <c r="AO18" s="872"/>
      <c r="AP18" s="872"/>
    </row>
    <row s="19146" customFormat="1" customHeight="1" ht="14.25" hidden="1">
      <c r="L19" s="1844"/>
      <c r="M19" s="1728"/>
      <c r="N19" s="1728"/>
      <c r="O19" s="1728"/>
      <c r="P19" s="1728"/>
      <c r="Q19" s="1737"/>
      <c r="R19" s="1737"/>
      <c r="S19" s="1090"/>
      <c r="AB19" s="1732"/>
      <c r="AI19" s="1732"/>
      <c r="AL19" s="872"/>
      <c r="AM19" s="872"/>
      <c r="AN19" s="872"/>
      <c r="AO19" s="872"/>
      <c r="AP19" s="872"/>
    </row>
    <row s="19146" customFormat="1" customHeight="1" ht="12" hidden="1">
      <c r="L20" s="1844"/>
      <c r="M20" s="1728"/>
      <c r="N20" s="1728"/>
      <c r="O20" s="1730" t="s">
        <v>416</v>
      </c>
      <c r="P20" s="1728"/>
      <c r="Q20" s="1808"/>
      <c r="R20" s="1808"/>
      <c r="S20" s="1090"/>
      <c r="T20" s="1523" t="s">
        <v>417</v>
      </c>
      <c r="Z20" s="547" t="s">
        <v>418</v>
      </c>
      <c r="AB20" s="547" t="s">
        <v>419</v>
      </c>
      <c r="AC20" s="1523" t="s">
        <v>417</v>
      </c>
      <c r="AG20" s="547" t="s">
        <v>420</v>
      </c>
      <c r="AI20" s="547" t="s">
        <v>419</v>
      </c>
    </row>
    <row customHeight="1" ht="14.25" hidden="1">
      <c r="O21" s="1730"/>
    </row>
    <row customHeight="1" ht="14.25" hidden="1">
      <c r="O22" s="1730"/>
    </row>
    <row customHeight="1" ht="14.25">
      <c r="Q23" s="737"/>
      <c r="R23" s="737"/>
      <c r="S23" s="1641"/>
      <c r="T23" s="724"/>
      <c r="U23" s="724"/>
      <c r="V23" s="870"/>
      <c r="W23" s="870"/>
      <c r="X23" s="870"/>
      <c r="Y23" s="870"/>
      <c r="Z23" s="870"/>
      <c r="AA23" s="870"/>
      <c r="AB23" s="870"/>
      <c r="AC23" s="870"/>
      <c r="AD23" s="870"/>
      <c r="AE23" s="870"/>
      <c r="AF23" s="870"/>
      <c r="AG23" s="870"/>
      <c r="AH23" s="870"/>
      <c r="AI23" s="870"/>
    </row>
    <row customHeight="1" ht="14.25">
      <c r="Q24" s="737"/>
      <c r="R24" s="737"/>
      <c r="S24" s="256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560"/>
      <c r="U24" s="2560"/>
      <c r="V24" s="2560"/>
      <c r="W24" s="2560"/>
      <c r="X24" s="2560"/>
      <c r="Y24" s="2560"/>
      <c r="Z24" s="2560"/>
      <c r="AA24" s="2560"/>
      <c r="AB24" s="2560"/>
      <c r="AC24" s="2560"/>
      <c r="AD24" s="2560"/>
      <c r="AE24" s="2560"/>
      <c r="AF24" s="2560"/>
      <c r="AG24" s="2560"/>
      <c r="AH24" s="2560"/>
      <c r="AI24" s="1608"/>
    </row>
    <row customHeight="1" ht="14.25">
      <c r="Q25" s="737"/>
      <c r="R25" s="737"/>
      <c r="S25" s="2561" t="str">
        <f>IF(org=0,"Не определено",org)</f>
        <v>Филиал "Шатурская ГРЭС" ПАО "Юнипро"</v>
      </c>
      <c r="T25" s="2561"/>
      <c r="U25" s="2561"/>
      <c r="V25" s="2561"/>
      <c r="W25" s="2561"/>
      <c r="X25" s="2561"/>
      <c r="Y25" s="2561"/>
      <c r="Z25" s="2561"/>
      <c r="AA25" s="2561"/>
      <c r="AB25" s="2561"/>
      <c r="AC25" s="2561"/>
      <c r="AD25" s="2561"/>
      <c r="AE25" s="2561"/>
      <c r="AF25" s="2561"/>
      <c r="AG25" s="2561"/>
      <c r="AH25" s="2561"/>
      <c r="AI25" s="1608"/>
    </row>
    <row customHeight="1" ht="14.25">
      <c r="Q26" s="737"/>
      <c r="R26" s="737"/>
      <c r="S26" s="1641"/>
      <c r="T26" s="724"/>
      <c r="U26" s="724"/>
      <c r="V26" s="683"/>
      <c r="W26" s="683"/>
      <c r="X26" s="683"/>
      <c r="Y26" s="683"/>
      <c r="Z26" s="683"/>
      <c r="AA26" s="683"/>
      <c r="AB26" s="683"/>
      <c r="AC26" s="683"/>
      <c r="AD26" s="683"/>
      <c r="AE26" s="683"/>
      <c r="AF26" s="683"/>
      <c r="AG26" s="683"/>
      <c r="AH26" s="683"/>
      <c r="AI26" s="683"/>
      <c r="AJ26" s="870"/>
    </row>
    <row s="19160" customFormat="1" customHeight="1" ht="25.5">
      <c r="A27" s="1734"/>
      <c r="B27" s="1734"/>
      <c r="C27" s="1734"/>
      <c r="D27" s="1734"/>
      <c r="E27" s="1734"/>
      <c r="F27" s="1734"/>
      <c r="G27" s="1734"/>
      <c r="H27" s="1734"/>
      <c r="I27" s="1734"/>
      <c r="J27" s="1734"/>
      <c r="K27" s="1734"/>
      <c r="L27" s="1735"/>
      <c r="M27" s="1734"/>
      <c r="N27" s="1734"/>
      <c r="O27" s="1734"/>
      <c r="S27" s="2518" t="s">
        <v>38</v>
      </c>
      <c r="T27" s="2518"/>
      <c r="U27" s="1738"/>
      <c r="V27" s="2520" t="str">
        <f>IF(TITLE_NAME_OR_PR_CHANGE="",IF(TITLE_NAME_OR_PR="","",TITLE_NAME_OR_PR),TITLE_NAME_OR_PR_CHANGE)</f>
        <v>Комитет по ценам и тарифам по Московской области</v>
      </c>
      <c r="W27" s="2520"/>
      <c r="X27" s="2520"/>
      <c r="Y27" s="2520"/>
      <c r="Z27" s="2520"/>
      <c r="AA27" s="2520"/>
      <c r="AB27" s="687"/>
      <c r="AC27" s="2520" t="str">
        <f>IF(TITLE_NAME_OR_PR_CHANGE="",IF(TITLE_NAME_OR_PR="","",TITLE_NAME_OR_PR),TITLE_NAME_OR_PR_CHANGE)</f>
        <v>Комитет по ценам и тарифам по Московской области</v>
      </c>
      <c r="AD27" s="2520"/>
      <c r="AE27" s="2520"/>
      <c r="AF27" s="2520"/>
      <c r="AG27" s="2520"/>
      <c r="AH27" s="2520"/>
      <c r="AI27" s="687"/>
      <c r="AJ27" s="687"/>
      <c r="AK27" s="641"/>
      <c r="AL27" s="729"/>
      <c r="AM27" s="729"/>
      <c r="AN27" s="729"/>
      <c r="AO27" s="729"/>
      <c r="AP27" s="729"/>
    </row>
    <row s="19160" customFormat="1" customHeight="1" ht="18.75">
      <c r="A28" s="1734"/>
      <c r="B28" s="1734"/>
      <c r="C28" s="1734"/>
      <c r="D28" s="1734"/>
      <c r="E28" s="1734"/>
      <c r="F28" s="1734"/>
      <c r="G28" s="1734"/>
      <c r="H28" s="1734"/>
      <c r="I28" s="1734"/>
      <c r="J28" s="1734"/>
      <c r="K28" s="1734"/>
      <c r="L28" s="1735"/>
      <c r="M28" s="1734"/>
      <c r="N28" s="1734"/>
      <c r="O28" s="1734"/>
      <c r="S28" s="2518" t="s">
        <v>421</v>
      </c>
      <c r="T28" s="2518"/>
      <c r="U28" s="1738"/>
      <c r="V28" s="2519" t="str">
        <f>IF(TITLE_DATE_PR_CHANGE="",IF(TITLE_DATE_PR="","",TITLE_DATE_PR),TITLE_DATE_PR_CHANGE)</f>
        <v>45280.70914351852</v>
      </c>
      <c r="W28" s="2519"/>
      <c r="X28" s="2519"/>
      <c r="Y28" s="2519"/>
      <c r="Z28" s="2519"/>
      <c r="AA28" s="2519"/>
      <c r="AB28" s="687"/>
      <c r="AC28" s="2519" t="str">
        <f>IF(TITLE_DATE_PR_CHANGE="",IF(TITLE_DATE_PR="","",TITLE_DATE_PR),TITLE_DATE_PR_CHANGE)</f>
        <v>45280.70914351852</v>
      </c>
      <c r="AD28" s="2519"/>
      <c r="AE28" s="2519"/>
      <c r="AF28" s="2519"/>
      <c r="AG28" s="2519"/>
      <c r="AH28" s="2519"/>
      <c r="AI28" s="687"/>
      <c r="AJ28" s="687"/>
      <c r="AK28" s="641"/>
      <c r="AL28" s="729"/>
      <c r="AM28" s="729"/>
      <c r="AN28" s="729"/>
      <c r="AO28" s="729"/>
      <c r="AP28" s="729"/>
    </row>
    <row s="19160" customFormat="1" customHeight="1" ht="18.75">
      <c r="A29" s="1734"/>
      <c r="B29" s="1734"/>
      <c r="C29" s="1734"/>
      <c r="D29" s="1734"/>
      <c r="E29" s="1734"/>
      <c r="F29" s="1734"/>
      <c r="G29" s="1734"/>
      <c r="H29" s="1734"/>
      <c r="I29" s="1734"/>
      <c r="J29" s="1734"/>
      <c r="K29" s="1734"/>
      <c r="L29" s="1735"/>
      <c r="M29" s="1734"/>
      <c r="N29" s="1734"/>
      <c r="O29" s="1734"/>
      <c r="S29" s="2518" t="s">
        <v>422</v>
      </c>
      <c r="T29" s="2518"/>
      <c r="U29" s="1738"/>
      <c r="V29" s="2520" t="str">
        <f>IF(TITLE_NUMBER_PR_CHANGE="",IF(TITLE_NUMBER_PR="","",TITLE_NUMBER_PR),TITLE_NUMBER_PR_CHANGE)</f>
        <v>317-Р</v>
      </c>
      <c r="W29" s="2520"/>
      <c r="X29" s="2520"/>
      <c r="Y29" s="2520"/>
      <c r="Z29" s="2520"/>
      <c r="AA29" s="2520"/>
      <c r="AB29" s="687"/>
      <c r="AC29" s="2520" t="str">
        <f>IF(TITLE_NUMBER_PR_CHANGE="",IF(TITLE_NUMBER_PR="","",TITLE_NUMBER_PR),TITLE_NUMBER_PR_CHANGE)</f>
        <v>317-Р</v>
      </c>
      <c r="AD29" s="2520"/>
      <c r="AE29" s="2520"/>
      <c r="AF29" s="2520"/>
      <c r="AG29" s="2520"/>
      <c r="AH29" s="2520"/>
      <c r="AI29" s="687"/>
      <c r="AJ29" s="687"/>
      <c r="AK29" s="641"/>
      <c r="AL29" s="729"/>
      <c r="AM29" s="729"/>
      <c r="AN29" s="729"/>
      <c r="AO29" s="729"/>
      <c r="AP29" s="729"/>
    </row>
    <row s="19160" customFormat="1" customHeight="1" ht="18.75">
      <c r="A30" s="1734"/>
      <c r="B30" s="1734"/>
      <c r="C30" s="1734"/>
      <c r="D30" s="1734"/>
      <c r="E30" s="1734"/>
      <c r="F30" s="1734"/>
      <c r="G30" s="1734"/>
      <c r="H30" s="1734"/>
      <c r="I30" s="1734"/>
      <c r="J30" s="1734"/>
      <c r="K30" s="1734"/>
      <c r="L30" s="1735"/>
      <c r="M30" s="1734"/>
      <c r="N30" s="1734"/>
      <c r="O30" s="1734"/>
      <c r="S30" s="2518" t="s">
        <v>40</v>
      </c>
      <c r="T30" s="2518"/>
      <c r="U30" s="1738"/>
      <c r="V30"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520"/>
      <c r="X30" s="2520"/>
      <c r="Y30" s="2520"/>
      <c r="Z30" s="2520"/>
      <c r="AA30" s="2520"/>
      <c r="AB30" s="687"/>
      <c r="AC30"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520"/>
      <c r="AE30" s="2520"/>
      <c r="AF30" s="2520"/>
      <c r="AG30" s="2520"/>
      <c r="AH30" s="2520"/>
      <c r="AI30" s="687"/>
      <c r="AJ30" s="687"/>
      <c r="AK30" s="641"/>
      <c r="AL30" s="729"/>
      <c r="AM30" s="729"/>
      <c r="AN30" s="729"/>
      <c r="AO30" s="729"/>
      <c r="AP30" s="729"/>
    </row>
    <row customHeight="1" ht="14.25" hidden="1">
      <c r="Q31" s="737"/>
      <c r="R31" s="737"/>
      <c r="S31" s="1641"/>
      <c r="T31" s="724"/>
      <c r="U31" s="724"/>
      <c r="V31" s="683"/>
      <c r="W31" s="683"/>
      <c r="X31" s="683"/>
      <c r="Y31" s="683"/>
      <c r="Z31" s="683"/>
      <c r="AA31" s="683"/>
      <c r="AB31" s="683"/>
      <c r="AC31" s="683"/>
      <c r="AD31" s="683"/>
      <c r="AE31" s="683"/>
      <c r="AF31" s="683"/>
      <c r="AG31" s="683"/>
      <c r="AH31" s="683"/>
      <c r="AI31" s="683"/>
      <c r="AJ31" s="870"/>
    </row>
    <row s="19160" customFormat="1" customHeight="1" ht="18.75" hidden="1">
      <c r="A32" s="1734"/>
      <c r="B32" s="1734"/>
      <c r="C32" s="1734"/>
      <c r="D32" s="1734"/>
      <c r="E32" s="1734"/>
      <c r="F32" s="1734"/>
      <c r="G32" s="1734"/>
      <c r="H32" s="1734"/>
      <c r="I32" s="1734"/>
      <c r="J32" s="1734"/>
      <c r="K32" s="1734"/>
      <c r="L32" s="1735"/>
      <c r="M32" s="1734"/>
      <c r="N32" s="1734"/>
      <c r="O32" s="1734"/>
      <c r="S32" s="2518" t="s">
        <v>423</v>
      </c>
      <c r="T32" s="2518"/>
      <c r="U32" s="1738"/>
      <c r="V32" s="2519" t="str">
        <f>IF(TITLE_DATE_PR_CHANGE="",IF(TITLE_DATE_PR="","",TITLE_DATE_PR),TITLE_DATE_PR_CHANGE)</f>
        <v>45280.70914351852</v>
      </c>
      <c r="W32" s="2519"/>
      <c r="X32" s="2519"/>
      <c r="Y32" s="2519"/>
      <c r="Z32" s="2519"/>
      <c r="AA32" s="2519"/>
      <c r="AB32" s="687"/>
      <c r="AC32" s="2519" t="str">
        <f>IF(TITLE_DATE_PR_CHANGE="",IF(TITLE_DATE_PR="","",TITLE_DATE_PR),TITLE_DATE_PR_CHANGE)</f>
        <v>45280.70914351852</v>
      </c>
      <c r="AD32" s="2519"/>
      <c r="AE32" s="2519"/>
      <c r="AF32" s="2519"/>
      <c r="AG32" s="2519"/>
      <c r="AH32" s="2519"/>
      <c r="AI32" s="687"/>
      <c r="AJ32" s="687"/>
      <c r="AK32" s="641"/>
      <c r="AL32" s="729"/>
      <c r="AM32" s="729"/>
      <c r="AN32" s="729"/>
      <c r="AO32" s="729"/>
      <c r="AP32" s="729"/>
    </row>
    <row s="19160" customFormat="1" customHeight="1" ht="18.75" hidden="1">
      <c r="A33" s="1734"/>
      <c r="B33" s="1734"/>
      <c r="C33" s="1734"/>
      <c r="D33" s="1734"/>
      <c r="E33" s="1734"/>
      <c r="F33" s="1734"/>
      <c r="G33" s="1734"/>
      <c r="H33" s="1734"/>
      <c r="I33" s="1734"/>
      <c r="J33" s="1734"/>
      <c r="K33" s="1734"/>
      <c r="L33" s="1735"/>
      <c r="M33" s="1734"/>
      <c r="N33" s="1734"/>
      <c r="O33" s="1734"/>
      <c r="S33" s="2518" t="s">
        <v>424</v>
      </c>
      <c r="T33" s="2518"/>
      <c r="U33" s="1738"/>
      <c r="V33" s="2520" t="str">
        <f>IF(TITLE_NUMBER_PR_CHANGE="",IF(TITLE_NUMBER_PR="","",TITLE_NUMBER_PR),TITLE_NUMBER_PR_CHANGE)</f>
        <v>317-Р</v>
      </c>
      <c r="W33" s="2520"/>
      <c r="X33" s="2520"/>
      <c r="Y33" s="2520"/>
      <c r="Z33" s="2520"/>
      <c r="AA33" s="2520"/>
      <c r="AB33" s="687"/>
      <c r="AC33" s="2520" t="str">
        <f>IF(TITLE_NUMBER_PR_CHANGE="",IF(TITLE_NUMBER_PR="","",TITLE_NUMBER_PR),TITLE_NUMBER_PR_CHANGE)</f>
        <v>317-Р</v>
      </c>
      <c r="AD33" s="2520"/>
      <c r="AE33" s="2520"/>
      <c r="AF33" s="2520"/>
      <c r="AG33" s="2520"/>
      <c r="AH33" s="2520"/>
      <c r="AI33" s="687"/>
      <c r="AJ33" s="687"/>
      <c r="AK33" s="641"/>
      <c r="AL33" s="729"/>
      <c r="AM33" s="729"/>
      <c r="AN33" s="729"/>
      <c r="AO33" s="729"/>
      <c r="AP33" s="729"/>
    </row>
    <row s="19160" customFormat="1" customHeight="1" ht="0.75">
      <c r="A34" s="1734"/>
      <c r="B34" s="1734"/>
      <c r="C34" s="1734"/>
      <c r="D34" s="1734"/>
      <c r="E34" s="1734"/>
      <c r="F34" s="1734"/>
      <c r="G34" s="1734"/>
      <c r="H34" s="1734"/>
      <c r="I34" s="1734"/>
      <c r="J34" s="1734"/>
      <c r="K34" s="1734"/>
      <c r="L34" s="1735"/>
      <c r="M34" s="1734"/>
      <c r="N34" s="1734"/>
      <c r="O34" s="1734"/>
      <c r="S34" s="684"/>
      <c r="T34" s="684"/>
      <c r="U34" s="1854"/>
      <c r="V34" s="687"/>
      <c r="W34" s="687"/>
      <c r="X34" s="687"/>
      <c r="Y34" s="687"/>
      <c r="Z34" s="687"/>
      <c r="AA34" s="687"/>
      <c r="AB34" s="639" t="s">
        <v>425</v>
      </c>
      <c r="AC34" s="687"/>
      <c r="AD34" s="687"/>
      <c r="AE34" s="687"/>
      <c r="AF34" s="687"/>
      <c r="AG34" s="687"/>
      <c r="AH34" s="687"/>
      <c r="AI34" s="639" t="s">
        <v>425</v>
      </c>
      <c r="AL34" s="729"/>
      <c r="AM34" s="729"/>
      <c r="AN34" s="729"/>
      <c r="AO34" s="729"/>
      <c r="AP34" s="729"/>
    </row>
    <row customHeight="1" ht="14.25">
      <c r="Q35" s="737"/>
      <c r="R35" s="737"/>
      <c r="S35" s="1641"/>
      <c r="T35" s="724"/>
      <c r="U35" s="1609"/>
      <c r="V35" s="2544"/>
      <c r="W35" s="2544"/>
      <c r="X35" s="2544"/>
      <c r="Y35" s="2544"/>
      <c r="Z35" s="2544"/>
      <c r="AA35" s="2544"/>
      <c r="AB35" s="2544"/>
      <c r="AC35" s="2544"/>
      <c r="AD35" s="2544"/>
      <c r="AE35" s="2544"/>
      <c r="AF35" s="2544"/>
      <c r="AG35" s="2544"/>
      <c r="AH35" s="2544"/>
      <c r="AI35" s="2544"/>
    </row>
    <row customHeight="1" ht="14.25">
      <c r="Q36" s="737"/>
      <c r="R36" s="737"/>
      <c r="S36" s="2392" t="s">
        <v>300</v>
      </c>
      <c r="T36" s="2392"/>
      <c r="U36" s="2392"/>
      <c r="V36" s="2392"/>
      <c r="W36" s="2392"/>
      <c r="X36" s="2392"/>
      <c r="Y36" s="2392"/>
      <c r="Z36" s="2392"/>
      <c r="AA36" s="2392"/>
      <c r="AB36" s="2392"/>
      <c r="AC36" s="2392"/>
      <c r="AD36" s="2392"/>
      <c r="AE36" s="2392"/>
      <c r="AF36" s="2392"/>
      <c r="AG36" s="2392"/>
      <c r="AH36" s="2392"/>
      <c r="AI36" s="2392"/>
      <c r="AJ36" s="2392"/>
      <c r="AK36" s="2392" t="s">
        <v>301</v>
      </c>
    </row>
    <row customHeight="1" ht="14.25">
      <c r="Q37" s="737"/>
      <c r="R37" s="737"/>
      <c r="S37" s="2545" t="s">
        <v>85</v>
      </c>
      <c r="T37" s="2482" t="s">
        <v>426</v>
      </c>
      <c r="U37" s="662"/>
      <c r="V37" s="2546" t="s">
        <v>427</v>
      </c>
      <c r="W37" s="2547"/>
      <c r="X37" s="2547"/>
      <c r="Y37" s="2547"/>
      <c r="Z37" s="2547"/>
      <c r="AA37" s="2548"/>
      <c r="AB37" s="2549" t="s">
        <v>428</v>
      </c>
      <c r="AC37" s="2546" t="s">
        <v>427</v>
      </c>
      <c r="AD37" s="2547"/>
      <c r="AE37" s="2547"/>
      <c r="AF37" s="2547"/>
      <c r="AG37" s="2547"/>
      <c r="AH37" s="2548"/>
      <c r="AI37" s="2549" t="s">
        <v>429</v>
      </c>
      <c r="AJ37" s="2552" t="s">
        <v>430</v>
      </c>
      <c r="AK37" s="2392"/>
    </row>
    <row customHeight="1" ht="33.75">
      <c r="Q38" s="737"/>
      <c r="R38" s="737"/>
      <c r="S38" s="2545"/>
      <c r="T38" s="2482"/>
      <c r="U38" s="1393"/>
      <c r="V38" s="1849" t="s">
        <v>487</v>
      </c>
      <c r="W38" s="2538" t="s">
        <v>433</v>
      </c>
      <c r="X38" s="2540"/>
      <c r="Y38" s="2538" t="s">
        <v>434</v>
      </c>
      <c r="Z38" s="2539"/>
      <c r="AA38" s="2540"/>
      <c r="AB38" s="2550"/>
      <c r="AC38" s="1849" t="s">
        <v>487</v>
      </c>
      <c r="AD38" s="2538" t="s">
        <v>433</v>
      </c>
      <c r="AE38" s="2540"/>
      <c r="AF38" s="2538" t="s">
        <v>434</v>
      </c>
      <c r="AG38" s="2539"/>
      <c r="AH38" s="2540"/>
      <c r="AI38" s="2550"/>
      <c r="AJ38" s="2553"/>
      <c r="AK38" s="2392"/>
    </row>
    <row customHeight="1" ht="86.25">
      <c r="A39" s="1736"/>
      <c r="B39" s="1736" t="s">
        <v>132</v>
      </c>
      <c r="C39" s="1736" t="s">
        <v>133</v>
      </c>
      <c r="D39" s="1736" t="s">
        <v>134</v>
      </c>
      <c r="E39" s="1730" t="s">
        <v>435</v>
      </c>
      <c r="F39" s="1730" t="s">
        <v>436</v>
      </c>
      <c r="G39" s="1730" t="s">
        <v>437</v>
      </c>
      <c r="H39" s="1730"/>
      <c r="I39" s="1730" t="s">
        <v>488</v>
      </c>
      <c r="J39" s="1730" t="s">
        <v>440</v>
      </c>
      <c r="K39" s="1730" t="s">
        <v>489</v>
      </c>
      <c r="L39" s="1730" t="s">
        <v>416</v>
      </c>
      <c r="Q39" s="737"/>
      <c r="R39" s="737"/>
      <c r="S39" s="2545"/>
      <c r="T39" s="2482"/>
      <c r="U39" s="663"/>
      <c r="V39" s="1849" t="s">
        <v>516</v>
      </c>
      <c r="W39" s="1587" t="s">
        <v>517</v>
      </c>
      <c r="X39" s="1587" t="s">
        <v>492</v>
      </c>
      <c r="Y39" s="1855" t="s">
        <v>444</v>
      </c>
      <c r="Z39" s="2541" t="s">
        <v>445</v>
      </c>
      <c r="AA39" s="2542"/>
      <c r="AB39" s="2551"/>
      <c r="AC39" s="1849" t="s">
        <v>516</v>
      </c>
      <c r="AD39" s="1587" t="s">
        <v>517</v>
      </c>
      <c r="AE39" s="1587" t="s">
        <v>492</v>
      </c>
      <c r="AF39" s="1855" t="s">
        <v>444</v>
      </c>
      <c r="AG39" s="2541" t="s">
        <v>445</v>
      </c>
      <c r="AH39" s="2542"/>
      <c r="AI39" s="2551"/>
      <c r="AJ39" s="2554"/>
      <c r="AK39" s="2392"/>
    </row>
    <row s="18977" customFormat="1" customHeight="1" ht="11.25" hidden="1">
      <c r="A40" s="1736"/>
      <c r="B40" s="1736"/>
      <c r="C40" s="1736"/>
      <c r="D40" s="1736"/>
      <c r="E40" s="1736"/>
      <c r="F40" s="1736"/>
      <c r="G40" s="1736"/>
      <c r="H40" s="1736"/>
      <c r="I40" s="1736"/>
      <c r="J40" s="1736"/>
      <c r="K40" s="1736"/>
      <c r="L40" s="1730"/>
      <c r="M40" s="1728"/>
      <c r="N40" s="1728"/>
      <c r="O40" s="1728"/>
      <c r="P40" s="1611"/>
      <c r="Q40" s="1612"/>
      <c r="R40" s="1619">
        <v>1</v>
      </c>
      <c r="S40" s="1643" t="s">
        <v>106</v>
      </c>
      <c r="T40" s="1620" t="s">
        <v>107</v>
      </c>
      <c r="U40" s="1610" t="str">
        <f>OFFSET(U40,0,-1)</f>
        <v>2</v>
      </c>
      <c r="V40" s="1848">
        <f>OFFSET(V40,0,-1)+1</f>
        <v>3</v>
      </c>
      <c r="W40" s="1848">
        <f>OFFSET(W40,0,-1)+1</f>
        <v>4</v>
      </c>
      <c r="X40" s="1848">
        <f>OFFSET(X40,0,-1)+1</f>
        <v>5</v>
      </c>
      <c r="Y40" s="1848">
        <f>OFFSET(Y40,0,-1)+1</f>
        <v>6</v>
      </c>
      <c r="Z40" s="2543">
        <f>OFFSET(Z40,0,-1)+1</f>
        <v>7</v>
      </c>
      <c r="AA40" s="2543"/>
      <c r="AB40" s="1848">
        <f>OFFSET(AB40,0,-2)+1</f>
        <v>8</v>
      </c>
      <c r="AC40" s="1848">
        <f>OFFSET(AC40,0,-1)+1</f>
        <v>9</v>
      </c>
      <c r="AD40" s="1848">
        <f>OFFSET(AD40,0,-1)+1</f>
        <v>10</v>
      </c>
      <c r="AE40" s="1848">
        <f>OFFSET(AE40,0,-1)+1</f>
        <v>11</v>
      </c>
      <c r="AF40" s="1848">
        <f>OFFSET(AF40,0,-1)+1</f>
        <v>12</v>
      </c>
      <c r="AG40" s="2543">
        <f>OFFSET(AG40,0,-1)+1</f>
        <v>13</v>
      </c>
      <c r="AH40" s="2543"/>
      <c r="AI40" s="1848">
        <f>OFFSET(AI40,0,-2)+1</f>
        <v>14</v>
      </c>
      <c r="AJ40" s="1610">
        <f>OFFSET(AJ40,0,-1)</f>
        <v>14</v>
      </c>
      <c r="AK40" s="1848">
        <f>OFFSET(AK40,0,-1)+1</f>
        <v>15</v>
      </c>
      <c r="AL40" s="872"/>
      <c r="AM40" s="872"/>
      <c r="AN40" s="872"/>
      <c r="AO40" s="872"/>
      <c r="AP40" s="872"/>
    </row>
    <row customHeight="1" ht="23.25">
      <c r="A41" s="1729" t="s">
        <v>266</v>
      </c>
      <c r="B41" s="1729"/>
      <c r="C41" s="1729"/>
      <c r="D41" s="1729"/>
      <c r="E41" s="2527">
        <v>1</v>
      </c>
      <c r="F41" s="1729"/>
      <c r="G41" s="1729"/>
      <c r="H41" s="1729"/>
      <c r="I41" s="1729"/>
      <c r="J41" s="1729"/>
      <c r="K41" s="1729"/>
      <c r="L41" s="1730"/>
      <c r="M41" s="1731"/>
      <c r="N41" s="1731"/>
      <c r="O41" s="1731"/>
      <c r="P41" s="722"/>
      <c r="Q41" s="721"/>
      <c r="R41" s="716"/>
      <c r="S41" s="1859">
        <f>INDEX(PT_DIFFERENTIATION_NUM_NTAR,MATCH(A41,PT_DIFFERENTIATION_NTAR_ID,0))</f>
        <v>0</v>
      </c>
      <c r="T41" s="659" t="s">
        <v>120</v>
      </c>
      <c r="U41" s="661"/>
      <c r="V41" s="2521"/>
      <c r="W41" s="2522"/>
      <c r="X41" s="2522"/>
      <c r="Y41" s="2522"/>
      <c r="Z41" s="2522"/>
      <c r="AA41" s="2522"/>
      <c r="AB41" s="2523"/>
      <c r="AC41" s="2521" t="str">
        <f>INDEX(PT_DIFFERENTIATION_NTAR,MATCH(A41,PT_DIFFERENTIATION_NTAR_ID,0))</f>
        <v/>
      </c>
      <c r="AD41" s="2522"/>
      <c r="AE41" s="2522"/>
      <c r="AF41" s="2522"/>
      <c r="AG41" s="2522"/>
      <c r="AH41" s="2522"/>
      <c r="AI41" s="2522"/>
      <c r="AJ41" s="2523"/>
      <c r="AK41" s="16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861"/>
      <c r="AN41" s="861" t="str">
        <f>IF(T41="","",T41)</f>
        <v>Наименование тарифа</v>
      </c>
      <c r="AO41" s="861"/>
      <c r="AP41" s="861"/>
    </row>
    <row customHeight="1" ht="23.25">
      <c r="A42" s="1729" t="s">
        <v>266</v>
      </c>
      <c r="B42" s="1729" t="s">
        <v>267</v>
      </c>
      <c r="C42" s="1729"/>
      <c r="D42" s="1729"/>
      <c r="E42" s="2528"/>
      <c r="F42" s="2527">
        <v>1</v>
      </c>
      <c r="G42" s="1729"/>
      <c r="H42" s="1729"/>
      <c r="I42" s="1729"/>
      <c r="J42" s="1729"/>
      <c r="K42" s="1729"/>
      <c r="L42" s="1730"/>
      <c r="M42" s="1731"/>
      <c r="N42" s="1731"/>
      <c r="O42" s="1731"/>
      <c r="P42" s="1853"/>
      <c r="Q42" s="713"/>
      <c r="R42" s="714"/>
      <c r="S42" s="1859" t="str">
        <f>INDEX(PT_DIFFERENTIATION_NUM_TER,MATCH(B42,PT_DIFFERENTIATION_TER_ID,0))</f>
        <v>.</v>
      </c>
      <c r="T42" s="669" t="s">
        <v>397</v>
      </c>
      <c r="U42" s="661"/>
      <c r="V42" s="2521"/>
      <c r="W42" s="2522"/>
      <c r="X42" s="2522"/>
      <c r="Y42" s="2522"/>
      <c r="Z42" s="2522"/>
      <c r="AA42" s="2522"/>
      <c r="AB42" s="2523"/>
      <c r="AC42" s="2521" t="str">
        <f>INDEX(PT_DIFFERENTIATION_TER,MATCH(B42,PT_DIFFERENTIATION_TER_ID,0))</f>
        <v/>
      </c>
      <c r="AD42" s="2522"/>
      <c r="AE42" s="2522"/>
      <c r="AF42" s="2522"/>
      <c r="AG42" s="2522"/>
      <c r="AH42" s="2522"/>
      <c r="AI42" s="2522"/>
      <c r="AJ42" s="2523"/>
      <c r="AK42" s="1623" t="s">
        <v>398</v>
      </c>
      <c r="AM42" s="861"/>
      <c r="AN42" s="861" t="str">
        <f>IF(T42="","",T42)</f>
        <v>Территория действия тарифа</v>
      </c>
      <c r="AO42" s="861"/>
      <c r="AP42" s="861"/>
    </row>
    <row customHeight="1" ht="23.25">
      <c r="A43" s="1729" t="s">
        <v>266</v>
      </c>
      <c r="B43" s="1729" t="s">
        <v>267</v>
      </c>
      <c r="C43" s="1729" t="s">
        <v>268</v>
      </c>
      <c r="D43" s="1729"/>
      <c r="E43" s="2528"/>
      <c r="F43" s="2528"/>
      <c r="G43" s="2527">
        <v>1</v>
      </c>
      <c r="H43" s="1729"/>
      <c r="I43" s="1729"/>
      <c r="J43" s="1729"/>
      <c r="K43" s="1729"/>
      <c r="L43" s="1730"/>
      <c r="M43" s="1731"/>
      <c r="N43" s="1731"/>
      <c r="O43" s="1731"/>
      <c r="P43" s="715"/>
      <c r="Q43" s="713"/>
      <c r="R43" s="714"/>
      <c r="S43" s="1859" t="str">
        <f>INDEX(PT_DIFFERENTIATION_NUM_CS,MATCH(C43,PT_DIFFERENTIATION_CS_ID,0))</f>
        <v>..</v>
      </c>
      <c r="T43" s="670" t="s">
        <v>514</v>
      </c>
      <c r="U43" s="661"/>
      <c r="V43" s="2521"/>
      <c r="W43" s="2522"/>
      <c r="X43" s="2522"/>
      <c r="Y43" s="2522"/>
      <c r="Z43" s="2522"/>
      <c r="AA43" s="2522"/>
      <c r="AB43" s="2523"/>
      <c r="AC43" s="2521" t="str">
        <f>INDEX(PT_DIFFERENTIATION_CS,MATCH(C43,PT_DIFFERENTIATION_CS_ID,0))</f>
        <v/>
      </c>
      <c r="AD43" s="2522"/>
      <c r="AE43" s="2522"/>
      <c r="AF43" s="2522"/>
      <c r="AG43" s="2522"/>
      <c r="AH43" s="2522"/>
      <c r="AI43" s="2522"/>
      <c r="AJ43" s="2523"/>
      <c r="AK43" s="1623" t="s">
        <v>515</v>
      </c>
      <c r="AM43" s="861"/>
      <c r="AN43" s="861" t="str">
        <f>IF(T43="","",T43)</f>
        <v>Наименование централизованной системы водоотведения</v>
      </c>
      <c r="AO43" s="861"/>
      <c r="AP43" s="861"/>
    </row>
    <row customHeight="1" ht="23.25">
      <c r="A44" s="1729" t="s">
        <v>266</v>
      </c>
      <c r="B44" s="1729" t="s">
        <v>267</v>
      </c>
      <c r="C44" s="1729" t="s">
        <v>268</v>
      </c>
      <c r="D44" s="1729" t="s">
        <v>518</v>
      </c>
      <c r="E44" s="2528"/>
      <c r="F44" s="2528"/>
      <c r="G44" s="2528"/>
      <c r="H44" s="2528"/>
      <c r="I44" s="2529" t="str">
        <f>S43&amp;".1"</f>
        <v>...1</v>
      </c>
      <c r="J44" s="1729"/>
      <c r="K44" s="1729"/>
      <c r="L44" s="1730"/>
      <c r="P44" s="2531">
        <v>1</v>
      </c>
      <c r="Q44" s="1847"/>
      <c r="R44" s="717"/>
      <c r="S44" s="1859" t="str">
        <f>$I44</f>
        <v>...1</v>
      </c>
      <c r="T44" s="646" t="s">
        <v>481</v>
      </c>
      <c r="U44" s="661"/>
      <c r="V44" s="2614"/>
      <c r="W44" s="2615"/>
      <c r="X44" s="2615"/>
      <c r="Y44" s="2615"/>
      <c r="Z44" s="2615"/>
      <c r="AA44" s="2615"/>
      <c r="AB44" s="2616"/>
      <c r="AC44" s="2617"/>
      <c r="AD44" s="2618"/>
      <c r="AE44" s="2618"/>
      <c r="AF44" s="2618"/>
      <c r="AG44" s="2618"/>
      <c r="AH44" s="2618"/>
      <c r="AI44" s="2618"/>
      <c r="AJ44" s="2619"/>
      <c r="AK44" s="1623" t="s">
        <v>482</v>
      </c>
      <c r="AM44" s="861"/>
      <c r="AN44" s="861" t="str">
        <f>IF(T44="","",T44)</f>
        <v>Наименование признака дифференциации</v>
      </c>
      <c r="AO44" s="861"/>
      <c r="AP44" s="861"/>
    </row>
    <row customHeight="1" ht="23.25">
      <c r="A45" s="1729" t="s">
        <v>266</v>
      </c>
      <c r="B45" s="1729" t="s">
        <v>267</v>
      </c>
      <c r="C45" s="1729" t="s">
        <v>268</v>
      </c>
      <c r="D45" s="1729" t="s">
        <v>518</v>
      </c>
      <c r="E45" s="2528"/>
      <c r="F45" s="2528"/>
      <c r="G45" s="2528"/>
      <c r="H45" s="2528"/>
      <c r="I45" s="2530"/>
      <c r="J45" s="2529" t="str">
        <f>I44&amp;".1"</f>
        <v>...1.1</v>
      </c>
      <c r="K45" s="1729"/>
      <c r="L45" s="1730" t="s">
        <v>406</v>
      </c>
      <c r="P45" s="2531"/>
      <c r="Q45" s="2531">
        <v>1</v>
      </c>
      <c r="R45" s="718"/>
      <c r="S45" s="1859" t="str">
        <f>$J45</f>
        <v>...1.1</v>
      </c>
      <c r="T45" s="647" t="s">
        <v>407</v>
      </c>
      <c r="U45" s="661"/>
      <c r="V45" s="2515"/>
      <c r="W45" s="2516"/>
      <c r="X45" s="2516"/>
      <c r="Y45" s="2516"/>
      <c r="Z45" s="2516"/>
      <c r="AA45" s="2516"/>
      <c r="AB45" s="2517"/>
      <c r="AC45" s="2515"/>
      <c r="AD45" s="2516"/>
      <c r="AE45" s="2516"/>
      <c r="AF45" s="2516"/>
      <c r="AG45" s="2516"/>
      <c r="AH45" s="2516"/>
      <c r="AI45" s="2516"/>
      <c r="AJ45" s="2517"/>
      <c r="AK45" s="1673" t="s">
        <v>483</v>
      </c>
      <c r="AM45" s="861"/>
      <c r="AN45" s="861" t="str">
        <f>IF(T45="","",T45)</f>
        <v>Группа потребителей</v>
      </c>
      <c r="AO45" s="861"/>
      <c r="AP45" s="861"/>
    </row>
    <row customHeight="1" ht="23.25">
      <c r="A46" s="1729" t="s">
        <v>266</v>
      </c>
      <c r="B46" s="1729" t="s">
        <v>267</v>
      </c>
      <c r="C46" s="1729" t="s">
        <v>268</v>
      </c>
      <c r="D46" s="1729" t="s">
        <v>518</v>
      </c>
      <c r="E46" s="2528"/>
      <c r="F46" s="2528"/>
      <c r="G46" s="2528"/>
      <c r="H46" s="2528"/>
      <c r="I46" s="2530"/>
      <c r="J46" s="2530"/>
      <c r="K46" s="2529" t="str">
        <f>J45&amp;".1"</f>
        <v>...1.1.1</v>
      </c>
      <c r="L46" s="1730"/>
      <c r="P46" s="2531"/>
      <c r="Q46" s="2531"/>
      <c r="R46" s="718">
        <v>1</v>
      </c>
      <c r="S46" s="1859" t="str">
        <f>$K46</f>
        <v>...1.1.1</v>
      </c>
      <c r="T46" s="1803"/>
      <c r="U46" s="661"/>
      <c r="V46" s="1726"/>
      <c r="W46" s="1726"/>
      <c r="X46" s="1727"/>
      <c r="Y46" s="2525"/>
      <c r="Z46" s="2524" t="s">
        <v>59</v>
      </c>
      <c r="AA46" s="2525"/>
      <c r="AB46" s="2524" t="s">
        <v>59</v>
      </c>
      <c r="AC46" s="1112"/>
      <c r="AD46" s="1112"/>
      <c r="AE46" s="1622"/>
      <c r="AF46" s="2532"/>
      <c r="AG46" s="2402" t="s">
        <v>59</v>
      </c>
      <c r="AH46" s="2534"/>
      <c r="AI46" s="2402" t="s">
        <v>54</v>
      </c>
      <c r="AJ46" s="1804"/>
      <c r="AK46" s="26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872">
        <f>STRCHECKDATE(V47:AJ47)</f>
      </c>
      <c r="AM46" s="861"/>
      <c r="AN46" s="861" t="str">
        <f>IF(T46="","",T46)</f>
        <v/>
      </c>
      <c r="AO46" s="861"/>
      <c r="AP46" s="861"/>
    </row>
    <row customHeight="1" ht="0">
      <c r="A47" s="1729" t="s">
        <v>266</v>
      </c>
      <c r="B47" s="1729" t="s">
        <v>267</v>
      </c>
      <c r="C47" s="1729" t="s">
        <v>268</v>
      </c>
      <c r="D47" s="1729" t="s">
        <v>518</v>
      </c>
      <c r="E47" s="2528"/>
      <c r="F47" s="2528"/>
      <c r="G47" s="2528"/>
      <c r="H47" s="2528"/>
      <c r="I47" s="2530"/>
      <c r="J47" s="2530"/>
      <c r="K47" s="2529"/>
      <c r="L47" s="1730"/>
      <c r="P47" s="2531"/>
      <c r="Q47" s="2531"/>
      <c r="R47" s="718"/>
      <c r="S47" s="1856"/>
      <c r="T47" s="661"/>
      <c r="U47" s="661"/>
      <c r="V47" s="1726"/>
      <c r="W47" s="1726"/>
      <c r="X47" s="689" t="str">
        <f>Y46&amp;"-"&amp;AA46</f>
        <v>-</v>
      </c>
      <c r="Y47" s="2524"/>
      <c r="Z47" s="2524"/>
      <c r="AA47" s="2524"/>
      <c r="AB47" s="2524"/>
      <c r="AC47" s="686"/>
      <c r="AD47" s="686"/>
      <c r="AE47" s="689" t="str">
        <f>AF46&amp;"-"&amp;AH46</f>
        <v>-</v>
      </c>
      <c r="AF47" s="2533"/>
      <c r="AG47" s="2402"/>
      <c r="AH47" s="2535"/>
      <c r="AI47" s="2402"/>
      <c r="AJ47" s="1805"/>
      <c r="AK47" s="2620"/>
      <c r="AM47" s="861"/>
      <c r="AN47" s="861" t="str">
        <f>IF(T47="","",T47)</f>
        <v/>
      </c>
      <c r="AO47" s="861"/>
      <c r="AP47" s="861"/>
    </row>
    <row customHeight="1" ht="21">
      <c r="A48" s="1729" t="s">
        <v>266</v>
      </c>
      <c r="B48" s="1729" t="s">
        <v>267</v>
      </c>
      <c r="C48" s="1729" t="s">
        <v>268</v>
      </c>
      <c r="D48" s="1729" t="s">
        <v>518</v>
      </c>
      <c r="E48" s="2528"/>
      <c r="F48" s="2528"/>
      <c r="G48" s="2528"/>
      <c r="H48" s="2528"/>
      <c r="I48" s="2530"/>
      <c r="J48" s="2529"/>
      <c r="K48" s="1729"/>
      <c r="L48" s="1730"/>
      <c r="P48" s="2531"/>
      <c r="Q48" s="2531"/>
      <c r="R48" s="717"/>
      <c r="S48" s="1644"/>
      <c r="T48" s="648" t="s">
        <v>484</v>
      </c>
      <c r="U48" s="728"/>
      <c r="V48" s="728"/>
      <c r="W48" s="728"/>
      <c r="X48" s="728"/>
      <c r="Y48" s="728"/>
      <c r="Z48" s="728"/>
      <c r="AA48" s="728"/>
      <c r="AB48" s="728"/>
      <c r="AC48" s="728"/>
      <c r="AD48" s="728"/>
      <c r="AE48" s="728"/>
      <c r="AF48" s="728"/>
      <c r="AG48" s="728"/>
      <c r="AH48" s="728"/>
      <c r="AI48" s="728"/>
      <c r="AJ48" s="728"/>
      <c r="AK48" s="1623" t="s">
        <v>485</v>
      </c>
      <c r="AM48" s="861"/>
      <c r="AN48" s="861" t="str">
        <f>IF(T48="","",T48)</f>
        <v>Добавить значение признака дифференциации</v>
      </c>
      <c r="AO48" s="861"/>
      <c r="AP48" s="861"/>
    </row>
    <row customHeight="1" ht="21">
      <c r="A49" s="1729" t="s">
        <v>266</v>
      </c>
      <c r="B49" s="1729" t="s">
        <v>267</v>
      </c>
      <c r="C49" s="1729" t="s">
        <v>268</v>
      </c>
      <c r="D49" s="1729" t="s">
        <v>518</v>
      </c>
      <c r="E49" s="2528"/>
      <c r="F49" s="2528"/>
      <c r="G49" s="2528"/>
      <c r="H49" s="2528"/>
      <c r="I49" s="2529"/>
      <c r="J49" s="1729"/>
      <c r="K49" s="1729"/>
      <c r="L49" s="1730"/>
      <c r="P49" s="2531"/>
      <c r="Q49" s="1847"/>
      <c r="R49" s="717"/>
      <c r="S49" s="1644"/>
      <c r="T49" s="726" t="s">
        <v>412</v>
      </c>
      <c r="U49" s="728"/>
      <c r="V49" s="728"/>
      <c r="W49" s="728"/>
      <c r="X49" s="728"/>
      <c r="Y49" s="728"/>
      <c r="Z49" s="728"/>
      <c r="AA49" s="728"/>
      <c r="AB49" s="727"/>
      <c r="AC49" s="728"/>
      <c r="AD49" s="728"/>
      <c r="AE49" s="728"/>
      <c r="AF49" s="728"/>
      <c r="AG49" s="728"/>
      <c r="AH49" s="728"/>
      <c r="AI49" s="727"/>
      <c r="AJ49" s="728"/>
      <c r="AK49" s="1806"/>
      <c r="AM49" s="861"/>
      <c r="AN49" s="861" t="str">
        <f>IF(T49="","",T49)</f>
        <v>Добавить группу потребителей</v>
      </c>
      <c r="AO49" s="861"/>
      <c r="AP49" s="861"/>
    </row>
    <row customHeight="1" ht="21">
      <c r="A50" s="1729" t="s">
        <v>266</v>
      </c>
      <c r="B50" s="1729" t="s">
        <v>267</v>
      </c>
      <c r="C50" s="1729" t="s">
        <v>268</v>
      </c>
      <c r="D50" s="1729" t="s">
        <v>518</v>
      </c>
      <c r="E50" s="2528"/>
      <c r="F50" s="2528"/>
      <c r="G50" s="2528"/>
      <c r="H50" s="2527"/>
      <c r="I50" s="1729"/>
      <c r="J50" s="1729"/>
      <c r="K50" s="1729"/>
      <c r="L50" s="1730"/>
      <c r="M50" s="1731"/>
      <c r="N50" s="1731"/>
      <c r="O50" s="898"/>
      <c r="P50" s="721"/>
      <c r="Q50" s="736"/>
      <c r="R50" s="716"/>
      <c r="S50" s="1644"/>
      <c r="T50" s="733" t="s">
        <v>486</v>
      </c>
      <c r="U50" s="728"/>
      <c r="V50" s="728"/>
      <c r="W50" s="728"/>
      <c r="X50" s="728"/>
      <c r="Y50" s="728"/>
      <c r="Z50" s="728"/>
      <c r="AA50" s="728"/>
      <c r="AB50" s="727"/>
      <c r="AC50" s="728"/>
      <c r="AD50" s="728"/>
      <c r="AE50" s="728"/>
      <c r="AF50" s="728"/>
      <c r="AG50" s="728"/>
      <c r="AH50" s="728"/>
      <c r="AI50" s="727"/>
      <c r="AJ50" s="728"/>
      <c r="AK50" s="664"/>
      <c r="AM50" s="861"/>
      <c r="AN50" s="861" t="str">
        <f>IF(T50="","",T50)</f>
        <v>Добавить наименование признака дифференциации</v>
      </c>
      <c r="AO50" s="861"/>
      <c r="AP50" s="861"/>
    </row>
    <row s="19127" customFormat="1" customHeight="1" ht="0">
      <c r="A51" s="1709" t="s">
        <v>266</v>
      </c>
      <c r="B51" s="1709" t="s">
        <v>267</v>
      </c>
      <c r="C51" s="1680"/>
      <c r="D51" s="1680"/>
      <c r="E51" s="2528"/>
      <c r="F51" s="2527"/>
      <c r="G51" s="1680"/>
      <c r="H51" s="1680"/>
      <c r="I51" s="1680"/>
      <c r="J51" s="1680"/>
      <c r="K51" s="1680"/>
      <c r="L51" s="1860"/>
      <c r="M51" s="1687"/>
      <c r="N51" s="1687"/>
      <c r="P51" s="1682"/>
      <c r="Q51" s="1683"/>
      <c r="R51" s="1682"/>
      <c r="S51" s="1688"/>
      <c r="T51" s="1691" t="s">
        <v>251</v>
      </c>
      <c r="U51" s="1690"/>
      <c r="V51" s="1690"/>
      <c r="W51" s="1690"/>
      <c r="X51" s="1690"/>
      <c r="Y51" s="1690"/>
      <c r="Z51" s="1690"/>
      <c r="AA51" s="1690"/>
      <c r="AB51" s="1690"/>
      <c r="AC51" s="1690"/>
      <c r="AD51" s="1690"/>
      <c r="AE51" s="1690"/>
      <c r="AF51" s="1690"/>
      <c r="AG51" s="1690"/>
      <c r="AH51" s="1690"/>
      <c r="AI51" s="1690"/>
      <c r="AJ51" s="1690"/>
      <c r="AK51" s="1690"/>
      <c r="AM51" s="1150"/>
      <c r="AN51" s="1150" t="str">
        <f>IF(T51="","",T51)</f>
        <v>Добавить централизованную систему для дифференциации</v>
      </c>
      <c r="AO51" s="1150"/>
      <c r="AP51" s="1150"/>
    </row>
    <row s="19219" customFormat="1" customHeight="1" ht="0">
      <c r="A52" s="1709" t="s">
        <v>266</v>
      </c>
      <c r="B52" s="1709"/>
      <c r="C52" s="1709"/>
      <c r="D52" s="1709"/>
      <c r="E52" s="2527"/>
      <c r="F52" s="1709"/>
      <c r="G52" s="1709"/>
      <c r="H52" s="1709"/>
      <c r="I52" s="1709"/>
      <c r="J52" s="1709"/>
      <c r="K52" s="1709"/>
      <c r="L52" s="1712"/>
      <c r="M52" s="1687"/>
      <c r="N52" s="1687"/>
      <c r="O52" s="879"/>
      <c r="P52" s="741"/>
      <c r="Q52" s="1710"/>
      <c r="R52" s="741"/>
      <c r="S52" s="1688"/>
      <c r="T52" s="1691" t="s">
        <v>252</v>
      </c>
      <c r="U52" s="1690"/>
      <c r="V52" s="1690"/>
      <c r="W52" s="1690"/>
      <c r="X52" s="1690"/>
      <c r="Y52" s="1690"/>
      <c r="Z52" s="1690"/>
      <c r="AA52" s="1690"/>
      <c r="AB52" s="1690"/>
      <c r="AC52" s="1690"/>
      <c r="AD52" s="1690"/>
      <c r="AE52" s="1690"/>
      <c r="AF52" s="1690"/>
      <c r="AG52" s="1690"/>
      <c r="AH52" s="1690"/>
      <c r="AI52" s="1690"/>
      <c r="AJ52" s="1690"/>
      <c r="AK52" s="1690"/>
      <c r="AM52" s="861"/>
      <c r="AN52" s="861" t="str">
        <f>IF(T52="","",T52)</f>
        <v>Добавить территорию для дифференциации</v>
      </c>
      <c r="AO52" s="861"/>
      <c r="AP52" s="861"/>
    </row>
    <row s="19127" customFormat="1" customHeight="1" ht="0">
      <c r="A53" s="1680"/>
      <c r="B53" s="1680"/>
      <c r="C53" s="1680"/>
      <c r="D53" s="1680"/>
      <c r="E53" s="1709"/>
      <c r="F53" s="1680"/>
      <c r="G53" s="1680"/>
      <c r="H53" s="1680"/>
      <c r="I53" s="1680"/>
      <c r="J53" s="1680"/>
      <c r="K53" s="1680"/>
      <c r="L53" s="1860"/>
      <c r="M53" s="1687"/>
      <c r="N53" s="1687"/>
      <c r="P53" s="1682"/>
      <c r="Q53" s="1683"/>
      <c r="R53" s="1682"/>
      <c r="S53" s="1688"/>
      <c r="T53" s="1691" t="s">
        <v>253</v>
      </c>
      <c r="U53" s="1690"/>
      <c r="V53" s="1690"/>
      <c r="W53" s="1690"/>
      <c r="X53" s="1690"/>
      <c r="Y53" s="1690"/>
      <c r="Z53" s="1690"/>
      <c r="AA53" s="1690"/>
      <c r="AB53" s="1690"/>
      <c r="AC53" s="1690"/>
      <c r="AD53" s="1690"/>
      <c r="AE53" s="1690"/>
      <c r="AF53" s="1690"/>
      <c r="AG53" s="1690"/>
      <c r="AH53" s="1690"/>
      <c r="AI53" s="1690"/>
      <c r="AJ53" s="1690"/>
      <c r="AK53" s="1690"/>
      <c r="AM53" s="1150"/>
      <c r="AN53" s="1150" t="str">
        <f>IF(T53="","",T53)</f>
        <v>Добавить наименование тарифа</v>
      </c>
      <c r="AO53" s="1150"/>
      <c r="AP53" s="1150"/>
    </row>
    <row customHeight="1" ht="11.25">
      <c r="M54" s="1523"/>
      <c r="N54" s="1523"/>
      <c r="O54" s="898"/>
      <c r="P54" s="1518"/>
      <c r="Q54" s="1518"/>
      <c r="R54" s="1518"/>
      <c r="S54" s="1518"/>
      <c r="AL54" s="1518"/>
      <c r="AM54" s="1518"/>
      <c r="AN54" s="1518"/>
      <c r="AO54" s="1518"/>
      <c r="AP54" s="1518"/>
    </row>
    <row customHeight="1" ht="14.25">
      <c r="O55" s="898"/>
      <c r="S55" s="1618"/>
      <c r="T55" s="2526"/>
      <c r="U55" s="2526"/>
      <c r="V55" s="2526"/>
      <c r="W55" s="2526"/>
      <c r="X55" s="2526"/>
      <c r="Y55" s="2526"/>
      <c r="Z55" s="2526"/>
      <c r="AA55" s="2526"/>
      <c r="AB55" s="2526"/>
      <c r="AC55" s="2526"/>
      <c r="AD55" s="2526"/>
      <c r="AE55" s="2526"/>
      <c r="AF55" s="2526"/>
      <c r="AG55" s="2526"/>
      <c r="AH55" s="2526"/>
      <c r="AI55" s="2526"/>
      <c r="AJ55" s="2526"/>
      <c r="AK55" s="2526"/>
    </row>
    <row customHeight="1" ht="14.25">
      <c r="O56" s="898"/>
    </row>
    <row customHeight="1" ht="14.25">
      <c r="O57" s="898"/>
      <c r="S57" s="1618"/>
      <c r="T57" s="2526"/>
      <c r="U57" s="2526"/>
      <c r="V57" s="2526"/>
      <c r="W57" s="2526"/>
      <c r="X57" s="2526"/>
      <c r="Y57" s="2526"/>
      <c r="Z57" s="2526"/>
      <c r="AA57" s="2526"/>
      <c r="AB57" s="2526"/>
      <c r="AC57" s="2526"/>
      <c r="AD57" s="2526"/>
      <c r="AE57" s="2526"/>
      <c r="AF57" s="2526"/>
      <c r="AG57" s="2526"/>
      <c r="AH57" s="2526"/>
      <c r="AI57" s="2526"/>
      <c r="AJ57" s="2526"/>
      <c r="AK57" s="252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42BF0A-1AE8-71FA-3FE5-A2B8B80BCEA9}"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9146" width="10.57421875" hidden="1"/>
    <col min="2" max="2" style="19146" width="11.00390625" hidden="1" customWidth="1"/>
    <col min="3" max="3" style="19146" width="10.57421875" hidden="1"/>
    <col min="4" max="4" style="19146" width="11.8515625" hidden="1" customWidth="1"/>
    <col min="5" max="5" style="19146" width="10.00390625" hidden="1" customWidth="1"/>
    <col min="6" max="6" style="19146" width="8.7109375" hidden="1" customWidth="1"/>
    <col min="7" max="7" style="19146" width="7.57421875" hidden="1" customWidth="1"/>
    <col min="8" max="8" style="19146" width="11.421875" hidden="1" customWidth="1"/>
    <col min="9" max="9" style="19146" width="14.140625" hidden="1" customWidth="1"/>
    <col min="10" max="10" style="19146" width="9.8515625" hidden="1" customWidth="1"/>
    <col min="11" max="11" style="19146" width="14.7109375" hidden="1" customWidth="1"/>
    <col min="12" max="12" style="19497" width="19.140625" hidden="1" customWidth="1"/>
    <col min="13" max="14" style="19228" width="12.28125" hidden="1" customWidth="1"/>
    <col min="15" max="15" style="19228" width="23.421875" hidden="1" customWidth="1"/>
    <col min="16" max="16" style="19498" width="3.7109375" customWidth="1"/>
    <col min="17" max="18" style="19230" width="3.7109375" customWidth="1"/>
    <col min="19" max="19" style="19231" width="12.7109375" customWidth="1"/>
    <col min="20" max="20" style="19232" width="35.7109375" customWidth="1"/>
    <col min="21" max="21" style="19232" width="0.140625" customWidth="1"/>
    <col min="22" max="24" style="19232" width="24.7109375" hidden="1" customWidth="1"/>
    <col min="25" max="25" style="19232" width="11.7109375" hidden="1" customWidth="1"/>
    <col min="26" max="26" style="19232" width="3.7109375" hidden="1" customWidth="1"/>
    <col min="27" max="27" style="19232" width="11.7109375" hidden="1" customWidth="1"/>
    <col min="28" max="28" style="19232" width="8.57421875" hidden="1" customWidth="1"/>
    <col min="29" max="31" style="19232" width="24.7109375" customWidth="1"/>
    <col min="32" max="32" style="19232" width="11.7109375" customWidth="1"/>
    <col min="33" max="33" style="19232" width="3.7109375" customWidth="1"/>
    <col min="34" max="34" style="19232" width="11.7109375" customWidth="1"/>
    <col min="35" max="35" style="19232" width="8.57421875" hidden="1" customWidth="1"/>
    <col min="36" max="36" style="19232" width="4.7109375" customWidth="1"/>
    <col min="37" max="37" style="19232" width="115.7109375" customWidth="1"/>
    <col min="38" max="39" style="19219" width="10.57421875"/>
    <col min="40" max="40" style="19219" width="11.140625" customWidth="1"/>
    <col min="41" max="42" style="19219" width="10.57421875"/>
  </cols>
  <sheetData>
    <row customHeight="1" ht="14.25" hidden="1">
      <c r="X1" s="688"/>
      <c r="Y1" s="688"/>
      <c r="AE1" s="688"/>
      <c r="AF1" s="688"/>
    </row>
    <row customHeight="1" ht="23.25" hidden="1">
      <c r="A2" s="1729"/>
      <c r="B2" s="1729"/>
      <c r="C2" s="1729"/>
      <c r="D2" s="1729"/>
      <c r="E2" s="2527">
        <v>1</v>
      </c>
      <c r="F2" s="1729"/>
      <c r="G2" s="1729"/>
      <c r="H2" s="1729"/>
      <c r="I2" s="1729"/>
      <c r="J2" s="1729"/>
      <c r="K2" s="1729"/>
      <c r="L2" s="1730"/>
      <c r="M2" s="1731"/>
      <c r="N2" s="1731"/>
      <c r="O2" s="1731"/>
      <c r="P2" s="722"/>
      <c r="Q2" s="721"/>
      <c r="R2" s="716"/>
      <c r="S2" s="1859">
        <f>INDEX(PT_DIFFERENTIATION_NUM_NTAR,MATCH(A2,PT_DIFFERENTIATION_NTAR_ID,0))</f>
      </c>
      <c r="T2" s="659" t="s">
        <v>120</v>
      </c>
      <c r="U2" s="661"/>
      <c r="V2" s="2521"/>
      <c r="W2" s="2522"/>
      <c r="X2" s="2522"/>
      <c r="Y2" s="2522"/>
      <c r="Z2" s="2522"/>
      <c r="AA2" s="2522"/>
      <c r="AB2" s="2523"/>
      <c r="AC2" s="2521">
        <f>INDEX(PT_DIFFERENTIATION_NTAR,MATCH(A2,PT_DIFFERENTIATION_NTAR_ID,0))</f>
      </c>
      <c r="AD2" s="2522"/>
      <c r="AE2" s="2522"/>
      <c r="AF2" s="2522"/>
      <c r="AG2" s="2522"/>
      <c r="AH2" s="2522"/>
      <c r="AI2" s="2522"/>
      <c r="AJ2" s="2523"/>
      <c r="AK2" s="16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861"/>
      <c r="AN2" s="861" t="str">
        <f>IF(T2="","",T2)</f>
        <v>Наименование тарифа</v>
      </c>
      <c r="AO2" s="861"/>
      <c r="AP2" s="861"/>
    </row>
    <row customHeight="1" ht="23.25" hidden="1">
      <c r="A3" s="1729"/>
      <c r="B3" s="1729"/>
      <c r="C3" s="1729"/>
      <c r="D3" s="1729"/>
      <c r="E3" s="2528"/>
      <c r="F3" s="2527">
        <v>1</v>
      </c>
      <c r="G3" s="1729"/>
      <c r="H3" s="1729"/>
      <c r="I3" s="1729"/>
      <c r="J3" s="1729"/>
      <c r="K3" s="1729"/>
      <c r="L3" s="1730"/>
      <c r="M3" s="1731"/>
      <c r="N3" s="1731"/>
      <c r="O3" s="1731"/>
      <c r="P3" s="1853"/>
      <c r="Q3" s="713"/>
      <c r="R3" s="714"/>
      <c r="S3" s="1859">
        <f>INDEX(PT_DIFFERENTIATION_NUM_TER,MATCH(B3,PT_DIFFERENTIATION_TER_ID,0))</f>
      </c>
      <c r="T3" s="669" t="s">
        <v>397</v>
      </c>
      <c r="U3" s="661"/>
      <c r="V3" s="2521"/>
      <c r="W3" s="2522"/>
      <c r="X3" s="2522"/>
      <c r="Y3" s="2522"/>
      <c r="Z3" s="2522"/>
      <c r="AA3" s="2522"/>
      <c r="AB3" s="2523"/>
      <c r="AC3" s="2521">
        <f>INDEX(PT_DIFFERENTIATION_TER,MATCH(B3,PT_DIFFERENTIATION_TER_ID,0))</f>
      </c>
      <c r="AD3" s="2522"/>
      <c r="AE3" s="2522"/>
      <c r="AF3" s="2522"/>
      <c r="AG3" s="2522"/>
      <c r="AH3" s="2522"/>
      <c r="AI3" s="2522"/>
      <c r="AJ3" s="2523"/>
      <c r="AK3" s="1623" t="s">
        <v>398</v>
      </c>
      <c r="AM3" s="861"/>
      <c r="AN3" s="861" t="str">
        <f>IF(T3="","",T3)</f>
        <v>Территория действия тарифа</v>
      </c>
      <c r="AO3" s="861"/>
      <c r="AP3" s="861"/>
    </row>
    <row customHeight="1" ht="23.25" hidden="1">
      <c r="A4" s="1729"/>
      <c r="B4" s="1729"/>
      <c r="C4" s="1729"/>
      <c r="D4" s="1729"/>
      <c r="E4" s="2528"/>
      <c r="F4" s="2528"/>
      <c r="G4" s="2527">
        <v>1</v>
      </c>
      <c r="H4" s="1729"/>
      <c r="I4" s="1729"/>
      <c r="J4" s="1729"/>
      <c r="K4" s="1729"/>
      <c r="L4" s="1730"/>
      <c r="M4" s="1731"/>
      <c r="N4" s="1731"/>
      <c r="O4" s="1731"/>
      <c r="P4" s="715"/>
      <c r="Q4" s="713"/>
      <c r="R4" s="714"/>
      <c r="S4" s="1859">
        <f>INDEX(PT_DIFFERENTIATION_NUM_CS,MATCH(C4,PT_DIFFERENTIATION_CS_ID,0))</f>
      </c>
      <c r="T4" s="670" t="s">
        <v>514</v>
      </c>
      <c r="U4" s="661"/>
      <c r="V4" s="2521"/>
      <c r="W4" s="2522"/>
      <c r="X4" s="2522"/>
      <c r="Y4" s="2522"/>
      <c r="Z4" s="2522"/>
      <c r="AA4" s="2522"/>
      <c r="AB4" s="2523"/>
      <c r="AC4" s="2521">
        <f>INDEX(PT_DIFFERENTIATION_CS,MATCH(C4,PT_DIFFERENTIATION_CS_ID,0))</f>
      </c>
      <c r="AD4" s="2522"/>
      <c r="AE4" s="2522"/>
      <c r="AF4" s="2522"/>
      <c r="AG4" s="2522"/>
      <c r="AH4" s="2522"/>
      <c r="AI4" s="2522"/>
      <c r="AJ4" s="2523"/>
      <c r="AK4" s="1623" t="s">
        <v>515</v>
      </c>
      <c r="AM4" s="861"/>
      <c r="AN4" s="861" t="str">
        <f>IF(T4="","",T4)</f>
        <v>Наименование централизованной системы водоотведения</v>
      </c>
      <c r="AO4" s="861"/>
      <c r="AP4" s="861"/>
    </row>
    <row customHeight="1" ht="23.25" hidden="1">
      <c r="A5" s="1729"/>
      <c r="B5" s="1729"/>
      <c r="C5" s="1729"/>
      <c r="D5" s="1729"/>
      <c r="E5" s="2528"/>
      <c r="F5" s="2528"/>
      <c r="G5" s="2528"/>
      <c r="H5" s="2528"/>
      <c r="I5" s="2529">
        <f>S4&amp;".1"</f>
      </c>
      <c r="J5" s="1729"/>
      <c r="K5" s="1729"/>
      <c r="L5" s="1730"/>
      <c r="P5" s="2531">
        <v>1</v>
      </c>
      <c r="Q5" s="1847"/>
      <c r="R5" s="717"/>
      <c r="S5" s="1859">
        <f>$I5</f>
      </c>
      <c r="T5" s="646" t="s">
        <v>481</v>
      </c>
      <c r="U5" s="661"/>
      <c r="V5" s="2614"/>
      <c r="W5" s="2615"/>
      <c r="X5" s="2615"/>
      <c r="Y5" s="2615"/>
      <c r="Z5" s="2615"/>
      <c r="AA5" s="2615"/>
      <c r="AB5" s="2616"/>
      <c r="AC5" s="2617"/>
      <c r="AD5" s="2618"/>
      <c r="AE5" s="2618"/>
      <c r="AF5" s="2618"/>
      <c r="AG5" s="2618"/>
      <c r="AH5" s="2618"/>
      <c r="AI5" s="2618"/>
      <c r="AJ5" s="2619"/>
      <c r="AK5" s="1623" t="s">
        <v>482</v>
      </c>
      <c r="AM5" s="861"/>
      <c r="AN5" s="861" t="str">
        <f>IF(T5="","",T5)</f>
        <v>Наименование признака дифференциации</v>
      </c>
      <c r="AO5" s="861"/>
      <c r="AP5" s="861"/>
    </row>
    <row customHeight="1" ht="23.25" hidden="1">
      <c r="A6" s="1729"/>
      <c r="B6" s="1729"/>
      <c r="C6" s="1729"/>
      <c r="D6" s="1729"/>
      <c r="E6" s="2528"/>
      <c r="F6" s="2528"/>
      <c r="G6" s="2528"/>
      <c r="H6" s="2528"/>
      <c r="I6" s="2530"/>
      <c r="J6" s="2529">
        <f>I5&amp;".1"</f>
      </c>
      <c r="K6" s="1729"/>
      <c r="L6" s="1730" t="s">
        <v>406</v>
      </c>
      <c r="P6" s="2531"/>
      <c r="Q6" s="2531">
        <v>1</v>
      </c>
      <c r="R6" s="718"/>
      <c r="S6" s="1859">
        <f>$J6</f>
      </c>
      <c r="T6" s="647" t="s">
        <v>407</v>
      </c>
      <c r="U6" s="661"/>
      <c r="V6" s="2515"/>
      <c r="W6" s="2516"/>
      <c r="X6" s="2516"/>
      <c r="Y6" s="2516"/>
      <c r="Z6" s="2516"/>
      <c r="AA6" s="2516"/>
      <c r="AB6" s="2517"/>
      <c r="AC6" s="2515"/>
      <c r="AD6" s="2516"/>
      <c r="AE6" s="2516"/>
      <c r="AF6" s="2516"/>
      <c r="AG6" s="2516"/>
      <c r="AH6" s="2516"/>
      <c r="AI6" s="2516"/>
      <c r="AJ6" s="2517"/>
      <c r="AK6" s="1673" t="s">
        <v>483</v>
      </c>
      <c r="AM6" s="861"/>
      <c r="AN6" s="861" t="str">
        <f>IF(T6="","",T6)</f>
        <v>Группа потребителей</v>
      </c>
      <c r="AO6" s="861"/>
      <c r="AP6" s="861"/>
    </row>
    <row customHeight="1" ht="23.25" hidden="1">
      <c r="A7" s="1729"/>
      <c r="B7" s="1729"/>
      <c r="C7" s="1729"/>
      <c r="D7" s="1729"/>
      <c r="E7" s="2528"/>
      <c r="F7" s="2528"/>
      <c r="G7" s="2528"/>
      <c r="H7" s="2528"/>
      <c r="I7" s="2530"/>
      <c r="J7" s="2530"/>
      <c r="K7" s="2529">
        <f>J6&amp;".1"</f>
      </c>
      <c r="L7" s="1730"/>
      <c r="P7" s="2531"/>
      <c r="Q7" s="2531"/>
      <c r="R7" s="718">
        <v>1</v>
      </c>
      <c r="S7" s="1859">
        <f>$K7</f>
      </c>
      <c r="T7" s="1803"/>
      <c r="U7" s="661"/>
      <c r="V7" s="1112"/>
      <c r="W7" s="1112"/>
      <c r="X7" s="1622"/>
      <c r="Y7" s="2532"/>
      <c r="Z7" s="2402" t="s">
        <v>59</v>
      </c>
      <c r="AA7" s="2532"/>
      <c r="AB7" s="2402" t="s">
        <v>59</v>
      </c>
      <c r="AC7" s="1112"/>
      <c r="AD7" s="1112"/>
      <c r="AE7" s="1622"/>
      <c r="AF7" s="2532"/>
      <c r="AG7" s="2402" t="s">
        <v>59</v>
      </c>
      <c r="AH7" s="2534"/>
      <c r="AI7" s="2402" t="s">
        <v>59</v>
      </c>
      <c r="AJ7" s="1804"/>
      <c r="AK7" s="26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872">
        <f>STRCHECKDATE(V8:AJ8)</f>
      </c>
      <c r="AM7" s="861"/>
      <c r="AN7" s="861" t="str">
        <f>IF(T7="","",T7)</f>
        <v/>
      </c>
      <c r="AO7" s="861"/>
      <c r="AP7" s="861"/>
    </row>
    <row customHeight="1" ht="14.25" hidden="1">
      <c r="A8" s="1729"/>
      <c r="B8" s="1729"/>
      <c r="C8" s="1729"/>
      <c r="D8" s="1729"/>
      <c r="E8" s="2528"/>
      <c r="F8" s="2528"/>
      <c r="G8" s="2528"/>
      <c r="H8" s="2528"/>
      <c r="I8" s="2530"/>
      <c r="J8" s="2530"/>
      <c r="K8" s="2529"/>
      <c r="L8" s="1730"/>
      <c r="P8" s="2531"/>
      <c r="Q8" s="2531"/>
      <c r="R8" s="718"/>
      <c r="S8" s="1856"/>
      <c r="T8" s="661"/>
      <c r="U8" s="661"/>
      <c r="V8" s="686"/>
      <c r="W8" s="686"/>
      <c r="X8" s="689" t="str">
        <f>Y7&amp;"-"&amp;AA7</f>
        <v>-</v>
      </c>
      <c r="Y8" s="2533"/>
      <c r="Z8" s="2402"/>
      <c r="AA8" s="2533"/>
      <c r="AB8" s="2402"/>
      <c r="AC8" s="686"/>
      <c r="AD8" s="686"/>
      <c r="AE8" s="689" t="str">
        <f>AF7&amp;"-"&amp;AH7</f>
        <v>-</v>
      </c>
      <c r="AF8" s="2533"/>
      <c r="AG8" s="2402"/>
      <c r="AH8" s="2535"/>
      <c r="AI8" s="2402"/>
      <c r="AJ8" s="1805"/>
      <c r="AK8" s="2620"/>
      <c r="AM8" s="861"/>
      <c r="AN8" s="861" t="str">
        <f>IF(T8="","",T8)</f>
        <v/>
      </c>
      <c r="AO8" s="861"/>
      <c r="AP8" s="861"/>
    </row>
    <row customHeight="1" ht="21" hidden="1">
      <c r="A9" s="1729"/>
      <c r="B9" s="1729"/>
      <c r="C9" s="1729"/>
      <c r="D9" s="1729"/>
      <c r="E9" s="2528"/>
      <c r="F9" s="2528"/>
      <c r="G9" s="2528"/>
      <c r="H9" s="2528"/>
      <c r="I9" s="2530"/>
      <c r="J9" s="2529"/>
      <c r="K9" s="1729"/>
      <c r="L9" s="1730"/>
      <c r="P9" s="2531"/>
      <c r="Q9" s="2531"/>
      <c r="R9" s="717"/>
      <c r="S9" s="1644"/>
      <c r="T9" s="648" t="s">
        <v>484</v>
      </c>
      <c r="U9" s="728"/>
      <c r="V9" s="728"/>
      <c r="W9" s="728"/>
      <c r="X9" s="728"/>
      <c r="Y9" s="728"/>
      <c r="Z9" s="728"/>
      <c r="AA9" s="728"/>
      <c r="AB9" s="728"/>
      <c r="AC9" s="728"/>
      <c r="AD9" s="728"/>
      <c r="AE9" s="728"/>
      <c r="AF9" s="728"/>
      <c r="AG9" s="728"/>
      <c r="AH9" s="728"/>
      <c r="AI9" s="728"/>
      <c r="AJ9" s="728"/>
      <c r="AK9" s="1623" t="s">
        <v>485</v>
      </c>
      <c r="AM9" s="861"/>
      <c r="AN9" s="861" t="str">
        <f>IF(T9="","",T9)</f>
        <v>Добавить значение признака дифференциации</v>
      </c>
      <c r="AO9" s="861"/>
      <c r="AP9" s="861"/>
    </row>
    <row customHeight="1" ht="21" hidden="1">
      <c r="A10" s="1729"/>
      <c r="B10" s="1729"/>
      <c r="C10" s="1729"/>
      <c r="D10" s="1729"/>
      <c r="E10" s="2528"/>
      <c r="F10" s="2528"/>
      <c r="G10" s="2528"/>
      <c r="H10" s="2528"/>
      <c r="I10" s="2529"/>
      <c r="J10" s="1729"/>
      <c r="K10" s="1729"/>
      <c r="L10" s="1730"/>
      <c r="P10" s="2531"/>
      <c r="Q10" s="1847"/>
      <c r="R10" s="717"/>
      <c r="S10" s="1644"/>
      <c r="T10" s="726" t="s">
        <v>412</v>
      </c>
      <c r="U10" s="728"/>
      <c r="V10" s="728"/>
      <c r="W10" s="728"/>
      <c r="X10" s="728"/>
      <c r="Y10" s="728"/>
      <c r="Z10" s="728"/>
      <c r="AA10" s="728"/>
      <c r="AB10" s="727"/>
      <c r="AC10" s="728"/>
      <c r="AD10" s="728"/>
      <c r="AE10" s="728"/>
      <c r="AF10" s="728"/>
      <c r="AG10" s="728"/>
      <c r="AH10" s="728"/>
      <c r="AI10" s="727"/>
      <c r="AJ10" s="728"/>
      <c r="AK10" s="1806"/>
      <c r="AM10" s="861"/>
      <c r="AN10" s="861" t="str">
        <f>IF(T10="","",T10)</f>
        <v>Добавить группу потребителей</v>
      </c>
      <c r="AO10" s="861"/>
      <c r="AP10" s="861"/>
    </row>
    <row customHeight="1" ht="21" hidden="1">
      <c r="A11" s="1729"/>
      <c r="B11" s="1729"/>
      <c r="C11" s="1729"/>
      <c r="D11" s="1729"/>
      <c r="E11" s="2528"/>
      <c r="F11" s="2528"/>
      <c r="G11" s="2528"/>
      <c r="H11" s="2527"/>
      <c r="I11" s="1729"/>
      <c r="J11" s="1729"/>
      <c r="K11" s="1729"/>
      <c r="L11" s="1730"/>
      <c r="M11" s="1731"/>
      <c r="N11" s="1731"/>
      <c r="O11" s="898"/>
      <c r="P11" s="721"/>
      <c r="Q11" s="736"/>
      <c r="R11" s="716"/>
      <c r="S11" s="1644"/>
      <c r="T11" s="733" t="s">
        <v>486</v>
      </c>
      <c r="U11" s="728"/>
      <c r="V11" s="728"/>
      <c r="W11" s="728"/>
      <c r="X11" s="728"/>
      <c r="Y11" s="728"/>
      <c r="Z11" s="728"/>
      <c r="AA11" s="728"/>
      <c r="AB11" s="727"/>
      <c r="AC11" s="728"/>
      <c r="AD11" s="728"/>
      <c r="AE11" s="728"/>
      <c r="AF11" s="728"/>
      <c r="AG11" s="728"/>
      <c r="AH11" s="728"/>
      <c r="AI11" s="727"/>
      <c r="AJ11" s="728"/>
      <c r="AK11" s="664"/>
      <c r="AM11" s="861"/>
      <c r="AN11" s="861" t="str">
        <f>IF(T11="","",T11)</f>
        <v>Добавить наименование признака дифференциации</v>
      </c>
      <c r="AO11" s="861"/>
      <c r="AP11" s="861"/>
    </row>
    <row s="19127" customFormat="1" customHeight="1" ht="14.25" hidden="1">
      <c r="A12" s="1709"/>
      <c r="B12" s="1709"/>
      <c r="C12" s="1680"/>
      <c r="D12" s="1680"/>
      <c r="E12" s="2528"/>
      <c r="F12" s="2527"/>
      <c r="G12" s="1680"/>
      <c r="H12" s="1680"/>
      <c r="I12" s="1680"/>
      <c r="J12" s="1680"/>
      <c r="K12" s="1680"/>
      <c r="L12" s="1860"/>
      <c r="M12" s="1687"/>
      <c r="N12" s="1687"/>
      <c r="P12" s="1682"/>
      <c r="Q12" s="1683"/>
      <c r="R12" s="1682"/>
      <c r="S12" s="1688"/>
      <c r="T12" s="1691" t="s">
        <v>251</v>
      </c>
      <c r="U12" s="1690"/>
      <c r="V12" s="1690"/>
      <c r="W12" s="1690"/>
      <c r="X12" s="1690"/>
      <c r="Y12" s="1690"/>
      <c r="Z12" s="1690"/>
      <c r="AA12" s="1690"/>
      <c r="AB12" s="1690"/>
      <c r="AC12" s="1690"/>
      <c r="AD12" s="1690"/>
      <c r="AE12" s="1690"/>
      <c r="AF12" s="1690"/>
      <c r="AG12" s="1690"/>
      <c r="AH12" s="1690"/>
      <c r="AI12" s="1690"/>
      <c r="AJ12" s="1690"/>
      <c r="AK12" s="1690"/>
      <c r="AM12" s="1150"/>
      <c r="AN12" s="1150" t="str">
        <f>IF(T12="","",T12)</f>
        <v>Добавить централизованную систему для дифференциации</v>
      </c>
      <c r="AO12" s="1150"/>
      <c r="AP12" s="1150"/>
    </row>
    <row s="19219" customFormat="1" customHeight="1" ht="14.25" hidden="1">
      <c r="A13" s="1709"/>
      <c r="B13" s="1709"/>
      <c r="C13" s="1709"/>
      <c r="D13" s="1709"/>
      <c r="E13" s="2527"/>
      <c r="F13" s="1709"/>
      <c r="G13" s="1709"/>
      <c r="H13" s="1709"/>
      <c r="I13" s="1709"/>
      <c r="J13" s="1709"/>
      <c r="K13" s="1709"/>
      <c r="L13" s="1712"/>
      <c r="M13" s="1687"/>
      <c r="N13" s="1687"/>
      <c r="O13" s="879"/>
      <c r="P13" s="741"/>
      <c r="Q13" s="1710"/>
      <c r="R13" s="741"/>
      <c r="S13" s="1688"/>
      <c r="T13" s="1691" t="s">
        <v>252</v>
      </c>
      <c r="U13" s="1690"/>
      <c r="V13" s="1690"/>
      <c r="W13" s="1690"/>
      <c r="X13" s="1690"/>
      <c r="Y13" s="1690"/>
      <c r="Z13" s="1690"/>
      <c r="AA13" s="1690"/>
      <c r="AB13" s="1690"/>
      <c r="AC13" s="1690"/>
      <c r="AD13" s="1690"/>
      <c r="AE13" s="1690"/>
      <c r="AF13" s="1690"/>
      <c r="AG13" s="1690"/>
      <c r="AH13" s="1690"/>
      <c r="AI13" s="1690"/>
      <c r="AJ13" s="1690"/>
      <c r="AK13" s="1690"/>
      <c r="AM13" s="861"/>
      <c r="AN13" s="861" t="str">
        <f>IF(T13="","",T13)</f>
        <v>Добавить территорию для дифференциации</v>
      </c>
      <c r="AO13" s="861"/>
      <c r="AP13" s="861"/>
    </row>
    <row customHeight="1" ht="14.25" hidden="1">
      <c r="AB14" s="688"/>
      <c r="AI14" s="688"/>
    </row>
    <row customHeight="1" ht="14.25" hidden="1">
      <c r="AC15" s="1726"/>
      <c r="AD15" s="1726"/>
      <c r="AE15" s="1727"/>
      <c r="AF15" s="2525"/>
      <c r="AG15" s="2524" t="s">
        <v>59</v>
      </c>
      <c r="AH15" s="2525"/>
      <c r="AI15" s="2524" t="s">
        <v>59</v>
      </c>
    </row>
    <row customHeight="1" ht="14.25" hidden="1">
      <c r="AC16" s="1726"/>
      <c r="AD16" s="1726"/>
      <c r="AE16" s="689" t="str">
        <f>AF15&amp;"-"&amp;AH15</f>
        <v>-</v>
      </c>
      <c r="AF16" s="2524"/>
      <c r="AG16" s="2524"/>
      <c r="AH16" s="2524"/>
      <c r="AI16" s="2524"/>
    </row>
    <row customHeight="1" ht="14.25" hidden="1">
      <c r="AI17" s="688"/>
    </row>
    <row s="19146" customFormat="1" customHeight="1" ht="22.5" hidden="1">
      <c r="L18" s="1844"/>
      <c r="M18" s="1728"/>
      <c r="N18" s="1728"/>
      <c r="O18" s="1733" t="s">
        <v>415</v>
      </c>
      <c r="P18" s="1728"/>
      <c r="Q18" s="1737"/>
      <c r="R18" s="1737"/>
      <c r="S18" s="1090"/>
      <c r="Y18" s="1733"/>
      <c r="AA18" s="1733"/>
      <c r="AB18" s="1732"/>
      <c r="AF18" s="1733"/>
      <c r="AH18" s="1733"/>
      <c r="AI18" s="1732"/>
      <c r="AL18" s="872"/>
      <c r="AM18" s="872"/>
      <c r="AN18" s="872"/>
      <c r="AO18" s="872"/>
      <c r="AP18" s="872"/>
    </row>
    <row s="19146" customFormat="1" customHeight="1" ht="14.25" hidden="1">
      <c r="L19" s="1844"/>
      <c r="M19" s="1728"/>
      <c r="N19" s="1728"/>
      <c r="O19" s="1728"/>
      <c r="P19" s="1728"/>
      <c r="Q19" s="1737"/>
      <c r="R19" s="1737"/>
      <c r="S19" s="1090"/>
      <c r="AB19" s="1732"/>
      <c r="AI19" s="1732"/>
      <c r="AL19" s="872"/>
      <c r="AM19" s="872"/>
      <c r="AN19" s="872"/>
      <c r="AO19" s="872"/>
      <c r="AP19" s="872"/>
    </row>
    <row s="19146" customFormat="1" customHeight="1" ht="12" hidden="1">
      <c r="L20" s="1844"/>
      <c r="M20" s="1728"/>
      <c r="N20" s="1728"/>
      <c r="O20" s="1730" t="s">
        <v>416</v>
      </c>
      <c r="P20" s="1728"/>
      <c r="Q20" s="1808"/>
      <c r="R20" s="1808"/>
      <c r="S20" s="1090"/>
      <c r="T20" s="1523" t="s">
        <v>417</v>
      </c>
      <c r="Z20" s="547" t="s">
        <v>418</v>
      </c>
      <c r="AB20" s="547" t="s">
        <v>419</v>
      </c>
      <c r="AC20" s="1523" t="s">
        <v>417</v>
      </c>
      <c r="AG20" s="547" t="s">
        <v>420</v>
      </c>
      <c r="AI20" s="547" t="s">
        <v>419</v>
      </c>
    </row>
    <row customHeight="1" ht="14.25" hidden="1">
      <c r="O21" s="1730"/>
    </row>
    <row customHeight="1" ht="14.25" hidden="1">
      <c r="O22" s="1730"/>
    </row>
    <row customHeight="1" ht="14.25">
      <c r="Q23" s="737"/>
      <c r="R23" s="737"/>
      <c r="S23" s="1641"/>
      <c r="T23" s="724"/>
      <c r="U23" s="724"/>
      <c r="V23" s="870"/>
      <c r="W23" s="870"/>
      <c r="X23" s="870"/>
      <c r="Y23" s="870"/>
      <c r="Z23" s="870"/>
      <c r="AA23" s="870"/>
      <c r="AB23" s="870"/>
      <c r="AC23" s="870"/>
      <c r="AD23" s="870"/>
      <c r="AE23" s="870"/>
      <c r="AF23" s="870"/>
      <c r="AG23" s="870"/>
      <c r="AH23" s="870"/>
      <c r="AI23" s="870"/>
    </row>
    <row customHeight="1" ht="14.25">
      <c r="Q24" s="737"/>
      <c r="R24" s="737"/>
      <c r="S24" s="256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560"/>
      <c r="U24" s="2560"/>
      <c r="V24" s="2560"/>
      <c r="W24" s="2560"/>
      <c r="X24" s="2560"/>
      <c r="Y24" s="2560"/>
      <c r="Z24" s="2560"/>
      <c r="AA24" s="2560"/>
      <c r="AB24" s="2560"/>
      <c r="AC24" s="2560"/>
      <c r="AD24" s="2560"/>
      <c r="AE24" s="2560"/>
      <c r="AF24" s="2560"/>
      <c r="AG24" s="2560"/>
      <c r="AH24" s="2560"/>
      <c r="AI24" s="1608"/>
    </row>
    <row customHeight="1" ht="14.25">
      <c r="Q25" s="737"/>
      <c r="R25" s="737"/>
      <c r="S25" s="2561" t="str">
        <f>IF(org=0,"Не определено",org)</f>
        <v>Филиал "Шатурская ГРЭС" ПАО "Юнипро"</v>
      </c>
      <c r="T25" s="2561"/>
      <c r="U25" s="2561"/>
      <c r="V25" s="2561"/>
      <c r="W25" s="2561"/>
      <c r="X25" s="2561"/>
      <c r="Y25" s="2561"/>
      <c r="Z25" s="2561"/>
      <c r="AA25" s="2561"/>
      <c r="AB25" s="2561"/>
      <c r="AC25" s="2561"/>
      <c r="AD25" s="2561"/>
      <c r="AE25" s="2561"/>
      <c r="AF25" s="2561"/>
      <c r="AG25" s="2561"/>
      <c r="AH25" s="2561"/>
      <c r="AI25" s="1608"/>
    </row>
    <row customHeight="1" ht="14.25">
      <c r="Q26" s="737"/>
      <c r="R26" s="737"/>
      <c r="S26" s="1641"/>
      <c r="T26" s="724"/>
      <c r="U26" s="724"/>
      <c r="V26" s="683"/>
      <c r="W26" s="683"/>
      <c r="X26" s="683"/>
      <c r="Y26" s="683"/>
      <c r="Z26" s="683"/>
      <c r="AA26" s="683"/>
      <c r="AB26" s="683"/>
      <c r="AC26" s="683"/>
      <c r="AD26" s="683"/>
      <c r="AE26" s="683"/>
      <c r="AF26" s="683"/>
      <c r="AG26" s="683"/>
      <c r="AH26" s="683"/>
      <c r="AI26" s="683"/>
      <c r="AJ26" s="870"/>
    </row>
    <row s="19160" customFormat="1" customHeight="1" ht="25.5">
      <c r="A27" s="1734"/>
      <c r="B27" s="1734"/>
      <c r="C27" s="1734"/>
      <c r="D27" s="1734"/>
      <c r="E27" s="1734"/>
      <c r="F27" s="1734"/>
      <c r="G27" s="1734"/>
      <c r="H27" s="1734"/>
      <c r="I27" s="1734"/>
      <c r="J27" s="1734"/>
      <c r="K27" s="1734"/>
      <c r="L27" s="1735"/>
      <c r="M27" s="1734"/>
      <c r="N27" s="1734"/>
      <c r="O27" s="1734"/>
      <c r="S27" s="2518" t="s">
        <v>38</v>
      </c>
      <c r="T27" s="2518"/>
      <c r="U27" s="1738"/>
      <c r="V27" s="2520" t="str">
        <f>IF(TITLE_NAME_OR_PR_CHANGE="",IF(TITLE_NAME_OR_PR="","",TITLE_NAME_OR_PR),TITLE_NAME_OR_PR_CHANGE)</f>
        <v>Комитет по ценам и тарифам по Московской области</v>
      </c>
      <c r="W27" s="2520"/>
      <c r="X27" s="2520"/>
      <c r="Y27" s="2520"/>
      <c r="Z27" s="2520"/>
      <c r="AA27" s="2520"/>
      <c r="AB27" s="687"/>
      <c r="AC27" s="2520" t="str">
        <f>IF(TITLE_NAME_OR_PR_CHANGE="",IF(TITLE_NAME_OR_PR="","",TITLE_NAME_OR_PR),TITLE_NAME_OR_PR_CHANGE)</f>
        <v>Комитет по ценам и тарифам по Московской области</v>
      </c>
      <c r="AD27" s="2520"/>
      <c r="AE27" s="2520"/>
      <c r="AF27" s="2520"/>
      <c r="AG27" s="2520"/>
      <c r="AH27" s="2520"/>
      <c r="AI27" s="687"/>
      <c r="AJ27" s="687"/>
      <c r="AK27" s="641"/>
      <c r="AL27" s="729"/>
      <c r="AM27" s="729"/>
      <c r="AN27" s="729"/>
      <c r="AO27" s="729"/>
      <c r="AP27" s="729"/>
    </row>
    <row s="19160" customFormat="1" customHeight="1" ht="18.75">
      <c r="A28" s="1734"/>
      <c r="B28" s="1734"/>
      <c r="C28" s="1734"/>
      <c r="D28" s="1734"/>
      <c r="E28" s="1734"/>
      <c r="F28" s="1734"/>
      <c r="G28" s="1734"/>
      <c r="H28" s="1734"/>
      <c r="I28" s="1734"/>
      <c r="J28" s="1734"/>
      <c r="K28" s="1734"/>
      <c r="L28" s="1735"/>
      <c r="M28" s="1734"/>
      <c r="N28" s="1734"/>
      <c r="O28" s="1734"/>
      <c r="S28" s="2518" t="s">
        <v>421</v>
      </c>
      <c r="T28" s="2518"/>
      <c r="U28" s="1738"/>
      <c r="V28" s="2519" t="str">
        <f>IF(TITLE_DATE_PR_CHANGE="",IF(TITLE_DATE_PR="","",TITLE_DATE_PR),TITLE_DATE_PR_CHANGE)</f>
        <v>45280.70914351852</v>
      </c>
      <c r="W28" s="2519"/>
      <c r="X28" s="2519"/>
      <c r="Y28" s="2519"/>
      <c r="Z28" s="2519"/>
      <c r="AA28" s="2519"/>
      <c r="AB28" s="687"/>
      <c r="AC28" s="2519" t="str">
        <f>IF(TITLE_DATE_PR_CHANGE="",IF(TITLE_DATE_PR="","",TITLE_DATE_PR),TITLE_DATE_PR_CHANGE)</f>
        <v>45280.70914351852</v>
      </c>
      <c r="AD28" s="2519"/>
      <c r="AE28" s="2519"/>
      <c r="AF28" s="2519"/>
      <c r="AG28" s="2519"/>
      <c r="AH28" s="2519"/>
      <c r="AI28" s="687"/>
      <c r="AJ28" s="687"/>
      <c r="AK28" s="641"/>
      <c r="AL28" s="729"/>
      <c r="AM28" s="729"/>
      <c r="AN28" s="729"/>
      <c r="AO28" s="729"/>
      <c r="AP28" s="729"/>
    </row>
    <row s="19160" customFormat="1" customHeight="1" ht="18.75">
      <c r="A29" s="1734"/>
      <c r="B29" s="1734"/>
      <c r="C29" s="1734"/>
      <c r="D29" s="1734"/>
      <c r="E29" s="1734"/>
      <c r="F29" s="1734"/>
      <c r="G29" s="1734"/>
      <c r="H29" s="1734"/>
      <c r="I29" s="1734"/>
      <c r="J29" s="1734"/>
      <c r="K29" s="1734"/>
      <c r="L29" s="1735"/>
      <c r="M29" s="1734"/>
      <c r="N29" s="1734"/>
      <c r="O29" s="1734"/>
      <c r="S29" s="2518" t="s">
        <v>422</v>
      </c>
      <c r="T29" s="2518"/>
      <c r="U29" s="1738"/>
      <c r="V29" s="2520" t="str">
        <f>IF(TITLE_NUMBER_PR_CHANGE="",IF(TITLE_NUMBER_PR="","",TITLE_NUMBER_PR),TITLE_NUMBER_PR_CHANGE)</f>
        <v>317-Р</v>
      </c>
      <c r="W29" s="2520"/>
      <c r="X29" s="2520"/>
      <c r="Y29" s="2520"/>
      <c r="Z29" s="2520"/>
      <c r="AA29" s="2520"/>
      <c r="AB29" s="687"/>
      <c r="AC29" s="2520" t="str">
        <f>IF(TITLE_NUMBER_PR_CHANGE="",IF(TITLE_NUMBER_PR="","",TITLE_NUMBER_PR),TITLE_NUMBER_PR_CHANGE)</f>
        <v>317-Р</v>
      </c>
      <c r="AD29" s="2520"/>
      <c r="AE29" s="2520"/>
      <c r="AF29" s="2520"/>
      <c r="AG29" s="2520"/>
      <c r="AH29" s="2520"/>
      <c r="AI29" s="687"/>
      <c r="AJ29" s="687"/>
      <c r="AK29" s="641"/>
      <c r="AL29" s="729"/>
      <c r="AM29" s="729"/>
      <c r="AN29" s="729"/>
      <c r="AO29" s="729"/>
      <c r="AP29" s="729"/>
    </row>
    <row s="19160" customFormat="1" customHeight="1" ht="18.75">
      <c r="A30" s="1734"/>
      <c r="B30" s="1734"/>
      <c r="C30" s="1734"/>
      <c r="D30" s="1734"/>
      <c r="E30" s="1734"/>
      <c r="F30" s="1734"/>
      <c r="G30" s="1734"/>
      <c r="H30" s="1734"/>
      <c r="I30" s="1734"/>
      <c r="J30" s="1734"/>
      <c r="K30" s="1734"/>
      <c r="L30" s="1735"/>
      <c r="M30" s="1734"/>
      <c r="N30" s="1734"/>
      <c r="O30" s="1734"/>
      <c r="S30" s="2518" t="s">
        <v>40</v>
      </c>
      <c r="T30" s="2518"/>
      <c r="U30" s="1738"/>
      <c r="V30"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520"/>
      <c r="X30" s="2520"/>
      <c r="Y30" s="2520"/>
      <c r="Z30" s="2520"/>
      <c r="AA30" s="2520"/>
      <c r="AB30" s="687"/>
      <c r="AC30"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520"/>
      <c r="AE30" s="2520"/>
      <c r="AF30" s="2520"/>
      <c r="AG30" s="2520"/>
      <c r="AH30" s="2520"/>
      <c r="AI30" s="687"/>
      <c r="AJ30" s="687"/>
      <c r="AK30" s="641"/>
      <c r="AL30" s="729"/>
      <c r="AM30" s="729"/>
      <c r="AN30" s="729"/>
      <c r="AO30" s="729"/>
      <c r="AP30" s="729"/>
    </row>
    <row customHeight="1" ht="14.25" hidden="1">
      <c r="Q31" s="737"/>
      <c r="R31" s="737"/>
      <c r="S31" s="1641"/>
      <c r="T31" s="724"/>
      <c r="U31" s="724"/>
      <c r="V31" s="683"/>
      <c r="W31" s="683"/>
      <c r="X31" s="683"/>
      <c r="Y31" s="683"/>
      <c r="Z31" s="683"/>
      <c r="AA31" s="683"/>
      <c r="AB31" s="683"/>
      <c r="AC31" s="683"/>
      <c r="AD31" s="683"/>
      <c r="AE31" s="683"/>
      <c r="AF31" s="683"/>
      <c r="AG31" s="683"/>
      <c r="AH31" s="683"/>
      <c r="AI31" s="683"/>
      <c r="AJ31" s="870"/>
    </row>
    <row s="19160" customFormat="1" customHeight="1" ht="18.75" hidden="1">
      <c r="A32" s="1734"/>
      <c r="B32" s="1734"/>
      <c r="C32" s="1734"/>
      <c r="D32" s="1734"/>
      <c r="E32" s="1734"/>
      <c r="F32" s="1734"/>
      <c r="G32" s="1734"/>
      <c r="H32" s="1734"/>
      <c r="I32" s="1734"/>
      <c r="J32" s="1734"/>
      <c r="K32" s="1734"/>
      <c r="L32" s="1735"/>
      <c r="M32" s="1734"/>
      <c r="N32" s="1734"/>
      <c r="O32" s="1734"/>
      <c r="S32" s="2518" t="s">
        <v>423</v>
      </c>
      <c r="T32" s="2518"/>
      <c r="U32" s="1738"/>
      <c r="V32" s="2519" t="str">
        <f>IF(TITLE_DATE_PR_CHANGE="",IF(TITLE_DATE_PR="","",TITLE_DATE_PR),TITLE_DATE_PR_CHANGE)</f>
        <v>45280.70914351852</v>
      </c>
      <c r="W32" s="2519"/>
      <c r="X32" s="2519"/>
      <c r="Y32" s="2519"/>
      <c r="Z32" s="2519"/>
      <c r="AA32" s="2519"/>
      <c r="AB32" s="687"/>
      <c r="AC32" s="2519" t="str">
        <f>IF(TITLE_DATE_PR_CHANGE="",IF(TITLE_DATE_PR="","",TITLE_DATE_PR),TITLE_DATE_PR_CHANGE)</f>
        <v>45280.70914351852</v>
      </c>
      <c r="AD32" s="2519"/>
      <c r="AE32" s="2519"/>
      <c r="AF32" s="2519"/>
      <c r="AG32" s="2519"/>
      <c r="AH32" s="2519"/>
      <c r="AI32" s="687"/>
      <c r="AJ32" s="687"/>
      <c r="AK32" s="641"/>
      <c r="AL32" s="729"/>
      <c r="AM32" s="729"/>
      <c r="AN32" s="729"/>
      <c r="AO32" s="729"/>
      <c r="AP32" s="729"/>
    </row>
    <row s="19160" customFormat="1" customHeight="1" ht="18.75" hidden="1">
      <c r="A33" s="1734"/>
      <c r="B33" s="1734"/>
      <c r="C33" s="1734"/>
      <c r="D33" s="1734"/>
      <c r="E33" s="1734"/>
      <c r="F33" s="1734"/>
      <c r="G33" s="1734"/>
      <c r="H33" s="1734"/>
      <c r="I33" s="1734"/>
      <c r="J33" s="1734"/>
      <c r="K33" s="1734"/>
      <c r="L33" s="1735"/>
      <c r="M33" s="1734"/>
      <c r="N33" s="1734"/>
      <c r="O33" s="1734"/>
      <c r="S33" s="2518" t="s">
        <v>424</v>
      </c>
      <c r="T33" s="2518"/>
      <c r="U33" s="1738"/>
      <c r="V33" s="2520" t="str">
        <f>IF(TITLE_NUMBER_PR_CHANGE="",IF(TITLE_NUMBER_PR="","",TITLE_NUMBER_PR),TITLE_NUMBER_PR_CHANGE)</f>
        <v>317-Р</v>
      </c>
      <c r="W33" s="2520"/>
      <c r="X33" s="2520"/>
      <c r="Y33" s="2520"/>
      <c r="Z33" s="2520"/>
      <c r="AA33" s="2520"/>
      <c r="AB33" s="687"/>
      <c r="AC33" s="2520" t="str">
        <f>IF(TITLE_NUMBER_PR_CHANGE="",IF(TITLE_NUMBER_PR="","",TITLE_NUMBER_PR),TITLE_NUMBER_PR_CHANGE)</f>
        <v>317-Р</v>
      </c>
      <c r="AD33" s="2520"/>
      <c r="AE33" s="2520"/>
      <c r="AF33" s="2520"/>
      <c r="AG33" s="2520"/>
      <c r="AH33" s="2520"/>
      <c r="AI33" s="687"/>
      <c r="AJ33" s="687"/>
      <c r="AK33" s="641"/>
      <c r="AL33" s="729"/>
      <c r="AM33" s="729"/>
      <c r="AN33" s="729"/>
      <c r="AO33" s="729"/>
      <c r="AP33" s="729"/>
    </row>
    <row s="19160" customFormat="1" customHeight="1" ht="0.75">
      <c r="A34" s="1734"/>
      <c r="B34" s="1734"/>
      <c r="C34" s="1734"/>
      <c r="D34" s="1734"/>
      <c r="E34" s="1734"/>
      <c r="F34" s="1734"/>
      <c r="G34" s="1734"/>
      <c r="H34" s="1734"/>
      <c r="I34" s="1734"/>
      <c r="J34" s="1734"/>
      <c r="K34" s="1734"/>
      <c r="L34" s="1735"/>
      <c r="M34" s="1734"/>
      <c r="N34" s="1734"/>
      <c r="O34" s="1734"/>
      <c r="S34" s="684"/>
      <c r="T34" s="684"/>
      <c r="U34" s="1854"/>
      <c r="V34" s="687"/>
      <c r="W34" s="687"/>
      <c r="X34" s="687"/>
      <c r="Y34" s="687"/>
      <c r="Z34" s="687"/>
      <c r="AA34" s="687"/>
      <c r="AB34" s="639" t="s">
        <v>425</v>
      </c>
      <c r="AC34" s="687"/>
      <c r="AD34" s="687"/>
      <c r="AE34" s="687"/>
      <c r="AF34" s="687"/>
      <c r="AG34" s="687"/>
      <c r="AH34" s="687"/>
      <c r="AI34" s="639" t="s">
        <v>425</v>
      </c>
      <c r="AL34" s="729"/>
      <c r="AM34" s="729"/>
      <c r="AN34" s="729"/>
      <c r="AO34" s="729"/>
      <c r="AP34" s="729"/>
    </row>
    <row customHeight="1" ht="14.25">
      <c r="Q35" s="737"/>
      <c r="R35" s="737"/>
      <c r="S35" s="1641"/>
      <c r="T35" s="724"/>
      <c r="U35" s="1609"/>
      <c r="V35" s="2544"/>
      <c r="W35" s="2544"/>
      <c r="X35" s="2544"/>
      <c r="Y35" s="2544"/>
      <c r="Z35" s="2544"/>
      <c r="AA35" s="2544"/>
      <c r="AB35" s="2544"/>
      <c r="AC35" s="2544"/>
      <c r="AD35" s="2544"/>
      <c r="AE35" s="2544"/>
      <c r="AF35" s="2544"/>
      <c r="AG35" s="2544"/>
      <c r="AH35" s="2544"/>
      <c r="AI35" s="2544"/>
    </row>
    <row customHeight="1" ht="14.25">
      <c r="Q36" s="737"/>
      <c r="R36" s="737"/>
      <c r="S36" s="2392" t="s">
        <v>300</v>
      </c>
      <c r="T36" s="2392"/>
      <c r="U36" s="2392"/>
      <c r="V36" s="2392"/>
      <c r="W36" s="2392"/>
      <c r="X36" s="2392"/>
      <c r="Y36" s="2392"/>
      <c r="Z36" s="2392"/>
      <c r="AA36" s="2392"/>
      <c r="AB36" s="2392"/>
      <c r="AC36" s="2392"/>
      <c r="AD36" s="2392"/>
      <c r="AE36" s="2392"/>
      <c r="AF36" s="2392"/>
      <c r="AG36" s="2392"/>
      <c r="AH36" s="2392"/>
      <c r="AI36" s="2392"/>
      <c r="AJ36" s="2392"/>
      <c r="AK36" s="2392" t="s">
        <v>301</v>
      </c>
    </row>
    <row customHeight="1" ht="14.25">
      <c r="Q37" s="737"/>
      <c r="R37" s="737"/>
      <c r="S37" s="2545" t="s">
        <v>85</v>
      </c>
      <c r="T37" s="2482" t="s">
        <v>426</v>
      </c>
      <c r="U37" s="662"/>
      <c r="V37" s="2546" t="s">
        <v>427</v>
      </c>
      <c r="W37" s="2547"/>
      <c r="X37" s="2547"/>
      <c r="Y37" s="2547"/>
      <c r="Z37" s="2547"/>
      <c r="AA37" s="2548"/>
      <c r="AB37" s="2549" t="s">
        <v>428</v>
      </c>
      <c r="AC37" s="2546" t="s">
        <v>427</v>
      </c>
      <c r="AD37" s="2547"/>
      <c r="AE37" s="2547"/>
      <c r="AF37" s="2547"/>
      <c r="AG37" s="2547"/>
      <c r="AH37" s="2548"/>
      <c r="AI37" s="2549" t="s">
        <v>429</v>
      </c>
      <c r="AJ37" s="2552" t="s">
        <v>430</v>
      </c>
      <c r="AK37" s="2392"/>
    </row>
    <row customHeight="1" ht="33.75">
      <c r="Q38" s="737"/>
      <c r="R38" s="737"/>
      <c r="S38" s="2545"/>
      <c r="T38" s="2482"/>
      <c r="U38" s="1393"/>
      <c r="V38" s="1849" t="s">
        <v>487</v>
      </c>
      <c r="W38" s="2538" t="s">
        <v>433</v>
      </c>
      <c r="X38" s="2540"/>
      <c r="Y38" s="2538" t="s">
        <v>434</v>
      </c>
      <c r="Z38" s="2539"/>
      <c r="AA38" s="2540"/>
      <c r="AB38" s="2550"/>
      <c r="AC38" s="1849" t="s">
        <v>487</v>
      </c>
      <c r="AD38" s="2538" t="s">
        <v>433</v>
      </c>
      <c r="AE38" s="2540"/>
      <c r="AF38" s="2538" t="s">
        <v>434</v>
      </c>
      <c r="AG38" s="2539"/>
      <c r="AH38" s="2540"/>
      <c r="AI38" s="2550"/>
      <c r="AJ38" s="2553"/>
      <c r="AK38" s="2392"/>
    </row>
    <row customHeight="1" ht="86.25">
      <c r="A39" s="1736"/>
      <c r="B39" s="1736" t="s">
        <v>132</v>
      </c>
      <c r="C39" s="1736" t="s">
        <v>133</v>
      </c>
      <c r="D39" s="1736" t="s">
        <v>134</v>
      </c>
      <c r="E39" s="1730" t="s">
        <v>435</v>
      </c>
      <c r="F39" s="1730" t="s">
        <v>436</v>
      </c>
      <c r="G39" s="1730" t="s">
        <v>437</v>
      </c>
      <c r="H39" s="1730"/>
      <c r="I39" s="1730" t="s">
        <v>488</v>
      </c>
      <c r="J39" s="1730" t="s">
        <v>440</v>
      </c>
      <c r="K39" s="1730" t="s">
        <v>489</v>
      </c>
      <c r="L39" s="1730" t="s">
        <v>416</v>
      </c>
      <c r="Q39" s="737"/>
      <c r="R39" s="737"/>
      <c r="S39" s="2545"/>
      <c r="T39" s="2482"/>
      <c r="U39" s="663"/>
      <c r="V39" s="1849" t="s">
        <v>516</v>
      </c>
      <c r="W39" s="1587" t="s">
        <v>517</v>
      </c>
      <c r="X39" s="1587" t="s">
        <v>492</v>
      </c>
      <c r="Y39" s="1855" t="s">
        <v>444</v>
      </c>
      <c r="Z39" s="2541" t="s">
        <v>445</v>
      </c>
      <c r="AA39" s="2542"/>
      <c r="AB39" s="2551"/>
      <c r="AC39" s="1849" t="s">
        <v>516</v>
      </c>
      <c r="AD39" s="1587" t="s">
        <v>517</v>
      </c>
      <c r="AE39" s="1587" t="s">
        <v>492</v>
      </c>
      <c r="AF39" s="1855" t="s">
        <v>444</v>
      </c>
      <c r="AG39" s="2541" t="s">
        <v>445</v>
      </c>
      <c r="AH39" s="2542"/>
      <c r="AI39" s="2551"/>
      <c r="AJ39" s="2554"/>
      <c r="AK39" s="2392"/>
    </row>
    <row s="18977" customFormat="1" customHeight="1" ht="0">
      <c r="A40" s="1736"/>
      <c r="B40" s="1736"/>
      <c r="C40" s="1736"/>
      <c r="D40" s="1736"/>
      <c r="E40" s="1736"/>
      <c r="F40" s="1736"/>
      <c r="G40" s="1736"/>
      <c r="H40" s="1736"/>
      <c r="I40" s="1736"/>
      <c r="J40" s="1736"/>
      <c r="K40" s="1736"/>
      <c r="L40" s="1730"/>
      <c r="M40" s="1728"/>
      <c r="N40" s="1728"/>
      <c r="O40" s="1728"/>
      <c r="P40" s="1611"/>
      <c r="Q40" s="1612"/>
      <c r="R40" s="1619">
        <v>1</v>
      </c>
      <c r="S40" s="1643" t="s">
        <v>106</v>
      </c>
      <c r="T40" s="1620" t="s">
        <v>107</v>
      </c>
      <c r="U40" s="1610" t="str">
        <f>OFFSET(U40,0,-1)</f>
        <v>2</v>
      </c>
      <c r="V40" s="1848">
        <f>OFFSET(V40,0,-1)+1</f>
        <v>3</v>
      </c>
      <c r="W40" s="1848">
        <f>OFFSET(W40,0,-1)+1</f>
        <v>4</v>
      </c>
      <c r="X40" s="1848">
        <f>OFFSET(X40,0,-1)+1</f>
        <v>5</v>
      </c>
      <c r="Y40" s="1848">
        <f>OFFSET(Y40,0,-1)+1</f>
        <v>6</v>
      </c>
      <c r="Z40" s="2543">
        <f>OFFSET(Z40,0,-1)+1</f>
        <v>7</v>
      </c>
      <c r="AA40" s="2543"/>
      <c r="AB40" s="1848">
        <f>OFFSET(AB40,0,-2)+1</f>
        <v>8</v>
      </c>
      <c r="AC40" s="1848">
        <f>OFFSET(AC40,0,-1)+1</f>
        <v>9</v>
      </c>
      <c r="AD40" s="1848">
        <f>OFFSET(AD40,0,-1)+1</f>
        <v>10</v>
      </c>
      <c r="AE40" s="1848">
        <f>OFFSET(AE40,0,-1)+1</f>
        <v>11</v>
      </c>
      <c r="AF40" s="1848">
        <f>OFFSET(AF40,0,-1)+1</f>
        <v>12</v>
      </c>
      <c r="AG40" s="2543">
        <f>OFFSET(AG40,0,-1)+1</f>
        <v>13</v>
      </c>
      <c r="AH40" s="2543"/>
      <c r="AI40" s="1848">
        <f>OFFSET(AI40,0,-2)+1</f>
        <v>14</v>
      </c>
      <c r="AJ40" s="1610">
        <f>OFFSET(AJ40,0,-1)</f>
        <v>14</v>
      </c>
      <c r="AK40" s="1848">
        <f>OFFSET(AK40,0,-1)+1</f>
        <v>15</v>
      </c>
      <c r="AL40" s="872"/>
      <c r="AM40" s="872"/>
      <c r="AN40" s="872"/>
      <c r="AO40" s="872"/>
      <c r="AP40" s="872"/>
    </row>
    <row customHeight="1" ht="23.25">
      <c r="A41" s="1729" t="s">
        <v>271</v>
      </c>
      <c r="B41" s="1729"/>
      <c r="C41" s="1729"/>
      <c r="D41" s="1729"/>
      <c r="E41" s="2527">
        <v>1</v>
      </c>
      <c r="F41" s="1729"/>
      <c r="G41" s="1729"/>
      <c r="H41" s="1729"/>
      <c r="I41" s="1729"/>
      <c r="J41" s="1729"/>
      <c r="K41" s="1729"/>
      <c r="L41" s="1730"/>
      <c r="M41" s="1731"/>
      <c r="N41" s="1731"/>
      <c r="O41" s="1731"/>
      <c r="P41" s="722"/>
      <c r="Q41" s="721"/>
      <c r="R41" s="716"/>
      <c r="S41" s="1859">
        <f>INDEX(PT_DIFFERENTIATION_NUM_NTAR,MATCH(A41,PT_DIFFERENTIATION_NTAR_ID,0))</f>
        <v>0</v>
      </c>
      <c r="T41" s="659" t="s">
        <v>120</v>
      </c>
      <c r="U41" s="661"/>
      <c r="V41" s="2521"/>
      <c r="W41" s="2522"/>
      <c r="X41" s="2522"/>
      <c r="Y41" s="2522"/>
      <c r="Z41" s="2522"/>
      <c r="AA41" s="2522"/>
      <c r="AB41" s="2523"/>
      <c r="AC41" s="2521" t="str">
        <f>INDEX(PT_DIFFERENTIATION_NTAR,MATCH(A41,PT_DIFFERENTIATION_NTAR_ID,0))</f>
        <v/>
      </c>
      <c r="AD41" s="2522"/>
      <c r="AE41" s="2522"/>
      <c r="AF41" s="2522"/>
      <c r="AG41" s="2522"/>
      <c r="AH41" s="2522"/>
      <c r="AI41" s="2522"/>
      <c r="AJ41" s="2523"/>
      <c r="AK41" s="16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861"/>
      <c r="AN41" s="861" t="str">
        <f>IF(T41="","",T41)</f>
        <v>Наименование тарифа</v>
      </c>
      <c r="AO41" s="861"/>
      <c r="AP41" s="861"/>
    </row>
    <row customHeight="1" ht="23.25">
      <c r="A42" s="1729" t="s">
        <v>271</v>
      </c>
      <c r="B42" s="1729" t="s">
        <v>272</v>
      </c>
      <c r="C42" s="1729"/>
      <c r="D42" s="1729"/>
      <c r="E42" s="2528"/>
      <c r="F42" s="2527">
        <v>1</v>
      </c>
      <c r="G42" s="1729"/>
      <c r="H42" s="1729"/>
      <c r="I42" s="1729"/>
      <c r="J42" s="1729"/>
      <c r="K42" s="1729"/>
      <c r="L42" s="1730"/>
      <c r="M42" s="1731"/>
      <c r="N42" s="1731"/>
      <c r="O42" s="1731"/>
      <c r="P42" s="1853"/>
      <c r="Q42" s="713"/>
      <c r="R42" s="714"/>
      <c r="S42" s="1859" t="str">
        <f>INDEX(PT_DIFFERENTIATION_NUM_TER,MATCH(B42,PT_DIFFERENTIATION_TER_ID,0))</f>
        <v>.</v>
      </c>
      <c r="T42" s="669" t="s">
        <v>397</v>
      </c>
      <c r="U42" s="661"/>
      <c r="V42" s="2521"/>
      <c r="W42" s="2522"/>
      <c r="X42" s="2522"/>
      <c r="Y42" s="2522"/>
      <c r="Z42" s="2522"/>
      <c r="AA42" s="2522"/>
      <c r="AB42" s="2523"/>
      <c r="AC42" s="2521" t="str">
        <f>INDEX(PT_DIFFERENTIATION_TER,MATCH(B42,PT_DIFFERENTIATION_TER_ID,0))</f>
        <v/>
      </c>
      <c r="AD42" s="2522"/>
      <c r="AE42" s="2522"/>
      <c r="AF42" s="2522"/>
      <c r="AG42" s="2522"/>
      <c r="AH42" s="2522"/>
      <c r="AI42" s="2522"/>
      <c r="AJ42" s="2523"/>
      <c r="AK42" s="1623" t="s">
        <v>398</v>
      </c>
      <c r="AM42" s="861"/>
      <c r="AN42" s="861" t="str">
        <f>IF(T42="","",T42)</f>
        <v>Территория действия тарифа</v>
      </c>
      <c r="AO42" s="861"/>
      <c r="AP42" s="861"/>
    </row>
    <row customHeight="1" ht="23.25">
      <c r="A43" s="1729" t="s">
        <v>271</v>
      </c>
      <c r="B43" s="1729" t="s">
        <v>272</v>
      </c>
      <c r="C43" s="1729" t="s">
        <v>273</v>
      </c>
      <c r="D43" s="1729"/>
      <c r="E43" s="2528"/>
      <c r="F43" s="2528"/>
      <c r="G43" s="2527">
        <v>1</v>
      </c>
      <c r="H43" s="1729"/>
      <c r="I43" s="1729"/>
      <c r="J43" s="1729"/>
      <c r="K43" s="1729"/>
      <c r="L43" s="1730"/>
      <c r="M43" s="1731"/>
      <c r="N43" s="1731"/>
      <c r="O43" s="1731"/>
      <c r="P43" s="715"/>
      <c r="Q43" s="713"/>
      <c r="R43" s="714"/>
      <c r="S43" s="1859" t="str">
        <f>INDEX(PT_DIFFERENTIATION_NUM_CS,MATCH(C43,PT_DIFFERENTIATION_CS_ID,0))</f>
        <v>..</v>
      </c>
      <c r="T43" s="670" t="s">
        <v>514</v>
      </c>
      <c r="U43" s="661"/>
      <c r="V43" s="2521"/>
      <c r="W43" s="2522"/>
      <c r="X43" s="2522"/>
      <c r="Y43" s="2522"/>
      <c r="Z43" s="2522"/>
      <c r="AA43" s="2522"/>
      <c r="AB43" s="2523"/>
      <c r="AC43" s="2521" t="str">
        <f>INDEX(PT_DIFFERENTIATION_CS,MATCH(C43,PT_DIFFERENTIATION_CS_ID,0))</f>
        <v/>
      </c>
      <c r="AD43" s="2522"/>
      <c r="AE43" s="2522"/>
      <c r="AF43" s="2522"/>
      <c r="AG43" s="2522"/>
      <c r="AH43" s="2522"/>
      <c r="AI43" s="2522"/>
      <c r="AJ43" s="2523"/>
      <c r="AK43" s="1623" t="s">
        <v>515</v>
      </c>
      <c r="AM43" s="861"/>
      <c r="AN43" s="861" t="str">
        <f>IF(T43="","",T43)</f>
        <v>Наименование централизованной системы водоотведения</v>
      </c>
      <c r="AO43" s="861"/>
      <c r="AP43" s="861"/>
    </row>
    <row customHeight="1" ht="23.25">
      <c r="A44" s="1729" t="s">
        <v>271</v>
      </c>
      <c r="B44" s="1729" t="s">
        <v>272</v>
      </c>
      <c r="C44" s="1729" t="s">
        <v>273</v>
      </c>
      <c r="D44" s="1729" t="s">
        <v>519</v>
      </c>
      <c r="E44" s="2528"/>
      <c r="F44" s="2528"/>
      <c r="G44" s="2528"/>
      <c r="H44" s="2528"/>
      <c r="I44" s="2529" t="str">
        <f>S43&amp;".1"</f>
        <v>...1</v>
      </c>
      <c r="J44" s="1729"/>
      <c r="K44" s="1729"/>
      <c r="L44" s="1730"/>
      <c r="P44" s="2531">
        <v>1</v>
      </c>
      <c r="Q44" s="1847"/>
      <c r="R44" s="717"/>
      <c r="S44" s="1859" t="str">
        <f>$I44</f>
        <v>...1</v>
      </c>
      <c r="T44" s="646" t="s">
        <v>481</v>
      </c>
      <c r="U44" s="661"/>
      <c r="V44" s="2614"/>
      <c r="W44" s="2615"/>
      <c r="X44" s="2615"/>
      <c r="Y44" s="2615"/>
      <c r="Z44" s="2615"/>
      <c r="AA44" s="2615"/>
      <c r="AB44" s="2616"/>
      <c r="AC44" s="2617"/>
      <c r="AD44" s="2618"/>
      <c r="AE44" s="2618"/>
      <c r="AF44" s="2618"/>
      <c r="AG44" s="2618"/>
      <c r="AH44" s="2618"/>
      <c r="AI44" s="2618"/>
      <c r="AJ44" s="2619"/>
      <c r="AK44" s="1623" t="s">
        <v>482</v>
      </c>
      <c r="AM44" s="861"/>
      <c r="AN44" s="861" t="str">
        <f>IF(T44="","",T44)</f>
        <v>Наименование признака дифференциации</v>
      </c>
      <c r="AO44" s="861"/>
      <c r="AP44" s="861"/>
    </row>
    <row customHeight="1" ht="23.25">
      <c r="A45" s="1729" t="s">
        <v>271</v>
      </c>
      <c r="B45" s="1729" t="s">
        <v>272</v>
      </c>
      <c r="C45" s="1729" t="s">
        <v>273</v>
      </c>
      <c r="D45" s="1729" t="s">
        <v>519</v>
      </c>
      <c r="E45" s="2528"/>
      <c r="F45" s="2528"/>
      <c r="G45" s="2528"/>
      <c r="H45" s="2528"/>
      <c r="I45" s="2530"/>
      <c r="J45" s="2529" t="str">
        <f>I44&amp;".1"</f>
        <v>...1.1</v>
      </c>
      <c r="K45" s="1729"/>
      <c r="L45" s="1730" t="s">
        <v>406</v>
      </c>
      <c r="P45" s="2531"/>
      <c r="Q45" s="2531">
        <v>1</v>
      </c>
      <c r="R45" s="718"/>
      <c r="S45" s="1859" t="str">
        <f>$J45</f>
        <v>...1.1</v>
      </c>
      <c r="T45" s="647" t="s">
        <v>407</v>
      </c>
      <c r="U45" s="661"/>
      <c r="V45" s="2515"/>
      <c r="W45" s="2516"/>
      <c r="X45" s="2516"/>
      <c r="Y45" s="2516"/>
      <c r="Z45" s="2516"/>
      <c r="AA45" s="2516"/>
      <c r="AB45" s="2517"/>
      <c r="AC45" s="2515"/>
      <c r="AD45" s="2516"/>
      <c r="AE45" s="2516"/>
      <c r="AF45" s="2516"/>
      <c r="AG45" s="2516"/>
      <c r="AH45" s="2516"/>
      <c r="AI45" s="2516"/>
      <c r="AJ45" s="2517"/>
      <c r="AK45" s="1673" t="s">
        <v>483</v>
      </c>
      <c r="AM45" s="861"/>
      <c r="AN45" s="861" t="str">
        <f>IF(T45="","",T45)</f>
        <v>Группа потребителей</v>
      </c>
      <c r="AO45" s="861"/>
      <c r="AP45" s="861"/>
    </row>
    <row customHeight="1" ht="23.25">
      <c r="A46" s="1729" t="s">
        <v>271</v>
      </c>
      <c r="B46" s="1729" t="s">
        <v>272</v>
      </c>
      <c r="C46" s="1729" t="s">
        <v>273</v>
      </c>
      <c r="D46" s="1729" t="s">
        <v>519</v>
      </c>
      <c r="E46" s="2528"/>
      <c r="F46" s="2528"/>
      <c r="G46" s="2528"/>
      <c r="H46" s="2528"/>
      <c r="I46" s="2530"/>
      <c r="J46" s="2530"/>
      <c r="K46" s="2529" t="str">
        <f>J45&amp;".1"</f>
        <v>...1.1.1</v>
      </c>
      <c r="L46" s="1730"/>
      <c r="P46" s="2531"/>
      <c r="Q46" s="2531"/>
      <c r="R46" s="718">
        <v>1</v>
      </c>
      <c r="S46" s="1859" t="str">
        <f>$K46</f>
        <v>...1.1.1</v>
      </c>
      <c r="T46" s="1803"/>
      <c r="U46" s="661"/>
      <c r="V46" s="1726"/>
      <c r="W46" s="1726"/>
      <c r="X46" s="1727"/>
      <c r="Y46" s="2525"/>
      <c r="Z46" s="2524" t="s">
        <v>59</v>
      </c>
      <c r="AA46" s="2525"/>
      <c r="AB46" s="2524" t="s">
        <v>59</v>
      </c>
      <c r="AC46" s="1112"/>
      <c r="AD46" s="1112"/>
      <c r="AE46" s="1622"/>
      <c r="AF46" s="2532"/>
      <c r="AG46" s="2402" t="s">
        <v>59</v>
      </c>
      <c r="AH46" s="2534"/>
      <c r="AI46" s="2402" t="s">
        <v>54</v>
      </c>
      <c r="AJ46" s="1804"/>
      <c r="AK46" s="26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872">
        <f>STRCHECKDATE(V47:AJ47)</f>
      </c>
      <c r="AM46" s="861"/>
      <c r="AN46" s="861" t="str">
        <f>IF(T46="","",T46)</f>
        <v/>
      </c>
      <c r="AO46" s="861"/>
      <c r="AP46" s="861"/>
    </row>
    <row customHeight="1" ht="0">
      <c r="A47" s="1729" t="s">
        <v>271</v>
      </c>
      <c r="B47" s="1729" t="s">
        <v>272</v>
      </c>
      <c r="C47" s="1729" t="s">
        <v>273</v>
      </c>
      <c r="D47" s="1729" t="s">
        <v>519</v>
      </c>
      <c r="E47" s="2528"/>
      <c r="F47" s="2528"/>
      <c r="G47" s="2528"/>
      <c r="H47" s="2528"/>
      <c r="I47" s="2530"/>
      <c r="J47" s="2530"/>
      <c r="K47" s="2529"/>
      <c r="L47" s="1730"/>
      <c r="P47" s="2531"/>
      <c r="Q47" s="2531"/>
      <c r="R47" s="718"/>
      <c r="S47" s="1856"/>
      <c r="T47" s="661"/>
      <c r="U47" s="661"/>
      <c r="V47" s="1726"/>
      <c r="W47" s="1726"/>
      <c r="X47" s="689" t="str">
        <f>Y46&amp;"-"&amp;AA46</f>
        <v>-</v>
      </c>
      <c r="Y47" s="2524"/>
      <c r="Z47" s="2524"/>
      <c r="AA47" s="2524"/>
      <c r="AB47" s="2524"/>
      <c r="AC47" s="686"/>
      <c r="AD47" s="686"/>
      <c r="AE47" s="689" t="str">
        <f>AF46&amp;"-"&amp;AH46</f>
        <v>-</v>
      </c>
      <c r="AF47" s="2533"/>
      <c r="AG47" s="2402"/>
      <c r="AH47" s="2535"/>
      <c r="AI47" s="2402"/>
      <c r="AJ47" s="1805"/>
      <c r="AK47" s="2620"/>
      <c r="AM47" s="861"/>
      <c r="AN47" s="861" t="str">
        <f>IF(T47="","",T47)</f>
        <v/>
      </c>
      <c r="AO47" s="861"/>
      <c r="AP47" s="861"/>
    </row>
    <row customHeight="1" ht="21">
      <c r="A48" s="1729" t="s">
        <v>271</v>
      </c>
      <c r="B48" s="1729" t="s">
        <v>272</v>
      </c>
      <c r="C48" s="1729" t="s">
        <v>273</v>
      </c>
      <c r="D48" s="1729" t="s">
        <v>519</v>
      </c>
      <c r="E48" s="2528"/>
      <c r="F48" s="2528"/>
      <c r="G48" s="2528"/>
      <c r="H48" s="2528"/>
      <c r="I48" s="2530"/>
      <c r="J48" s="2529"/>
      <c r="K48" s="1729"/>
      <c r="L48" s="1730"/>
      <c r="P48" s="2531"/>
      <c r="Q48" s="2531"/>
      <c r="R48" s="717"/>
      <c r="S48" s="1644"/>
      <c r="T48" s="648" t="s">
        <v>484</v>
      </c>
      <c r="U48" s="728"/>
      <c r="V48" s="728"/>
      <c r="W48" s="728"/>
      <c r="X48" s="728"/>
      <c r="Y48" s="728"/>
      <c r="Z48" s="728"/>
      <c r="AA48" s="728"/>
      <c r="AB48" s="728"/>
      <c r="AC48" s="728"/>
      <c r="AD48" s="728"/>
      <c r="AE48" s="728"/>
      <c r="AF48" s="728"/>
      <c r="AG48" s="728"/>
      <c r="AH48" s="728"/>
      <c r="AI48" s="728"/>
      <c r="AJ48" s="728"/>
      <c r="AK48" s="1623" t="s">
        <v>485</v>
      </c>
      <c r="AM48" s="861"/>
      <c r="AN48" s="861" t="str">
        <f>IF(T48="","",T48)</f>
        <v>Добавить значение признака дифференциации</v>
      </c>
      <c r="AO48" s="861"/>
      <c r="AP48" s="861"/>
    </row>
    <row customHeight="1" ht="21">
      <c r="A49" s="1729" t="s">
        <v>271</v>
      </c>
      <c r="B49" s="1729" t="s">
        <v>272</v>
      </c>
      <c r="C49" s="1729" t="s">
        <v>273</v>
      </c>
      <c r="D49" s="1729" t="s">
        <v>519</v>
      </c>
      <c r="E49" s="2528"/>
      <c r="F49" s="2528"/>
      <c r="G49" s="2528"/>
      <c r="H49" s="2528"/>
      <c r="I49" s="2529"/>
      <c r="J49" s="1729"/>
      <c r="K49" s="1729"/>
      <c r="L49" s="1730"/>
      <c r="P49" s="2531"/>
      <c r="Q49" s="1847"/>
      <c r="R49" s="717"/>
      <c r="S49" s="1644"/>
      <c r="T49" s="726" t="s">
        <v>412</v>
      </c>
      <c r="U49" s="728"/>
      <c r="V49" s="728"/>
      <c r="W49" s="728"/>
      <c r="X49" s="728"/>
      <c r="Y49" s="728"/>
      <c r="Z49" s="728"/>
      <c r="AA49" s="728"/>
      <c r="AB49" s="727"/>
      <c r="AC49" s="728"/>
      <c r="AD49" s="728"/>
      <c r="AE49" s="728"/>
      <c r="AF49" s="728"/>
      <c r="AG49" s="728"/>
      <c r="AH49" s="728"/>
      <c r="AI49" s="727"/>
      <c r="AJ49" s="728"/>
      <c r="AK49" s="1806"/>
      <c r="AM49" s="861"/>
      <c r="AN49" s="861" t="str">
        <f>IF(T49="","",T49)</f>
        <v>Добавить группу потребителей</v>
      </c>
      <c r="AO49" s="861"/>
      <c r="AP49" s="861"/>
    </row>
    <row customHeight="1" ht="21">
      <c r="A50" s="1729" t="s">
        <v>271</v>
      </c>
      <c r="B50" s="1729" t="s">
        <v>272</v>
      </c>
      <c r="C50" s="1729" t="s">
        <v>273</v>
      </c>
      <c r="D50" s="1729" t="s">
        <v>519</v>
      </c>
      <c r="E50" s="2528"/>
      <c r="F50" s="2528"/>
      <c r="G50" s="2528"/>
      <c r="H50" s="2527"/>
      <c r="I50" s="1729"/>
      <c r="J50" s="1729"/>
      <c r="K50" s="1729"/>
      <c r="L50" s="1730"/>
      <c r="M50" s="1731"/>
      <c r="N50" s="1731"/>
      <c r="O50" s="898"/>
      <c r="P50" s="721"/>
      <c r="Q50" s="736"/>
      <c r="R50" s="716"/>
      <c r="S50" s="1644"/>
      <c r="T50" s="733" t="s">
        <v>486</v>
      </c>
      <c r="U50" s="728"/>
      <c r="V50" s="728"/>
      <c r="W50" s="728"/>
      <c r="X50" s="728"/>
      <c r="Y50" s="728"/>
      <c r="Z50" s="728"/>
      <c r="AA50" s="728"/>
      <c r="AB50" s="727"/>
      <c r="AC50" s="728"/>
      <c r="AD50" s="728"/>
      <c r="AE50" s="728"/>
      <c r="AF50" s="728"/>
      <c r="AG50" s="728"/>
      <c r="AH50" s="728"/>
      <c r="AI50" s="727"/>
      <c r="AJ50" s="728"/>
      <c r="AK50" s="664"/>
      <c r="AM50" s="861"/>
      <c r="AN50" s="861" t="str">
        <f>IF(T50="","",T50)</f>
        <v>Добавить наименование признака дифференциации</v>
      </c>
      <c r="AO50" s="861"/>
      <c r="AP50" s="861"/>
    </row>
    <row s="19127" customFormat="1" customHeight="1" ht="0">
      <c r="A51" s="1709" t="s">
        <v>271</v>
      </c>
      <c r="B51" s="1709" t="s">
        <v>272</v>
      </c>
      <c r="C51" s="1680"/>
      <c r="D51" s="1680"/>
      <c r="E51" s="2528"/>
      <c r="F51" s="2527"/>
      <c r="G51" s="1680"/>
      <c r="H51" s="1680"/>
      <c r="I51" s="1680"/>
      <c r="J51" s="1680"/>
      <c r="K51" s="1680"/>
      <c r="L51" s="1860"/>
      <c r="M51" s="1687"/>
      <c r="N51" s="1687"/>
      <c r="P51" s="1682"/>
      <c r="Q51" s="1683"/>
      <c r="R51" s="1682"/>
      <c r="S51" s="1688"/>
      <c r="T51" s="1691" t="s">
        <v>251</v>
      </c>
      <c r="U51" s="1690"/>
      <c r="V51" s="1690"/>
      <c r="W51" s="1690"/>
      <c r="X51" s="1690"/>
      <c r="Y51" s="1690"/>
      <c r="Z51" s="1690"/>
      <c r="AA51" s="1690"/>
      <c r="AB51" s="1690"/>
      <c r="AC51" s="1690"/>
      <c r="AD51" s="1690"/>
      <c r="AE51" s="1690"/>
      <c r="AF51" s="1690"/>
      <c r="AG51" s="1690"/>
      <c r="AH51" s="1690"/>
      <c r="AI51" s="1690"/>
      <c r="AJ51" s="1690"/>
      <c r="AK51" s="1690"/>
      <c r="AM51" s="1150"/>
      <c r="AN51" s="1150" t="str">
        <f>IF(T51="","",T51)</f>
        <v>Добавить централизованную систему для дифференциации</v>
      </c>
      <c r="AO51" s="1150"/>
      <c r="AP51" s="1150"/>
    </row>
    <row s="19219" customFormat="1" customHeight="1" ht="0">
      <c r="A52" s="1709" t="s">
        <v>271</v>
      </c>
      <c r="B52" s="1709"/>
      <c r="C52" s="1709"/>
      <c r="D52" s="1709"/>
      <c r="E52" s="2527"/>
      <c r="F52" s="1709"/>
      <c r="G52" s="1709"/>
      <c r="H52" s="1709"/>
      <c r="I52" s="1709"/>
      <c r="J52" s="1709"/>
      <c r="K52" s="1709"/>
      <c r="L52" s="1712"/>
      <c r="M52" s="1687"/>
      <c r="N52" s="1687"/>
      <c r="O52" s="879"/>
      <c r="P52" s="741"/>
      <c r="Q52" s="1710"/>
      <c r="R52" s="741"/>
      <c r="S52" s="1688"/>
      <c r="T52" s="1691" t="s">
        <v>252</v>
      </c>
      <c r="U52" s="1690"/>
      <c r="V52" s="1690"/>
      <c r="W52" s="1690"/>
      <c r="X52" s="1690"/>
      <c r="Y52" s="1690"/>
      <c r="Z52" s="1690"/>
      <c r="AA52" s="1690"/>
      <c r="AB52" s="1690"/>
      <c r="AC52" s="1690"/>
      <c r="AD52" s="1690"/>
      <c r="AE52" s="1690"/>
      <c r="AF52" s="1690"/>
      <c r="AG52" s="1690"/>
      <c r="AH52" s="1690"/>
      <c r="AI52" s="1690"/>
      <c r="AJ52" s="1690"/>
      <c r="AK52" s="1690"/>
      <c r="AM52" s="861"/>
      <c r="AN52" s="861" t="str">
        <f>IF(T52="","",T52)</f>
        <v>Добавить территорию для дифференциации</v>
      </c>
      <c r="AO52" s="861"/>
      <c r="AP52" s="861"/>
    </row>
    <row s="19127" customFormat="1" customHeight="1" ht="0">
      <c r="A53" s="1680"/>
      <c r="B53" s="1680"/>
      <c r="C53" s="1680"/>
      <c r="D53" s="1680"/>
      <c r="E53" s="1709"/>
      <c r="F53" s="1680"/>
      <c r="G53" s="1680"/>
      <c r="H53" s="1680"/>
      <c r="I53" s="1680"/>
      <c r="J53" s="1680"/>
      <c r="K53" s="1680"/>
      <c r="L53" s="1860"/>
      <c r="M53" s="1687"/>
      <c r="N53" s="1687"/>
      <c r="P53" s="1682"/>
      <c r="Q53" s="1683"/>
      <c r="R53" s="1682"/>
      <c r="S53" s="1688"/>
      <c r="T53" s="1691" t="s">
        <v>253</v>
      </c>
      <c r="U53" s="1690"/>
      <c r="V53" s="1690"/>
      <c r="W53" s="1690"/>
      <c r="X53" s="1690"/>
      <c r="Y53" s="1690"/>
      <c r="Z53" s="1690"/>
      <c r="AA53" s="1690"/>
      <c r="AB53" s="1690"/>
      <c r="AC53" s="1690"/>
      <c r="AD53" s="1690"/>
      <c r="AE53" s="1690"/>
      <c r="AF53" s="1690"/>
      <c r="AG53" s="1690"/>
      <c r="AH53" s="1690"/>
      <c r="AI53" s="1690"/>
      <c r="AJ53" s="1690"/>
      <c r="AK53" s="1690"/>
      <c r="AM53" s="1150"/>
      <c r="AN53" s="1150" t="str">
        <f>IF(T53="","",T53)</f>
        <v>Добавить наименование тарифа</v>
      </c>
      <c r="AO53" s="1150"/>
      <c r="AP53" s="1150"/>
    </row>
    <row customHeight="1" ht="11.25">
      <c r="M54" s="1523"/>
      <c r="N54" s="1523"/>
      <c r="O54" s="898"/>
      <c r="P54" s="1518"/>
      <c r="Q54" s="1518"/>
      <c r="R54" s="1518"/>
      <c r="S54" s="1518"/>
      <c r="AL54" s="1518"/>
      <c r="AM54" s="1518"/>
      <c r="AN54" s="1518"/>
      <c r="AO54" s="1518"/>
      <c r="AP54" s="1518"/>
    </row>
    <row customHeight="1" ht="14.25">
      <c r="O55" s="898"/>
      <c r="S55" s="1618"/>
      <c r="T55" s="2526"/>
      <c r="U55" s="2526"/>
      <c r="V55" s="2526"/>
      <c r="W55" s="2526"/>
      <c r="X55" s="2526"/>
      <c r="Y55" s="2526"/>
      <c r="Z55" s="2526"/>
      <c r="AA55" s="2526"/>
      <c r="AB55" s="2526"/>
      <c r="AC55" s="2526"/>
      <c r="AD55" s="2526"/>
      <c r="AE55" s="2526"/>
      <c r="AF55" s="2526"/>
      <c r="AG55" s="2526"/>
      <c r="AH55" s="2526"/>
      <c r="AI55" s="2526"/>
      <c r="AJ55" s="2526"/>
      <c r="AK55" s="2526"/>
    </row>
    <row customHeight="1" ht="14.25">
      <c r="O56" s="898"/>
    </row>
    <row customHeight="1" ht="14.25">
      <c r="O57" s="898"/>
      <c r="S57" s="1618"/>
      <c r="T57" s="2526"/>
      <c r="U57" s="2526"/>
      <c r="V57" s="2526"/>
      <c r="W57" s="2526"/>
      <c r="X57" s="2526"/>
      <c r="Y57" s="2526"/>
      <c r="Z57" s="2526"/>
      <c r="AA57" s="2526"/>
      <c r="AB57" s="2526"/>
      <c r="AC57" s="2526"/>
      <c r="AD57" s="2526"/>
      <c r="AE57" s="2526"/>
      <c r="AF57" s="2526"/>
      <c r="AG57" s="2526"/>
      <c r="AH57" s="2526"/>
      <c r="AI57" s="2526"/>
      <c r="AJ57" s="2526"/>
      <c r="AK57" s="252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485035-E5D2-1999-BF8B-658A44322CF9}"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19146" width="11.57421875" hidden="1" customWidth="1"/>
    <col min="2" max="2" style="19146" width="11.00390625" hidden="1" customWidth="1"/>
    <col min="3" max="3" style="19146" width="10.57421875" hidden="1"/>
    <col min="4" max="4" style="19146" width="12.8515625" hidden="1" customWidth="1"/>
    <col min="5" max="5" style="19146" width="10.00390625" hidden="1" customWidth="1"/>
    <col min="6" max="6" style="19146" width="8.7109375" hidden="1" customWidth="1"/>
    <col min="7" max="7" style="19146" width="7.57421875" hidden="1" customWidth="1"/>
    <col min="8" max="8" style="19146" width="11.421875" hidden="1" customWidth="1"/>
    <col min="9" max="9" style="19146" width="12.00390625" hidden="1" customWidth="1"/>
    <col min="10" max="10" style="19146" width="9.8515625" hidden="1" customWidth="1"/>
    <col min="11" max="11" style="19146" width="11.421875" hidden="1" customWidth="1"/>
    <col min="12" max="12" style="19497" width="19.140625" hidden="1" customWidth="1"/>
    <col min="13" max="14" style="19228" width="12.28125" hidden="1" customWidth="1"/>
    <col min="15" max="15" style="19228" width="23.421875" hidden="1" customWidth="1"/>
    <col min="16" max="16" style="19228" width="3.7109375" hidden="1" customWidth="1"/>
    <col min="17" max="17" style="19401" width="3.7109375" hidden="1" customWidth="1"/>
    <col min="18" max="18" style="19230" width="3.7109375" customWidth="1"/>
    <col min="19" max="19" style="19231" width="12.7109375" customWidth="1"/>
    <col min="20" max="20" style="19232" width="32.00390625" customWidth="1"/>
    <col min="21" max="21" style="19232" width="0.140625" customWidth="1"/>
    <col min="22" max="25" style="19232" width="21.7109375" hidden="1" customWidth="1"/>
    <col min="26" max="26" style="19232" width="11.7109375" hidden="1" customWidth="1"/>
    <col min="27" max="27" style="19232" width="3.7109375" hidden="1" customWidth="1"/>
    <col min="28" max="28" style="19232" width="11.7109375" hidden="1" customWidth="1"/>
    <col min="29" max="29" style="19232" width="8.57421875" hidden="1" customWidth="1"/>
    <col min="30" max="32" style="19232" width="3.7109375" customWidth="1"/>
    <col min="33" max="33" style="19232" width="24.7109375" customWidth="1"/>
    <col min="34" max="36" style="19232" width="3.7109375" customWidth="1"/>
    <col min="37" max="37" style="19232" width="24.7109375" customWidth="1"/>
    <col min="38" max="40" style="19232" width="3.7109375" customWidth="1"/>
    <col min="41" max="41" style="19232" width="18.8515625" customWidth="1"/>
    <col min="42" max="44" style="19232" width="3.7109375" customWidth="1"/>
    <col min="45" max="45" style="19232" width="18.8515625" customWidth="1"/>
    <col min="46" max="49" style="19232" width="21.7109375" customWidth="1"/>
    <col min="50" max="50" style="19232" width="11.7109375" customWidth="1"/>
    <col min="51" max="51" style="19232" width="3.7109375" customWidth="1"/>
    <col min="52" max="52" style="19232" width="11.7109375" customWidth="1"/>
    <col min="53" max="53" style="19232" width="8.57421875" hidden="1" customWidth="1"/>
    <col min="54" max="54" style="19232" width="4.7109375" customWidth="1"/>
    <col min="55" max="55" style="19232" width="115.7109375" customWidth="1"/>
    <col min="56" max="57" style="19219" width="10.57421875"/>
    <col min="58" max="58" style="19219" width="11.140625" customWidth="1"/>
    <col min="59" max="60" style="19219" width="10.57421875"/>
  </cols>
  <sheetData>
    <row customHeight="1" ht="14.25" hidden="1">
      <c r="W1" s="688"/>
      <c r="Y1" s="688"/>
      <c r="Z1" s="688"/>
      <c r="AW1" s="688"/>
      <c r="AX1" s="688"/>
    </row>
    <row customHeight="1" ht="21" hidden="1">
      <c r="A2" s="1729"/>
      <c r="B2" s="1729"/>
      <c r="C2" s="1729"/>
      <c r="D2" s="1729"/>
      <c r="E2" s="2527">
        <v>1</v>
      </c>
      <c r="F2" s="1729"/>
      <c r="G2" s="1729"/>
      <c r="H2" s="1729"/>
      <c r="I2" s="1729"/>
      <c r="J2" s="1729"/>
      <c r="K2" s="1729"/>
      <c r="L2" s="1730"/>
      <c r="M2" s="1731"/>
      <c r="N2" s="1731"/>
      <c r="O2" s="1731"/>
      <c r="P2" s="1775"/>
      <c r="Q2" s="1234"/>
      <c r="R2" s="716"/>
      <c r="S2" s="1859">
        <f>INDEX(PT_DIFFERENTIATION_NUM_NTAR,MATCH(A2,PT_DIFFERENTIATION_NTAR_ID,0))</f>
      </c>
      <c r="T2" s="659" t="s">
        <v>120</v>
      </c>
      <c r="U2" s="661"/>
      <c r="V2" s="2522"/>
      <c r="W2" s="2522"/>
      <c r="X2" s="2522"/>
      <c r="Y2" s="2522"/>
      <c r="Z2" s="2522"/>
      <c r="AA2" s="2522"/>
      <c r="AB2" s="2522"/>
      <c r="AC2" s="2523"/>
      <c r="AD2" s="2521">
        <f>INDEX(PT_DIFFERENTIATION_NTAR,MATCH(A2,PT_DIFFERENTIATION_NTAR_ID,0))</f>
      </c>
      <c r="AE2" s="2522"/>
      <c r="AF2" s="2522"/>
      <c r="AG2" s="2522"/>
      <c r="AH2" s="2522"/>
      <c r="AI2" s="2522"/>
      <c r="AJ2" s="2522"/>
      <c r="AK2" s="2522"/>
      <c r="AL2" s="2522"/>
      <c r="AM2" s="2522"/>
      <c r="AN2" s="2522"/>
      <c r="AO2" s="2522"/>
      <c r="AP2" s="2522"/>
      <c r="AQ2" s="2522"/>
      <c r="AR2" s="2522"/>
      <c r="AS2" s="2522"/>
      <c r="AT2" s="2522"/>
      <c r="AU2" s="2522"/>
      <c r="AV2" s="2522"/>
      <c r="AW2" s="2522"/>
      <c r="AX2" s="2522"/>
      <c r="AY2" s="2522"/>
      <c r="AZ2" s="2522"/>
      <c r="BA2" s="2522"/>
      <c r="BB2" s="2523"/>
      <c r="BC2" s="16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861"/>
      <c r="BF2" s="861" t="str">
        <f>IF(T2="","",T2)</f>
        <v>Наименование тарифа</v>
      </c>
      <c r="BG2" s="861"/>
      <c r="BH2" s="861"/>
    </row>
    <row customHeight="1" ht="21" hidden="1">
      <c r="A3" s="1729"/>
      <c r="B3" s="1729"/>
      <c r="C3" s="1729"/>
      <c r="D3" s="1729"/>
      <c r="E3" s="2528"/>
      <c r="F3" s="2527">
        <v>1</v>
      </c>
      <c r="G3" s="1729"/>
      <c r="H3" s="1729"/>
      <c r="I3" s="1729"/>
      <c r="J3" s="1729"/>
      <c r="K3" s="1729"/>
      <c r="L3" s="1730"/>
      <c r="M3" s="1731"/>
      <c r="N3" s="1731"/>
      <c r="O3" s="1731"/>
      <c r="P3" s="1776"/>
      <c r="Q3" s="1777"/>
      <c r="R3" s="714"/>
      <c r="S3" s="1859">
        <f>INDEX(PT_DIFFERENTIATION_NUM_TER,MATCH(B3,PT_DIFFERENTIATION_TER_ID,0))</f>
      </c>
      <c r="T3" s="669" t="s">
        <v>397</v>
      </c>
      <c r="U3" s="661"/>
      <c r="V3" s="2522"/>
      <c r="W3" s="2522"/>
      <c r="X3" s="2522"/>
      <c r="Y3" s="2522"/>
      <c r="Z3" s="2522"/>
      <c r="AA3" s="2522"/>
      <c r="AB3" s="2522"/>
      <c r="AC3" s="2523"/>
      <c r="AD3" s="2521">
        <f>INDEX(PT_DIFFERENTIATION_TER,MATCH(B3,PT_DIFFERENTIATION_TER_ID,0))</f>
      </c>
      <c r="AE3" s="2522"/>
      <c r="AF3" s="2522"/>
      <c r="AG3" s="2522"/>
      <c r="AH3" s="2522"/>
      <c r="AI3" s="2522"/>
      <c r="AJ3" s="2522"/>
      <c r="AK3" s="2522"/>
      <c r="AL3" s="2522"/>
      <c r="AM3" s="2522"/>
      <c r="AN3" s="2522"/>
      <c r="AO3" s="2522"/>
      <c r="AP3" s="2522"/>
      <c r="AQ3" s="2522"/>
      <c r="AR3" s="2522"/>
      <c r="AS3" s="2522"/>
      <c r="AT3" s="2522"/>
      <c r="AU3" s="2522"/>
      <c r="AV3" s="2522"/>
      <c r="AW3" s="2522"/>
      <c r="AX3" s="2522"/>
      <c r="AY3" s="2522"/>
      <c r="AZ3" s="2522"/>
      <c r="BA3" s="2522"/>
      <c r="BB3" s="2523"/>
      <c r="BC3" s="1623" t="s">
        <v>398</v>
      </c>
      <c r="BE3" s="861"/>
      <c r="BF3" s="861" t="str">
        <f>IF(T3="","",T3)</f>
        <v>Территория действия тарифа</v>
      </c>
      <c r="BG3" s="861"/>
      <c r="BH3" s="861"/>
    </row>
    <row customHeight="1" ht="33.75" hidden="1">
      <c r="A4" s="1729"/>
      <c r="B4" s="1729"/>
      <c r="C4" s="1729"/>
      <c r="D4" s="1729"/>
      <c r="E4" s="2528"/>
      <c r="F4" s="2528"/>
      <c r="G4" s="2527">
        <v>1</v>
      </c>
      <c r="H4" s="1729"/>
      <c r="I4" s="1729"/>
      <c r="J4" s="1729"/>
      <c r="K4" s="1729"/>
      <c r="L4" s="1730"/>
      <c r="M4" s="1731"/>
      <c r="N4" s="1731"/>
      <c r="O4" s="1731"/>
      <c r="P4" s="1778"/>
      <c r="Q4" s="1777"/>
      <c r="R4" s="714"/>
      <c r="S4" s="1859">
        <f>INDEX(PT_DIFFERENTIATION_NUM_CS,MATCH(C4,PT_DIFFERENTIATION_CS_ID,0))</f>
      </c>
      <c r="T4" s="670" t="s">
        <v>514</v>
      </c>
      <c r="U4" s="661"/>
      <c r="V4" s="2522"/>
      <c r="W4" s="2522"/>
      <c r="X4" s="2522"/>
      <c r="Y4" s="2522"/>
      <c r="Z4" s="2522"/>
      <c r="AA4" s="2522"/>
      <c r="AB4" s="2522"/>
      <c r="AC4" s="2523"/>
      <c r="AD4" s="2521">
        <f>INDEX(PT_DIFFERENTIATION_CS,MATCH(C4,PT_DIFFERENTIATION_CS_ID,0))</f>
      </c>
      <c r="AE4" s="2522"/>
      <c r="AF4" s="2522"/>
      <c r="AG4" s="2522"/>
      <c r="AH4" s="2522"/>
      <c r="AI4" s="2522"/>
      <c r="AJ4" s="2522"/>
      <c r="AK4" s="2522"/>
      <c r="AL4" s="2522"/>
      <c r="AM4" s="2522"/>
      <c r="AN4" s="2522"/>
      <c r="AO4" s="2522"/>
      <c r="AP4" s="2522"/>
      <c r="AQ4" s="2522"/>
      <c r="AR4" s="2522"/>
      <c r="AS4" s="2522"/>
      <c r="AT4" s="2522"/>
      <c r="AU4" s="2522"/>
      <c r="AV4" s="2522"/>
      <c r="AW4" s="2522"/>
      <c r="AX4" s="2522"/>
      <c r="AY4" s="2522"/>
      <c r="AZ4" s="2522"/>
      <c r="BA4" s="2522"/>
      <c r="BB4" s="2523"/>
      <c r="BC4" s="1623" t="s">
        <v>515</v>
      </c>
      <c r="BE4" s="861"/>
      <c r="BF4" s="861" t="str">
        <f>IF(T4="","",T4)</f>
        <v>Наименование централизованной системы водоотведения</v>
      </c>
      <c r="BG4" s="861"/>
      <c r="BH4" s="861"/>
    </row>
    <row s="19219" customFormat="1" customHeight="1" ht="14.25" hidden="1">
      <c r="A5" s="1709"/>
      <c r="B5" s="1709"/>
      <c r="C5" s="1709"/>
      <c r="D5" s="1709"/>
      <c r="E5" s="2528"/>
      <c r="F5" s="2528"/>
      <c r="G5" s="2528"/>
      <c r="H5" s="2527">
        <v>1</v>
      </c>
      <c r="I5" s="1709"/>
      <c r="J5" s="1709"/>
      <c r="K5" s="1709"/>
      <c r="L5" s="1712"/>
      <c r="M5" s="1681"/>
      <c r="N5" s="1681"/>
      <c r="O5" s="1681"/>
      <c r="P5" s="1863"/>
      <c r="Q5" s="1864"/>
      <c r="R5" s="718"/>
      <c r="S5" s="1404"/>
      <c r="T5" s="1865"/>
      <c r="U5" s="1750"/>
      <c r="V5" s="2570"/>
      <c r="W5" s="2570"/>
      <c r="X5" s="2570"/>
      <c r="Y5" s="2570"/>
      <c r="Z5" s="2570"/>
      <c r="AA5" s="2570"/>
      <c r="AB5" s="2570"/>
      <c r="AC5" s="2571"/>
      <c r="AD5" s="2569"/>
      <c r="AE5" s="2570"/>
      <c r="AF5" s="2570"/>
      <c r="AG5" s="2570"/>
      <c r="AH5" s="2570"/>
      <c r="AI5" s="2570"/>
      <c r="AJ5" s="2570"/>
      <c r="AK5" s="2570"/>
      <c r="AL5" s="2570"/>
      <c r="AM5" s="2570"/>
      <c r="AN5" s="2570"/>
      <c r="AO5" s="2570"/>
      <c r="AP5" s="2570"/>
      <c r="AQ5" s="2570"/>
      <c r="AR5" s="2570"/>
      <c r="AS5" s="2570"/>
      <c r="AT5" s="2570"/>
      <c r="AU5" s="2570"/>
      <c r="AV5" s="2570"/>
      <c r="AW5" s="2570"/>
      <c r="AX5" s="2570"/>
      <c r="AY5" s="2570"/>
      <c r="AZ5" s="2570"/>
      <c r="BA5" s="2570"/>
      <c r="BB5" s="2571"/>
      <c r="BC5" s="1751" t="s">
        <v>402</v>
      </c>
      <c r="BE5" s="861"/>
      <c r="BF5" s="861" t="str">
        <f>IF(T5="","",T5)</f>
        <v/>
      </c>
      <c r="BG5" s="861"/>
      <c r="BH5" s="861"/>
    </row>
    <row s="19219" customFormat="1" customHeight="1" ht="14.25" hidden="1">
      <c r="A6" s="1709"/>
      <c r="B6" s="1709"/>
      <c r="C6" s="1709"/>
      <c r="D6" s="1709"/>
      <c r="E6" s="2528"/>
      <c r="F6" s="2528"/>
      <c r="G6" s="2528"/>
      <c r="H6" s="2528"/>
      <c r="I6" s="2529" t="str">
        <f>S5&amp;".1"</f>
        <v>.1</v>
      </c>
      <c r="J6" s="1709"/>
      <c r="K6" s="1709"/>
      <c r="L6" s="1712" t="s">
        <v>403</v>
      </c>
      <c r="M6" s="871"/>
      <c r="N6" s="871"/>
      <c r="O6" s="871"/>
      <c r="P6" s="2531">
        <v>1</v>
      </c>
      <c r="Q6" s="1847"/>
      <c r="R6" s="717"/>
      <c r="S6" s="1404"/>
      <c r="T6" s="1749"/>
      <c r="U6" s="1750"/>
      <c r="V6" s="2570"/>
      <c r="W6" s="2570"/>
      <c r="X6" s="2570"/>
      <c r="Y6" s="2570"/>
      <c r="Z6" s="2570"/>
      <c r="AA6" s="2570"/>
      <c r="AB6" s="2570"/>
      <c r="AC6" s="2571"/>
      <c r="AD6" s="2569"/>
      <c r="AE6" s="2570"/>
      <c r="AF6" s="2570"/>
      <c r="AG6" s="2570"/>
      <c r="AH6" s="2570"/>
      <c r="AI6" s="2570"/>
      <c r="AJ6" s="2570"/>
      <c r="AK6" s="2570"/>
      <c r="AL6" s="2570"/>
      <c r="AM6" s="2570"/>
      <c r="AN6" s="2570"/>
      <c r="AO6" s="2570"/>
      <c r="AP6" s="2570"/>
      <c r="AQ6" s="2570"/>
      <c r="AR6" s="2570"/>
      <c r="AS6" s="2570"/>
      <c r="AT6" s="2570"/>
      <c r="AU6" s="2570"/>
      <c r="AV6" s="2570"/>
      <c r="AW6" s="2570"/>
      <c r="AX6" s="2570"/>
      <c r="AY6" s="2570"/>
      <c r="AZ6" s="2570"/>
      <c r="BA6" s="2570"/>
      <c r="BB6" s="2571"/>
      <c r="BC6" s="1751"/>
      <c r="BE6" s="861"/>
      <c r="BF6" s="861" t="str">
        <f>IF(T6="","",T6)</f>
        <v/>
      </c>
      <c r="BG6" s="861"/>
      <c r="BH6" s="861"/>
    </row>
    <row s="19219" customFormat="1" customHeight="1" ht="14.25" hidden="1">
      <c r="A7" s="1709"/>
      <c r="B7" s="1709"/>
      <c r="C7" s="1709"/>
      <c r="D7" s="1709"/>
      <c r="E7" s="2528"/>
      <c r="F7" s="2528"/>
      <c r="G7" s="2528"/>
      <c r="H7" s="2528"/>
      <c r="I7" s="2530"/>
      <c r="J7" s="2529" t="str">
        <f>S5&amp;".1"</f>
        <v>.1</v>
      </c>
      <c r="K7" s="1709"/>
      <c r="L7" s="1712"/>
      <c r="M7" s="871"/>
      <c r="N7" s="871"/>
      <c r="O7" s="871"/>
      <c r="P7" s="2531"/>
      <c r="Q7" s="2531">
        <v>1</v>
      </c>
      <c r="R7" s="718"/>
      <c r="S7" s="1404"/>
      <c r="T7" s="1765"/>
      <c r="U7" s="1750"/>
      <c r="V7" s="2570"/>
      <c r="W7" s="2570"/>
      <c r="X7" s="2570"/>
      <c r="Y7" s="2570"/>
      <c r="Z7" s="2570"/>
      <c r="AA7" s="2570"/>
      <c r="AB7" s="2570"/>
      <c r="AC7" s="2571"/>
      <c r="AD7" s="2569"/>
      <c r="AE7" s="2570"/>
      <c r="AF7" s="2570"/>
      <c r="AG7" s="2570"/>
      <c r="AH7" s="2570"/>
      <c r="AI7" s="2570"/>
      <c r="AJ7" s="2570"/>
      <c r="AK7" s="2570"/>
      <c r="AL7" s="2570"/>
      <c r="AM7" s="2570"/>
      <c r="AN7" s="2570"/>
      <c r="AO7" s="2570"/>
      <c r="AP7" s="2570"/>
      <c r="AQ7" s="2570"/>
      <c r="AR7" s="2570"/>
      <c r="AS7" s="2570"/>
      <c r="AT7" s="2570"/>
      <c r="AU7" s="2570"/>
      <c r="AV7" s="2570"/>
      <c r="AW7" s="2570"/>
      <c r="AX7" s="2570"/>
      <c r="AY7" s="2570"/>
      <c r="AZ7" s="2570"/>
      <c r="BA7" s="2570"/>
      <c r="BB7" s="2571"/>
      <c r="BC7" s="1751"/>
      <c r="BE7" s="861"/>
      <c r="BF7" s="861" t="str">
        <f>IF(T7="","",T7)</f>
        <v/>
      </c>
      <c r="BG7" s="861"/>
      <c r="BH7" s="861"/>
    </row>
    <row customHeight="1" ht="11.25" hidden="1">
      <c r="A8" s="1729"/>
      <c r="B8" s="1729"/>
      <c r="C8" s="1729"/>
      <c r="D8" s="1729"/>
      <c r="E8" s="2528"/>
      <c r="F8" s="2528"/>
      <c r="G8" s="2528"/>
      <c r="H8" s="2528"/>
      <c r="I8" s="2530"/>
      <c r="J8" s="2530"/>
      <c r="K8" s="2529">
        <f>S4&amp;".1"</f>
      </c>
      <c r="L8" s="1730"/>
      <c r="P8" s="2531"/>
      <c r="Q8" s="2531"/>
      <c r="R8" s="2607">
        <v>1</v>
      </c>
      <c r="S8" s="2604">
        <f>$K8</f>
      </c>
      <c r="T8" s="2624"/>
      <c r="U8" s="661"/>
      <c r="V8" s="1112"/>
      <c r="W8" s="1622"/>
      <c r="X8" s="1112"/>
      <c r="Y8" s="1622"/>
      <c r="Z8" s="2100"/>
      <c r="AA8" s="1835" t="s">
        <v>59</v>
      </c>
      <c r="AB8" s="2100"/>
      <c r="AC8" s="1835" t="s">
        <v>59</v>
      </c>
      <c r="AD8" s="2465" t="s">
        <v>59</v>
      </c>
      <c r="AE8" s="2600"/>
      <c r="AF8" s="2478">
        <v>1</v>
      </c>
      <c r="AG8" s="2623"/>
      <c r="AH8" s="2402" t="s">
        <v>59</v>
      </c>
      <c r="AI8" s="2600"/>
      <c r="AJ8" s="2478">
        <v>1</v>
      </c>
      <c r="AK8" s="2622" t="s">
        <v>24</v>
      </c>
      <c r="AL8" s="2402" t="s">
        <v>59</v>
      </c>
      <c r="AM8" s="2450"/>
      <c r="AN8" s="2478">
        <v>1</v>
      </c>
      <c r="AO8" s="2627"/>
      <c r="AP8" s="2628" t="s">
        <v>59</v>
      </c>
      <c r="AQ8" s="672"/>
      <c r="AR8" s="1852">
        <v>1</v>
      </c>
      <c r="AS8" s="1858" t="s">
        <v>24</v>
      </c>
      <c r="AT8" s="1112"/>
      <c r="AU8" s="1622"/>
      <c r="AV8" s="1112"/>
      <c r="AW8" s="1622"/>
      <c r="AX8" s="2100"/>
      <c r="AY8" s="1835" t="s">
        <v>59</v>
      </c>
      <c r="AZ8" s="2100"/>
      <c r="BA8" s="1835" t="s">
        <v>59</v>
      </c>
      <c r="BB8" s="1714"/>
      <c r="BC8" s="2557" t="s">
        <v>499</v>
      </c>
      <c r="BE8" s="861"/>
      <c r="BF8" s="861" t="str">
        <f>IF(T8="","",T8)</f>
        <v/>
      </c>
      <c r="BG8" s="861"/>
      <c r="BH8" s="861"/>
    </row>
    <row customHeight="1" ht="11.25" hidden="1">
      <c r="A9" s="1729"/>
      <c r="B9" s="1729"/>
      <c r="C9" s="1729"/>
      <c r="D9" s="1729"/>
      <c r="E9" s="2528"/>
      <c r="F9" s="2528"/>
      <c r="G9" s="2528"/>
      <c r="H9" s="2528"/>
      <c r="I9" s="2530"/>
      <c r="J9" s="2530"/>
      <c r="K9" s="2529"/>
      <c r="L9" s="1730"/>
      <c r="P9" s="2531"/>
      <c r="Q9" s="2531"/>
      <c r="R9" s="2607"/>
      <c r="S9" s="2605"/>
      <c r="T9" s="2625"/>
      <c r="U9" s="661"/>
      <c r="V9" s="1759"/>
      <c r="W9" s="1862"/>
      <c r="X9" s="1759"/>
      <c r="Y9" s="1862"/>
      <c r="Z9" s="1759"/>
      <c r="AA9" s="1759"/>
      <c r="AB9" s="1759"/>
      <c r="AC9" s="1759"/>
      <c r="AD9" s="2466"/>
      <c r="AE9" s="2600"/>
      <c r="AF9" s="2478"/>
      <c r="AG9" s="2623"/>
      <c r="AH9" s="2402"/>
      <c r="AI9" s="2600"/>
      <c r="AJ9" s="2478"/>
      <c r="AK9" s="2622"/>
      <c r="AL9" s="2402"/>
      <c r="AM9" s="2458"/>
      <c r="AN9" s="2478"/>
      <c r="AO9" s="2627"/>
      <c r="AP9" s="2629"/>
      <c r="AQ9" s="677"/>
      <c r="AR9" s="777"/>
      <c r="AS9" s="777" t="s">
        <v>500</v>
      </c>
      <c r="AT9" s="1759"/>
      <c r="AU9" s="1862"/>
      <c r="AV9" s="1759"/>
      <c r="AW9" s="1862"/>
      <c r="AX9" s="1759"/>
      <c r="AY9" s="1759"/>
      <c r="AZ9" s="1759"/>
      <c r="BA9" s="1759"/>
      <c r="BB9" s="1763"/>
      <c r="BC9" s="2558"/>
      <c r="BE9" s="861"/>
      <c r="BF9" s="861"/>
      <c r="BG9" s="861"/>
      <c r="BH9" s="861"/>
    </row>
    <row customHeight="1" ht="11.25" hidden="1">
      <c r="A10" s="1729"/>
      <c r="B10" s="1729"/>
      <c r="C10" s="1729"/>
      <c r="D10" s="1729"/>
      <c r="E10" s="2528"/>
      <c r="F10" s="2528"/>
      <c r="G10" s="2528"/>
      <c r="H10" s="2528"/>
      <c r="I10" s="2530"/>
      <c r="J10" s="2530"/>
      <c r="K10" s="2529"/>
      <c r="L10" s="1730"/>
      <c r="P10" s="2531"/>
      <c r="Q10" s="2531"/>
      <c r="R10" s="2607"/>
      <c r="S10" s="2605"/>
      <c r="T10" s="2625"/>
      <c r="U10" s="661"/>
      <c r="V10" s="1759"/>
      <c r="W10" s="1862"/>
      <c r="X10" s="1759"/>
      <c r="Y10" s="1862"/>
      <c r="Z10" s="1759"/>
      <c r="AA10" s="1759"/>
      <c r="AB10" s="1759"/>
      <c r="AC10" s="1759"/>
      <c r="AD10" s="2466"/>
      <c r="AE10" s="2600"/>
      <c r="AF10" s="2478"/>
      <c r="AG10" s="2623"/>
      <c r="AH10" s="2402"/>
      <c r="AI10" s="2600"/>
      <c r="AJ10" s="2478"/>
      <c r="AK10" s="2622"/>
      <c r="AL10" s="2402"/>
      <c r="AM10" s="677"/>
      <c r="AN10" s="1866"/>
      <c r="AO10" s="1866" t="s">
        <v>520</v>
      </c>
      <c r="AP10" s="777"/>
      <c r="AQ10" s="777"/>
      <c r="AR10" s="777"/>
      <c r="AS10" s="1759"/>
      <c r="AT10" s="1759"/>
      <c r="AU10" s="1862"/>
      <c r="AV10" s="1759"/>
      <c r="AW10" s="1862"/>
      <c r="AX10" s="1759"/>
      <c r="AY10" s="1759"/>
      <c r="AZ10" s="1759"/>
      <c r="BA10" s="1759"/>
      <c r="BB10" s="1763"/>
      <c r="BC10" s="2558"/>
      <c r="BE10" s="861"/>
      <c r="BF10" s="861"/>
      <c r="BG10" s="861"/>
      <c r="BH10" s="861"/>
    </row>
    <row customHeight="1" ht="11.25" hidden="1">
      <c r="A11" s="1729"/>
      <c r="B11" s="1729"/>
      <c r="C11" s="1729"/>
      <c r="D11" s="1729"/>
      <c r="E11" s="2528"/>
      <c r="F11" s="2528"/>
      <c r="G11" s="2528"/>
      <c r="H11" s="2528"/>
      <c r="I11" s="2530"/>
      <c r="J11" s="2530"/>
      <c r="K11" s="2529"/>
      <c r="L11" s="1730"/>
      <c r="P11" s="2531"/>
      <c r="Q11" s="2531"/>
      <c r="R11" s="2607"/>
      <c r="S11" s="2605"/>
      <c r="T11" s="2625"/>
      <c r="U11" s="661"/>
      <c r="V11" s="1759"/>
      <c r="W11" s="1862"/>
      <c r="X11" s="1759"/>
      <c r="Y11" s="1862"/>
      <c r="Z11" s="1759"/>
      <c r="AA11" s="1759"/>
      <c r="AB11" s="1759"/>
      <c r="AC11" s="1759"/>
      <c r="AD11" s="2466"/>
      <c r="AE11" s="2600"/>
      <c r="AF11" s="2478"/>
      <c r="AG11" s="2623"/>
      <c r="AH11" s="2402"/>
      <c r="AI11" s="655"/>
      <c r="AJ11" s="776"/>
      <c r="AK11" s="674" t="s">
        <v>521</v>
      </c>
      <c r="AL11" s="1759"/>
      <c r="AM11" s="1759"/>
      <c r="AN11" s="1759"/>
      <c r="AO11" s="1759"/>
      <c r="AP11" s="1759"/>
      <c r="AQ11" s="1759"/>
      <c r="AR11" s="1759"/>
      <c r="AS11" s="1759"/>
      <c r="AT11" s="1759"/>
      <c r="AU11" s="1862"/>
      <c r="AV11" s="1759"/>
      <c r="AW11" s="1862"/>
      <c r="AX11" s="1759"/>
      <c r="AY11" s="1759"/>
      <c r="AZ11" s="1759"/>
      <c r="BA11" s="1759"/>
      <c r="BB11" s="1763"/>
      <c r="BC11" s="2558"/>
      <c r="BE11" s="861"/>
      <c r="BF11" s="861"/>
      <c r="BG11" s="861"/>
      <c r="BH11" s="861"/>
    </row>
    <row customHeight="1" ht="11.25" hidden="1">
      <c r="A12" s="1729"/>
      <c r="B12" s="1729"/>
      <c r="C12" s="1729"/>
      <c r="D12" s="1729"/>
      <c r="E12" s="2528"/>
      <c r="F12" s="2528"/>
      <c r="G12" s="2528"/>
      <c r="H12" s="2528"/>
      <c r="I12" s="2530"/>
      <c r="J12" s="2530"/>
      <c r="K12" s="2529"/>
      <c r="L12" s="1730"/>
      <c r="P12" s="2531"/>
      <c r="Q12" s="2531"/>
      <c r="R12" s="2607"/>
      <c r="S12" s="2606"/>
      <c r="T12" s="2626"/>
      <c r="U12" s="661"/>
      <c r="V12" s="1759"/>
      <c r="W12" s="1760" t="str">
        <f>Z8&amp;"-"&amp;AB8</f>
        <v>-</v>
      </c>
      <c r="X12" s="1759"/>
      <c r="Y12" s="1760" t="str">
        <f>AB8&amp;"-"&amp;AD8</f>
        <v>-да</v>
      </c>
      <c r="Z12" s="1759"/>
      <c r="AA12" s="1759"/>
      <c r="AB12" s="1759"/>
      <c r="AC12" s="1759"/>
      <c r="AD12" s="2407"/>
      <c r="AE12" s="673"/>
      <c r="AF12" s="675"/>
      <c r="AG12" s="777" t="s">
        <v>503</v>
      </c>
      <c r="AH12" s="1759"/>
      <c r="AI12" s="1759"/>
      <c r="AJ12" s="1759"/>
      <c r="AK12" s="1759"/>
      <c r="AL12" s="1759"/>
      <c r="AM12" s="1759"/>
      <c r="AN12" s="1759"/>
      <c r="AO12" s="1759"/>
      <c r="AP12" s="1759"/>
      <c r="AQ12" s="1759"/>
      <c r="AR12" s="1759"/>
      <c r="AS12" s="1759"/>
      <c r="AT12" s="1759"/>
      <c r="AU12" s="1760" t="str">
        <f>AX8&amp;"-"&amp;AZ8</f>
        <v>-</v>
      </c>
      <c r="AV12" s="1759"/>
      <c r="AW12" s="1760" t="str">
        <f>AZ8&amp;"-"&amp;BB8</f>
        <v>-</v>
      </c>
      <c r="AX12" s="1759"/>
      <c r="AY12" s="1759"/>
      <c r="AZ12" s="1759"/>
      <c r="BA12" s="1759"/>
      <c r="BB12" s="1762" t="str">
        <f>BE8&amp;"-"&amp;BG8</f>
        <v>-</v>
      </c>
      <c r="BC12" s="2558"/>
      <c r="BE12" s="861"/>
      <c r="BF12" s="861" t="str">
        <f>IF(T12="","",T12)</f>
        <v/>
      </c>
      <c r="BG12" s="861"/>
      <c r="BH12" s="861"/>
    </row>
    <row customHeight="1" ht="11.25" hidden="1">
      <c r="A13" s="1729"/>
      <c r="B13" s="1729"/>
      <c r="C13" s="1729"/>
      <c r="D13" s="1729"/>
      <c r="E13" s="2528"/>
      <c r="F13" s="2528"/>
      <c r="G13" s="2528"/>
      <c r="H13" s="2528"/>
      <c r="I13" s="2530"/>
      <c r="J13" s="2529"/>
      <c r="K13" s="1729"/>
      <c r="L13" s="1730"/>
      <c r="P13" s="2531"/>
      <c r="Q13" s="2531"/>
      <c r="R13" s="717"/>
      <c r="S13" s="1644"/>
      <c r="T13" s="648" t="s">
        <v>465</v>
      </c>
      <c r="U13" s="728"/>
      <c r="V13" s="728"/>
      <c r="W13" s="728"/>
      <c r="X13" s="728"/>
      <c r="Y13" s="728"/>
      <c r="Z13" s="728"/>
      <c r="AA13" s="728"/>
      <c r="AB13" s="728"/>
      <c r="AC13" s="728"/>
      <c r="AD13" s="1871"/>
      <c r="AE13" s="728"/>
      <c r="AF13" s="728"/>
      <c r="AG13" s="728"/>
      <c r="AH13" s="728"/>
      <c r="AI13" s="728"/>
      <c r="AJ13" s="728"/>
      <c r="AK13" s="728"/>
      <c r="AL13" s="728"/>
      <c r="AM13" s="728"/>
      <c r="AN13" s="728"/>
      <c r="AO13" s="728"/>
      <c r="AP13" s="728"/>
      <c r="AQ13" s="728"/>
      <c r="AR13" s="728"/>
      <c r="AS13" s="728"/>
      <c r="AT13" s="728"/>
      <c r="AU13" s="728"/>
      <c r="AV13" s="728"/>
      <c r="AW13" s="728"/>
      <c r="AX13" s="728"/>
      <c r="AY13" s="728"/>
      <c r="AZ13" s="728"/>
      <c r="BA13" s="728"/>
      <c r="BB13" s="685"/>
      <c r="BC13" s="2559"/>
      <c r="BE13" s="861"/>
      <c r="BF13" s="861" t="str">
        <f>IF(T13="","",T13)</f>
        <v>Добавить строку</v>
      </c>
      <c r="BG13" s="861"/>
      <c r="BH13" s="861"/>
    </row>
    <row s="19219" customFormat="1" customHeight="1" ht="14.25" hidden="1">
      <c r="A14" s="1709"/>
      <c r="B14" s="1709"/>
      <c r="C14" s="1709"/>
      <c r="D14" s="1709"/>
      <c r="E14" s="2528"/>
      <c r="F14" s="2528"/>
      <c r="G14" s="2528"/>
      <c r="H14" s="2528"/>
      <c r="I14" s="2529"/>
      <c r="J14" s="1709"/>
      <c r="K14" s="1709"/>
      <c r="L14" s="1712"/>
      <c r="M14" s="871"/>
      <c r="N14" s="871"/>
      <c r="O14" s="871"/>
      <c r="P14" s="2531"/>
      <c r="Q14" s="1847"/>
      <c r="R14" s="717"/>
      <c r="S14" s="1752"/>
      <c r="T14" s="1753"/>
      <c r="U14" s="1754"/>
      <c r="V14" s="1754"/>
      <c r="W14" s="1754"/>
      <c r="X14" s="1754"/>
      <c r="Y14" s="1754"/>
      <c r="Z14" s="1754"/>
      <c r="AA14" s="1754"/>
      <c r="AB14" s="1754"/>
      <c r="AC14" s="1754"/>
      <c r="AD14" s="1754"/>
      <c r="AE14" s="1754"/>
      <c r="AF14" s="1754"/>
      <c r="AG14" s="1754"/>
      <c r="AH14" s="1754"/>
      <c r="AI14" s="1754"/>
      <c r="AJ14" s="1754"/>
      <c r="AK14" s="1754"/>
      <c r="AL14" s="1754"/>
      <c r="AM14" s="1754"/>
      <c r="AN14" s="1754"/>
      <c r="AO14" s="1754"/>
      <c r="AP14" s="1754"/>
      <c r="AQ14" s="1754"/>
      <c r="AR14" s="1754"/>
      <c r="AS14" s="1754"/>
      <c r="AT14" s="1754"/>
      <c r="AU14" s="1754"/>
      <c r="AV14" s="1754"/>
      <c r="AW14" s="1754"/>
      <c r="AX14" s="1754"/>
      <c r="AY14" s="1754"/>
      <c r="AZ14" s="1754"/>
      <c r="BA14" s="1754"/>
      <c r="BB14" s="1754"/>
      <c r="BC14" s="1755"/>
      <c r="BE14" s="861"/>
      <c r="BF14" s="861" t="str">
        <f>IF(T14="","",T14)</f>
        <v/>
      </c>
      <c r="BG14" s="861"/>
      <c r="BH14" s="861"/>
    </row>
    <row s="19219" customFormat="1" customHeight="1" ht="14.25" hidden="1">
      <c r="A15" s="1709"/>
      <c r="B15" s="1709"/>
      <c r="C15" s="1709"/>
      <c r="D15" s="1709"/>
      <c r="E15" s="2528"/>
      <c r="F15" s="2528"/>
      <c r="G15" s="2528"/>
      <c r="H15" s="2527"/>
      <c r="I15" s="1709"/>
      <c r="J15" s="1709"/>
      <c r="K15" s="1709"/>
      <c r="L15" s="1712"/>
      <c r="M15" s="1681"/>
      <c r="N15" s="1681"/>
      <c r="O15" s="879"/>
      <c r="P15" s="741"/>
      <c r="Q15" s="1710"/>
      <c r="R15" s="1767"/>
      <c r="S15" s="1752"/>
      <c r="T15" s="1753"/>
      <c r="U15" s="1754"/>
      <c r="V15" s="1754"/>
      <c r="W15" s="1754"/>
      <c r="X15" s="1754"/>
      <c r="Y15" s="1754"/>
      <c r="Z15" s="1754"/>
      <c r="AA15" s="1754"/>
      <c r="AB15" s="1754"/>
      <c r="AC15" s="1754"/>
      <c r="AD15" s="1754"/>
      <c r="AE15" s="1754"/>
      <c r="AF15" s="1754"/>
      <c r="AG15" s="1754"/>
      <c r="AH15" s="1754"/>
      <c r="AI15" s="1754"/>
      <c r="AJ15" s="1754"/>
      <c r="AK15" s="1754"/>
      <c r="AL15" s="1754"/>
      <c r="AM15" s="1754"/>
      <c r="AN15" s="1754"/>
      <c r="AO15" s="1754"/>
      <c r="AP15" s="1754"/>
      <c r="AQ15" s="1754"/>
      <c r="AR15" s="1754"/>
      <c r="AS15" s="1754"/>
      <c r="AT15" s="1754"/>
      <c r="AU15" s="1754"/>
      <c r="AV15" s="1754"/>
      <c r="AW15" s="1754"/>
      <c r="AX15" s="1754"/>
      <c r="AY15" s="1754"/>
      <c r="AZ15" s="1754"/>
      <c r="BA15" s="1754"/>
      <c r="BB15" s="1754"/>
      <c r="BC15" s="1755"/>
      <c r="BE15" s="861"/>
      <c r="BF15" s="861" t="str">
        <f>IF(T15="","",T15)</f>
        <v/>
      </c>
      <c r="BG15" s="861"/>
      <c r="BH15" s="861"/>
    </row>
    <row s="19127" customFormat="1" customHeight="1" ht="14.25" hidden="1">
      <c r="A16" s="1709"/>
      <c r="B16" s="1709"/>
      <c r="C16" s="1709"/>
      <c r="D16" s="1680"/>
      <c r="E16" s="2528"/>
      <c r="F16" s="2528"/>
      <c r="G16" s="2527"/>
      <c r="H16" s="1680"/>
      <c r="I16" s="1680"/>
      <c r="J16" s="1680"/>
      <c r="K16" s="1680"/>
      <c r="L16" s="1860"/>
      <c r="M16" s="1681"/>
      <c r="N16" s="1681"/>
      <c r="P16" s="1682"/>
      <c r="Q16" s="1683"/>
      <c r="R16" s="1682"/>
      <c r="S16" s="1688"/>
      <c r="T16" s="1691"/>
      <c r="U16" s="1690"/>
      <c r="V16" s="1690"/>
      <c r="W16" s="1690"/>
      <c r="X16" s="1690"/>
      <c r="Y16" s="1690"/>
      <c r="Z16" s="1690"/>
      <c r="AA16" s="1690"/>
      <c r="AB16" s="1690"/>
      <c r="AC16" s="1690"/>
      <c r="AD16" s="1690"/>
      <c r="AE16" s="1690"/>
      <c r="AF16" s="1690"/>
      <c r="AG16" s="1690"/>
      <c r="AH16" s="1690"/>
      <c r="AI16" s="1690"/>
      <c r="AJ16" s="1690"/>
      <c r="AK16" s="1690"/>
      <c r="AL16" s="1690"/>
      <c r="AM16" s="1690"/>
      <c r="AN16" s="1690"/>
      <c r="AO16" s="1690"/>
      <c r="AP16" s="1690"/>
      <c r="AQ16" s="1690"/>
      <c r="AR16" s="1690"/>
      <c r="AS16" s="1690"/>
      <c r="AT16" s="1690"/>
      <c r="AU16" s="1690"/>
      <c r="AV16" s="1690"/>
      <c r="AW16" s="1690"/>
      <c r="AX16" s="1690"/>
      <c r="AY16" s="1690"/>
      <c r="AZ16" s="1690"/>
      <c r="BA16" s="1690"/>
      <c r="BB16" s="1690"/>
      <c r="BC16" s="1690"/>
      <c r="BE16" s="1150"/>
      <c r="BF16" s="1150" t="str">
        <f>IF(T16="","",T16)</f>
        <v/>
      </c>
      <c r="BG16" s="1150"/>
      <c r="BH16" s="1150"/>
    </row>
    <row s="19127" customFormat="1" customHeight="1" ht="14.25" hidden="1">
      <c r="A17" s="1709"/>
      <c r="B17" s="1709"/>
      <c r="C17" s="1680"/>
      <c r="D17" s="1680"/>
      <c r="E17" s="2528"/>
      <c r="F17" s="2527"/>
      <c r="G17" s="1680"/>
      <c r="H17" s="1680"/>
      <c r="I17" s="1680"/>
      <c r="J17" s="1680"/>
      <c r="K17" s="1680"/>
      <c r="L17" s="1860"/>
      <c r="M17" s="1687"/>
      <c r="N17" s="1687"/>
      <c r="P17" s="1682"/>
      <c r="Q17" s="1683"/>
      <c r="R17" s="1682"/>
      <c r="S17" s="1688"/>
      <c r="T17" s="1691" t="s">
        <v>251</v>
      </c>
      <c r="U17" s="1690"/>
      <c r="V17" s="1690"/>
      <c r="W17" s="1690"/>
      <c r="X17" s="1690"/>
      <c r="Y17" s="1690"/>
      <c r="Z17" s="1690"/>
      <c r="AA17" s="1690"/>
      <c r="AB17" s="1690"/>
      <c r="AC17" s="1690"/>
      <c r="AD17" s="1690"/>
      <c r="AE17" s="1690"/>
      <c r="AF17" s="1690"/>
      <c r="AG17" s="1690"/>
      <c r="AH17" s="1690"/>
      <c r="AI17" s="1690"/>
      <c r="AJ17" s="1690"/>
      <c r="AK17" s="1690"/>
      <c r="AL17" s="1690"/>
      <c r="AM17" s="1690"/>
      <c r="AN17" s="1690"/>
      <c r="AO17" s="1690"/>
      <c r="AP17" s="1690"/>
      <c r="AQ17" s="1690"/>
      <c r="AR17" s="1690"/>
      <c r="AS17" s="1690"/>
      <c r="AT17" s="1690"/>
      <c r="AU17" s="1690"/>
      <c r="AV17" s="1690"/>
      <c r="AW17" s="1690"/>
      <c r="AX17" s="1690"/>
      <c r="AY17" s="1690"/>
      <c r="AZ17" s="1690"/>
      <c r="BA17" s="1690"/>
      <c r="BB17" s="1690"/>
      <c r="BC17" s="1690"/>
      <c r="BE17" s="1150"/>
      <c r="BF17" s="1150" t="str">
        <f>IF(T17="","",T17)</f>
        <v>Добавить централизованную систему для дифференциации</v>
      </c>
      <c r="BG17" s="1150"/>
      <c r="BH17" s="1150"/>
    </row>
    <row s="19219" customFormat="1" customHeight="1" ht="14.25" hidden="1">
      <c r="A18" s="1709"/>
      <c r="B18" s="1709"/>
      <c r="C18" s="1709"/>
      <c r="D18" s="1709"/>
      <c r="E18" s="2527"/>
      <c r="F18" s="1709"/>
      <c r="G18" s="1709"/>
      <c r="H18" s="1709"/>
      <c r="I18" s="1709"/>
      <c r="J18" s="1709"/>
      <c r="K18" s="1709"/>
      <c r="L18" s="1712"/>
      <c r="M18" s="1687"/>
      <c r="N18" s="1687"/>
      <c r="O18" s="879"/>
      <c r="P18" s="741"/>
      <c r="Q18" s="1710"/>
      <c r="R18" s="741"/>
      <c r="S18" s="1688"/>
      <c r="T18" s="1691" t="s">
        <v>252</v>
      </c>
      <c r="U18" s="1690"/>
      <c r="V18" s="1690"/>
      <c r="W18" s="1690"/>
      <c r="X18" s="1690"/>
      <c r="Y18" s="1690"/>
      <c r="Z18" s="1690"/>
      <c r="AA18" s="1690"/>
      <c r="AB18" s="1690"/>
      <c r="AC18" s="1690"/>
      <c r="AD18" s="1690"/>
      <c r="AE18" s="1690"/>
      <c r="AF18" s="1690"/>
      <c r="AG18" s="1690"/>
      <c r="AH18" s="1690"/>
      <c r="AI18" s="1690"/>
      <c r="AJ18" s="1690"/>
      <c r="AK18" s="1690"/>
      <c r="AL18" s="1690"/>
      <c r="AM18" s="1690"/>
      <c r="AN18" s="1690"/>
      <c r="AO18" s="1690"/>
      <c r="AP18" s="1690"/>
      <c r="AQ18" s="1690"/>
      <c r="AR18" s="1690"/>
      <c r="AS18" s="1690"/>
      <c r="AT18" s="1690"/>
      <c r="AU18" s="1690"/>
      <c r="AV18" s="1690"/>
      <c r="AW18" s="1690"/>
      <c r="AX18" s="1690"/>
      <c r="AY18" s="1690"/>
      <c r="AZ18" s="1690"/>
      <c r="BA18" s="1690"/>
      <c r="BB18" s="1690"/>
      <c r="BC18" s="1690"/>
      <c r="BE18" s="861"/>
      <c r="BF18" s="861" t="str">
        <f>IF(T18="","",T18)</f>
        <v>Добавить территорию для дифференциации</v>
      </c>
      <c r="BG18" s="861"/>
      <c r="BH18" s="861"/>
    </row>
    <row customHeight="1" ht="14.25" hidden="1">
      <c r="AC19" s="688"/>
      <c r="BA19" s="688"/>
    </row>
    <row customHeight="1" ht="14.25" hidden="1">
      <c r="AD20" s="1690" t="s">
        <v>54</v>
      </c>
      <c r="AE20" s="1867"/>
      <c r="AF20" s="909">
        <v>1</v>
      </c>
      <c r="AG20" s="1868"/>
      <c r="AH20" s="1690" t="s">
        <v>54</v>
      </c>
      <c r="AI20" s="1867"/>
      <c r="AJ20" s="909">
        <v>1</v>
      </c>
      <c r="AK20" s="1868"/>
      <c r="AL20" s="1690" t="s">
        <v>54</v>
      </c>
      <c r="AM20" s="1869"/>
      <c r="AN20" s="909">
        <v>1</v>
      </c>
      <c r="AO20" s="1870"/>
      <c r="AP20" s="1690" t="s">
        <v>54</v>
      </c>
      <c r="AQ20" s="1869"/>
      <c r="AR20" s="909">
        <v>1</v>
      </c>
      <c r="AS20" s="1870"/>
      <c r="AT20" s="686"/>
      <c r="AU20" s="745"/>
      <c r="AV20" s="686"/>
      <c r="AW20" s="745"/>
      <c r="AX20" s="2102"/>
      <c r="AY20" s="1851" t="s">
        <v>59</v>
      </c>
      <c r="AZ20" s="2102"/>
      <c r="BA20" s="1851" t="s">
        <v>59</v>
      </c>
    </row>
    <row customHeight="1" ht="14.25" hidden="1">
      <c r="BD21" s="857"/>
      <c r="BE21" s="857"/>
      <c r="BF21" s="857"/>
      <c r="BG21" s="857"/>
      <c r="BH21" s="857"/>
    </row>
    <row customHeight="1" ht="14.25" hidden="1">
      <c r="O22" s="1733" t="s">
        <v>415</v>
      </c>
      <c r="Z22" s="1711"/>
      <c r="AB22" s="1711"/>
      <c r="AC22" s="688"/>
      <c r="AX22" s="1711"/>
      <c r="AZ22" s="1711"/>
      <c r="BA22" s="688"/>
      <c r="BD22" s="857"/>
      <c r="BE22" s="857"/>
      <c r="BF22" s="857"/>
      <c r="BG22" s="857"/>
      <c r="BH22" s="857"/>
    </row>
    <row customHeight="1" ht="14.25" hidden="1">
      <c r="AC23" s="688"/>
      <c r="BA23" s="688"/>
      <c r="BD23" s="857"/>
      <c r="BE23" s="857"/>
      <c r="BF23" s="857"/>
      <c r="BG23" s="857"/>
      <c r="BH23" s="857"/>
    </row>
    <row s="19375" customFormat="1" customHeight="1" ht="14.25" hidden="1">
      <c r="M24" s="1874"/>
      <c r="N24" s="1874"/>
      <c r="O24" s="1875" t="s">
        <v>416</v>
      </c>
      <c r="P24" s="1874"/>
      <c r="Q24" s="1876"/>
      <c r="R24" s="1876"/>
      <c r="AA24" s="1873" t="s">
        <v>418</v>
      </c>
      <c r="AC24" s="1873" t="s">
        <v>419</v>
      </c>
      <c r="AD24" s="1873" t="s">
        <v>466</v>
      </c>
      <c r="AH24" s="1873" t="s">
        <v>466</v>
      </c>
      <c r="AK24" s="1873" t="s">
        <v>504</v>
      </c>
      <c r="AL24" s="1873" t="s">
        <v>466</v>
      </c>
      <c r="AP24" s="1873" t="s">
        <v>466</v>
      </c>
      <c r="AY24" s="1873" t="s">
        <v>418</v>
      </c>
      <c r="BA24" s="1873" t="s">
        <v>419</v>
      </c>
      <c r="BD24" s="1877"/>
      <c r="BE24" s="1877"/>
      <c r="BF24" s="1877"/>
      <c r="BG24" s="1877"/>
      <c r="BH24" s="1877"/>
    </row>
    <row customHeight="1" ht="14.25" hidden="1">
      <c r="O25" s="1730"/>
      <c r="BD25" s="857"/>
      <c r="BE25" s="857"/>
      <c r="BF25" s="857"/>
      <c r="BG25" s="857"/>
      <c r="BH25" s="857"/>
    </row>
    <row customHeight="1" ht="14.25" hidden="1">
      <c r="O26" s="1730"/>
      <c r="BD26" s="857"/>
      <c r="BE26" s="857"/>
      <c r="BF26" s="857"/>
      <c r="BG26" s="857"/>
      <c r="BH26" s="857"/>
    </row>
    <row customHeight="1" ht="14.25">
      <c r="Q27" s="652"/>
      <c r="R27" s="737"/>
      <c r="S27" s="1641"/>
      <c r="T27" s="724"/>
      <c r="U27" s="724"/>
      <c r="V27" s="870"/>
      <c r="W27" s="870"/>
      <c r="X27" s="870"/>
      <c r="Y27" s="870"/>
      <c r="Z27" s="870"/>
      <c r="AA27" s="870"/>
      <c r="AB27" s="870"/>
      <c r="AC27" s="870"/>
      <c r="AD27" s="870"/>
      <c r="AE27" s="870"/>
      <c r="AF27" s="870"/>
      <c r="AG27" s="870"/>
      <c r="AH27" s="870"/>
      <c r="AI27" s="870"/>
      <c r="AJ27" s="870"/>
      <c r="AK27" s="870"/>
      <c r="AL27" s="870"/>
      <c r="AM27" s="870"/>
      <c r="AN27" s="870"/>
      <c r="AO27" s="870"/>
      <c r="AP27" s="870"/>
      <c r="AQ27" s="870"/>
      <c r="AR27" s="870"/>
      <c r="AS27" s="870"/>
      <c r="AT27" s="870"/>
      <c r="AU27" s="870"/>
      <c r="AV27" s="870"/>
      <c r="AW27" s="870"/>
      <c r="AX27" s="870"/>
      <c r="AY27" s="870"/>
      <c r="AZ27" s="870"/>
      <c r="BA27" s="870"/>
    </row>
    <row customHeight="1" ht="14.25">
      <c r="Q28" s="652"/>
      <c r="R28" s="737"/>
      <c r="S28" s="256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560"/>
      <c r="U28" s="2560"/>
      <c r="V28" s="2560"/>
      <c r="W28" s="2560"/>
      <c r="X28" s="2560"/>
      <c r="Y28" s="2560"/>
      <c r="Z28" s="2560"/>
      <c r="AA28" s="2560"/>
      <c r="AB28" s="2560"/>
      <c r="AC28" s="2560"/>
      <c r="AD28" s="2560"/>
      <c r="AE28" s="2560"/>
      <c r="AF28" s="2560"/>
      <c r="AG28" s="2560"/>
      <c r="AH28" s="2560"/>
      <c r="AI28" s="2560"/>
      <c r="AJ28" s="2560"/>
      <c r="AK28" s="2560"/>
      <c r="AL28" s="2560"/>
      <c r="AM28" s="2560"/>
      <c r="AN28" s="2560"/>
      <c r="AO28" s="2560"/>
      <c r="AP28" s="2560"/>
      <c r="AQ28" s="2560"/>
      <c r="AR28" s="2560"/>
      <c r="AS28" s="2560"/>
      <c r="AT28" s="2560"/>
      <c r="AU28" s="2560"/>
      <c r="AV28" s="2560"/>
      <c r="AW28" s="2560"/>
      <c r="AX28" s="2560"/>
      <c r="AY28" s="2560"/>
      <c r="AZ28" s="2560"/>
      <c r="BA28" s="1608"/>
    </row>
    <row customHeight="1" ht="14.25">
      <c r="Q29" s="652"/>
      <c r="R29" s="737"/>
      <c r="S29" s="2561" t="str">
        <f>IF(org=0,"Не определено",org)</f>
        <v>Филиал "Шатурская ГРЭС" ПАО "Юнипро"</v>
      </c>
      <c r="T29" s="2561"/>
      <c r="U29" s="2561"/>
      <c r="V29" s="2561"/>
      <c r="W29" s="2561"/>
      <c r="X29" s="2561"/>
      <c r="Y29" s="2561"/>
      <c r="Z29" s="2561"/>
      <c r="AA29" s="2561"/>
      <c r="AB29" s="2561"/>
      <c r="AC29" s="2561"/>
      <c r="AD29" s="2561"/>
      <c r="AE29" s="2561"/>
      <c r="AF29" s="2561"/>
      <c r="AG29" s="2561"/>
      <c r="AH29" s="2561"/>
      <c r="AI29" s="2561"/>
      <c r="AJ29" s="2561"/>
      <c r="AK29" s="2561"/>
      <c r="AL29" s="2561"/>
      <c r="AM29" s="2561"/>
      <c r="AN29" s="2561"/>
      <c r="AO29" s="2561"/>
      <c r="AP29" s="2561"/>
      <c r="AQ29" s="2561"/>
      <c r="AR29" s="2561"/>
      <c r="AS29" s="2561"/>
      <c r="AT29" s="2561"/>
      <c r="AU29" s="2561"/>
      <c r="AV29" s="2561"/>
      <c r="AW29" s="2561"/>
      <c r="AX29" s="2561"/>
      <c r="AY29" s="2561"/>
      <c r="AZ29" s="2561"/>
      <c r="BA29" s="1608"/>
    </row>
    <row customHeight="1" ht="14.25">
      <c r="Q30" s="652"/>
      <c r="R30" s="737"/>
      <c r="S30" s="1641"/>
      <c r="T30" s="724"/>
      <c r="U30" s="724"/>
      <c r="V30" s="683"/>
      <c r="W30" s="683"/>
      <c r="X30" s="683"/>
      <c r="Y30" s="683"/>
      <c r="Z30" s="683"/>
      <c r="AA30" s="683"/>
      <c r="AB30" s="683"/>
      <c r="AC30" s="683"/>
      <c r="AD30" s="683"/>
      <c r="AE30" s="683"/>
      <c r="AF30" s="683"/>
      <c r="AG30" s="683"/>
      <c r="AH30" s="683"/>
      <c r="AI30" s="683"/>
      <c r="AJ30" s="683"/>
      <c r="AK30" s="683"/>
      <c r="AL30" s="683"/>
      <c r="AM30" s="683"/>
      <c r="AN30" s="683"/>
      <c r="AO30" s="683"/>
      <c r="AP30" s="683"/>
      <c r="AQ30" s="683"/>
      <c r="AR30" s="683"/>
      <c r="AS30" s="683"/>
      <c r="AT30" s="683"/>
      <c r="AU30" s="683"/>
      <c r="AV30" s="683"/>
      <c r="AW30" s="683"/>
      <c r="AX30" s="683"/>
      <c r="AY30" s="683"/>
      <c r="AZ30" s="683"/>
      <c r="BA30" s="683"/>
      <c r="BB30" s="870"/>
    </row>
    <row s="19160" customFormat="1" customHeight="1" ht="25.5">
      <c r="A31" s="1734"/>
      <c r="B31" s="1734"/>
      <c r="C31" s="1734"/>
      <c r="D31" s="1734"/>
      <c r="E31" s="1734"/>
      <c r="F31" s="1734"/>
      <c r="G31" s="1734"/>
      <c r="H31" s="1734"/>
      <c r="I31" s="1734"/>
      <c r="J31" s="1734"/>
      <c r="K31" s="1734"/>
      <c r="L31" s="1735"/>
      <c r="M31" s="1734"/>
      <c r="N31" s="1734"/>
      <c r="O31" s="1734"/>
      <c r="P31" s="1734"/>
      <c r="Q31" s="1734"/>
      <c r="S31" s="2518" t="s">
        <v>38</v>
      </c>
      <c r="T31" s="2518"/>
      <c r="U31" s="1738"/>
      <c r="V31" s="2520" t="str">
        <f>IF(TITLE_NAME_OR_PR_CHANGE="",IF(TITLE_NAME_OR_PR="","",TITLE_NAME_OR_PR),TITLE_NAME_OR_PR_CHANGE)</f>
        <v>Комитет по ценам и тарифам по Московской области</v>
      </c>
      <c r="W31" s="2520"/>
      <c r="X31" s="2520"/>
      <c r="Y31" s="2520"/>
      <c r="Z31" s="2520"/>
      <c r="AA31" s="2520"/>
      <c r="AB31" s="2520"/>
      <c r="AC31" s="687"/>
      <c r="AD31" s="2520" t="str">
        <f>IF(TITLE_NAME_OR_PR_CHANGE="",IF(TITLE_NAME_OR_PR="","",TITLE_NAME_OR_PR),TITLE_NAME_OR_PR_CHANGE)</f>
        <v>Комитет по ценам и тарифам по Московской области</v>
      </c>
      <c r="AE31" s="2520"/>
      <c r="AF31" s="2520"/>
      <c r="AG31" s="2520"/>
      <c r="AH31" s="2520"/>
      <c r="AI31" s="2520"/>
      <c r="AJ31" s="2520"/>
      <c r="AK31" s="2520"/>
      <c r="AL31" s="2520"/>
      <c r="AM31" s="2520"/>
      <c r="AN31" s="2520"/>
      <c r="AO31" s="2520"/>
      <c r="AP31" s="2520"/>
      <c r="AQ31" s="2520"/>
      <c r="AR31" s="2520"/>
      <c r="AS31" s="2520"/>
      <c r="AT31" s="2520"/>
      <c r="AU31" s="2520"/>
      <c r="AV31" s="2520"/>
      <c r="AW31" s="2520"/>
      <c r="AX31" s="2520"/>
      <c r="AY31" s="2520"/>
      <c r="AZ31" s="2520"/>
      <c r="BA31" s="687"/>
      <c r="BB31" s="687"/>
      <c r="BC31" s="641"/>
      <c r="BD31" s="729"/>
      <c r="BE31" s="729"/>
      <c r="BF31" s="729"/>
      <c r="BG31" s="729"/>
      <c r="BH31" s="729"/>
    </row>
    <row s="19160" customFormat="1" customHeight="1" ht="18.75">
      <c r="A32" s="1734"/>
      <c r="B32" s="1734"/>
      <c r="C32" s="1734"/>
      <c r="D32" s="1734"/>
      <c r="E32" s="1734"/>
      <c r="F32" s="1734"/>
      <c r="G32" s="1734"/>
      <c r="H32" s="1734"/>
      <c r="I32" s="1734"/>
      <c r="J32" s="1734"/>
      <c r="K32" s="1734"/>
      <c r="L32" s="1735"/>
      <c r="M32" s="1734"/>
      <c r="N32" s="1734"/>
      <c r="O32" s="1734"/>
      <c r="P32" s="1734"/>
      <c r="Q32" s="1734"/>
      <c r="S32" s="2518" t="s">
        <v>421</v>
      </c>
      <c r="T32" s="2518"/>
      <c r="U32" s="1738"/>
      <c r="V32" s="2519" t="str">
        <f>IF(TITLE_DATE_PR_CHANGE="",IF(TITLE_DATE_PR="","",TITLE_DATE_PR),TITLE_DATE_PR_CHANGE)</f>
        <v>45280.70914351852</v>
      </c>
      <c r="W32" s="2519"/>
      <c r="X32" s="2519"/>
      <c r="Y32" s="2519"/>
      <c r="Z32" s="2519"/>
      <c r="AA32" s="2519"/>
      <c r="AB32" s="2519"/>
      <c r="AC32" s="687"/>
      <c r="AD32" s="2519" t="str">
        <f>IF(TITLE_DATE_PR_CHANGE="",IF(TITLE_DATE_PR="","",TITLE_DATE_PR),TITLE_DATE_PR_CHANGE)</f>
        <v>45280.70914351852</v>
      </c>
      <c r="AE32" s="2519"/>
      <c r="AF32" s="2519"/>
      <c r="AG32" s="2519"/>
      <c r="AH32" s="2519"/>
      <c r="AI32" s="2519"/>
      <c r="AJ32" s="2519"/>
      <c r="AK32" s="2519"/>
      <c r="AL32" s="2519"/>
      <c r="AM32" s="2519"/>
      <c r="AN32" s="2519"/>
      <c r="AO32" s="2519"/>
      <c r="AP32" s="2519"/>
      <c r="AQ32" s="2519"/>
      <c r="AR32" s="2519"/>
      <c r="AS32" s="2519"/>
      <c r="AT32" s="2519"/>
      <c r="AU32" s="2519"/>
      <c r="AV32" s="2519"/>
      <c r="AW32" s="2519"/>
      <c r="AX32" s="2519"/>
      <c r="AY32" s="2519"/>
      <c r="AZ32" s="2519"/>
      <c r="BA32" s="687"/>
      <c r="BB32" s="687"/>
      <c r="BC32" s="641"/>
      <c r="BD32" s="729"/>
      <c r="BE32" s="729"/>
      <c r="BF32" s="729"/>
      <c r="BG32" s="729"/>
      <c r="BH32" s="729"/>
    </row>
    <row s="19160" customFormat="1" customHeight="1" ht="18.75">
      <c r="A33" s="1734"/>
      <c r="B33" s="1734"/>
      <c r="C33" s="1734"/>
      <c r="D33" s="1734"/>
      <c r="E33" s="1734"/>
      <c r="F33" s="1734"/>
      <c r="G33" s="1734"/>
      <c r="H33" s="1734"/>
      <c r="I33" s="1734"/>
      <c r="J33" s="1734"/>
      <c r="K33" s="1734"/>
      <c r="L33" s="1735"/>
      <c r="M33" s="1734"/>
      <c r="N33" s="1734"/>
      <c r="O33" s="1734"/>
      <c r="P33" s="1734"/>
      <c r="Q33" s="1734"/>
      <c r="S33" s="2518" t="s">
        <v>422</v>
      </c>
      <c r="T33" s="2518"/>
      <c r="U33" s="1738"/>
      <c r="V33" s="2520" t="str">
        <f>IF(TITLE_NUMBER_PR_CHANGE="",IF(TITLE_NUMBER_PR="","",TITLE_NUMBER_PR),TITLE_NUMBER_PR_CHANGE)</f>
        <v>317-Р</v>
      </c>
      <c r="W33" s="2520"/>
      <c r="X33" s="2520"/>
      <c r="Y33" s="2520"/>
      <c r="Z33" s="2520"/>
      <c r="AA33" s="2520"/>
      <c r="AB33" s="2520"/>
      <c r="AC33" s="687"/>
      <c r="AD33" s="2520" t="str">
        <f>IF(TITLE_NUMBER_PR_CHANGE="",IF(TITLE_NUMBER_PR="","",TITLE_NUMBER_PR),TITLE_NUMBER_PR_CHANGE)</f>
        <v>317-Р</v>
      </c>
      <c r="AE33" s="2520"/>
      <c r="AF33" s="2520"/>
      <c r="AG33" s="2520"/>
      <c r="AH33" s="2520"/>
      <c r="AI33" s="2520"/>
      <c r="AJ33" s="2520"/>
      <c r="AK33" s="2520"/>
      <c r="AL33" s="2520"/>
      <c r="AM33" s="2520"/>
      <c r="AN33" s="2520"/>
      <c r="AO33" s="2520"/>
      <c r="AP33" s="2520"/>
      <c r="AQ33" s="2520"/>
      <c r="AR33" s="2520"/>
      <c r="AS33" s="2520"/>
      <c r="AT33" s="2520"/>
      <c r="AU33" s="2520"/>
      <c r="AV33" s="2520"/>
      <c r="AW33" s="2520"/>
      <c r="AX33" s="2520"/>
      <c r="AY33" s="2520"/>
      <c r="AZ33" s="2520"/>
      <c r="BA33" s="687"/>
      <c r="BB33" s="687"/>
      <c r="BC33" s="641"/>
      <c r="BD33" s="729"/>
      <c r="BE33" s="729"/>
      <c r="BF33" s="729"/>
      <c r="BG33" s="729"/>
      <c r="BH33" s="729"/>
    </row>
    <row s="19160" customFormat="1" customHeight="1" ht="18.75">
      <c r="A34" s="1734"/>
      <c r="B34" s="1734"/>
      <c r="C34" s="1734"/>
      <c r="D34" s="1734"/>
      <c r="E34" s="1734"/>
      <c r="F34" s="1734"/>
      <c r="G34" s="1734"/>
      <c r="H34" s="1734"/>
      <c r="I34" s="1734"/>
      <c r="J34" s="1734"/>
      <c r="K34" s="1734"/>
      <c r="L34" s="1735"/>
      <c r="M34" s="1734"/>
      <c r="N34" s="1734"/>
      <c r="O34" s="1734"/>
      <c r="P34" s="1734"/>
      <c r="Q34" s="1734"/>
      <c r="S34" s="2518" t="s">
        <v>40</v>
      </c>
      <c r="T34" s="2518"/>
      <c r="U34" s="1738"/>
      <c r="V34"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4" s="2520"/>
      <c r="X34" s="2520"/>
      <c r="Y34" s="2520"/>
      <c r="Z34" s="2520"/>
      <c r="AA34" s="2520"/>
      <c r="AB34" s="2520"/>
      <c r="AC34" s="687"/>
      <c r="AD34"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4" s="2520"/>
      <c r="AF34" s="2520"/>
      <c r="AG34" s="2520"/>
      <c r="AH34" s="2520"/>
      <c r="AI34" s="2520"/>
      <c r="AJ34" s="2520"/>
      <c r="AK34" s="2520"/>
      <c r="AL34" s="2520"/>
      <c r="AM34" s="2520"/>
      <c r="AN34" s="2520"/>
      <c r="AO34" s="2520"/>
      <c r="AP34" s="2520"/>
      <c r="AQ34" s="2520"/>
      <c r="AR34" s="2520"/>
      <c r="AS34" s="2520"/>
      <c r="AT34" s="2520"/>
      <c r="AU34" s="2520"/>
      <c r="AV34" s="2520"/>
      <c r="AW34" s="2520"/>
      <c r="AX34" s="2520"/>
      <c r="AY34" s="2520"/>
      <c r="AZ34" s="2520"/>
      <c r="BA34" s="687"/>
      <c r="BB34" s="687"/>
      <c r="BC34" s="641"/>
      <c r="BD34" s="729"/>
      <c r="BE34" s="729"/>
      <c r="BF34" s="729"/>
      <c r="BG34" s="729"/>
      <c r="BH34" s="729"/>
    </row>
    <row customHeight="1" ht="14.25" hidden="1">
      <c r="Q35" s="652"/>
      <c r="R35" s="737"/>
      <c r="S35" s="1641"/>
      <c r="T35" s="724"/>
      <c r="U35" s="724"/>
      <c r="V35" s="683"/>
      <c r="W35" s="683"/>
      <c r="X35" s="683"/>
      <c r="Y35" s="683"/>
      <c r="Z35" s="683"/>
      <c r="AA35" s="683"/>
      <c r="AB35" s="683"/>
      <c r="AC35" s="683"/>
      <c r="AD35" s="683"/>
      <c r="AE35" s="683"/>
      <c r="AF35" s="683"/>
      <c r="AG35" s="683"/>
      <c r="AH35" s="683"/>
      <c r="AI35" s="683"/>
      <c r="AJ35" s="683"/>
      <c r="AK35" s="683"/>
      <c r="AL35" s="683"/>
      <c r="AM35" s="683"/>
      <c r="AN35" s="683"/>
      <c r="AO35" s="683"/>
      <c r="AP35" s="683"/>
      <c r="AQ35" s="683"/>
      <c r="AR35" s="683"/>
      <c r="AS35" s="683"/>
      <c r="AT35" s="683"/>
      <c r="AU35" s="683"/>
      <c r="AV35" s="683"/>
      <c r="AW35" s="683"/>
      <c r="AX35" s="683"/>
      <c r="AY35" s="683"/>
      <c r="AZ35" s="683"/>
      <c r="BA35" s="683"/>
      <c r="BB35" s="870"/>
    </row>
    <row s="19160" customFormat="1" customHeight="1" ht="18.75" hidden="1">
      <c r="A36" s="1734"/>
      <c r="B36" s="1734"/>
      <c r="C36" s="1734"/>
      <c r="D36" s="1734"/>
      <c r="E36" s="1734"/>
      <c r="F36" s="1734"/>
      <c r="G36" s="1734"/>
      <c r="H36" s="1734"/>
      <c r="I36" s="1734"/>
      <c r="J36" s="1734"/>
      <c r="K36" s="1734"/>
      <c r="L36" s="1735"/>
      <c r="M36" s="1734"/>
      <c r="N36" s="1734"/>
      <c r="O36" s="1734"/>
      <c r="P36" s="1734"/>
      <c r="Q36" s="1734"/>
      <c r="S36" s="2518" t="s">
        <v>421</v>
      </c>
      <c r="T36" s="2518"/>
      <c r="U36" s="1738"/>
      <c r="V36" s="2519" t="str">
        <f>IF(TITLE_DATE_PR_CHANGE="",IF(TITLE_DATE_PR="","",TITLE_DATE_PR),TITLE_DATE_PR_CHANGE)</f>
        <v>45280.70914351852</v>
      </c>
      <c r="W36" s="2519"/>
      <c r="X36" s="2519"/>
      <c r="Y36" s="2519"/>
      <c r="Z36" s="2519"/>
      <c r="AA36" s="2519"/>
      <c r="AB36" s="2519"/>
      <c r="AC36" s="687"/>
      <c r="AD36" s="2519" t="str">
        <f>IF(TITLE_DATE_PR_CHANGE="",IF(TITLE_DATE_PR="","",TITLE_DATE_PR),TITLE_DATE_PR_CHANGE)</f>
        <v>45280.70914351852</v>
      </c>
      <c r="AE36" s="2519"/>
      <c r="AF36" s="2519"/>
      <c r="AG36" s="2519"/>
      <c r="AH36" s="2519"/>
      <c r="AI36" s="2519"/>
      <c r="AJ36" s="2519"/>
      <c r="AK36" s="2519"/>
      <c r="AL36" s="2519"/>
      <c r="AM36" s="2519"/>
      <c r="AN36" s="2519"/>
      <c r="AO36" s="2519"/>
      <c r="AP36" s="2519"/>
      <c r="AQ36" s="2519"/>
      <c r="AR36" s="2519"/>
      <c r="AS36" s="2519"/>
      <c r="AT36" s="2519"/>
      <c r="AU36" s="2519"/>
      <c r="AV36" s="2519"/>
      <c r="AW36" s="2519"/>
      <c r="AX36" s="2519"/>
      <c r="AY36" s="2519"/>
      <c r="AZ36" s="2519"/>
      <c r="BA36" s="687"/>
      <c r="BB36" s="687"/>
      <c r="BC36" s="641"/>
      <c r="BD36" s="729"/>
      <c r="BE36" s="729"/>
      <c r="BF36" s="729"/>
      <c r="BG36" s="729"/>
      <c r="BH36" s="729"/>
    </row>
    <row s="19160" customFormat="1" customHeight="1" ht="18.75" hidden="1">
      <c r="A37" s="1734"/>
      <c r="B37" s="1734"/>
      <c r="C37" s="1734"/>
      <c r="D37" s="1734"/>
      <c r="E37" s="1734"/>
      <c r="F37" s="1734"/>
      <c r="G37" s="1734"/>
      <c r="H37" s="1734"/>
      <c r="I37" s="1734"/>
      <c r="J37" s="1734"/>
      <c r="K37" s="1734"/>
      <c r="L37" s="1735"/>
      <c r="M37" s="1734"/>
      <c r="N37" s="1734"/>
      <c r="O37" s="1734"/>
      <c r="P37" s="1734"/>
      <c r="Q37" s="1734"/>
      <c r="S37" s="2518" t="s">
        <v>422</v>
      </c>
      <c r="T37" s="2518"/>
      <c r="U37" s="1738"/>
      <c r="V37" s="2520" t="str">
        <f>IF(TITLE_NUMBER_PR_CHANGE="",IF(TITLE_NUMBER_PR="","",TITLE_NUMBER_PR),TITLE_NUMBER_PR_CHANGE)</f>
        <v>317-Р</v>
      </c>
      <c r="W37" s="2520"/>
      <c r="X37" s="2520"/>
      <c r="Y37" s="2520"/>
      <c r="Z37" s="2520"/>
      <c r="AA37" s="2520"/>
      <c r="AB37" s="2520"/>
      <c r="AC37" s="687"/>
      <c r="AD37" s="2520" t="str">
        <f>IF(TITLE_NUMBER_PR_CHANGE="",IF(TITLE_NUMBER_PR="","",TITLE_NUMBER_PR),TITLE_NUMBER_PR_CHANGE)</f>
        <v>317-Р</v>
      </c>
      <c r="AE37" s="2520"/>
      <c r="AF37" s="2520"/>
      <c r="AG37" s="2520"/>
      <c r="AH37" s="2520"/>
      <c r="AI37" s="2520"/>
      <c r="AJ37" s="2520"/>
      <c r="AK37" s="2520"/>
      <c r="AL37" s="2520"/>
      <c r="AM37" s="2520"/>
      <c r="AN37" s="2520"/>
      <c r="AO37" s="2520"/>
      <c r="AP37" s="2520"/>
      <c r="AQ37" s="2520"/>
      <c r="AR37" s="2520"/>
      <c r="AS37" s="2520"/>
      <c r="AT37" s="2520"/>
      <c r="AU37" s="2520"/>
      <c r="AV37" s="2520"/>
      <c r="AW37" s="2520"/>
      <c r="AX37" s="2520"/>
      <c r="AY37" s="2520"/>
      <c r="AZ37" s="2520"/>
      <c r="BA37" s="687"/>
      <c r="BB37" s="687"/>
      <c r="BC37" s="641"/>
      <c r="BD37" s="729"/>
      <c r="BE37" s="729"/>
      <c r="BF37" s="729"/>
      <c r="BG37" s="729"/>
      <c r="BH37" s="729"/>
    </row>
    <row s="19160" customFormat="1" customHeight="1" ht="0">
      <c r="A38" s="1734"/>
      <c r="B38" s="1734"/>
      <c r="C38" s="1734"/>
      <c r="D38" s="1734"/>
      <c r="E38" s="1734"/>
      <c r="F38" s="1734"/>
      <c r="G38" s="1734"/>
      <c r="H38" s="1734"/>
      <c r="I38" s="1734"/>
      <c r="J38" s="1734"/>
      <c r="K38" s="1734"/>
      <c r="L38" s="1735"/>
      <c r="M38" s="1734"/>
      <c r="N38" s="1734"/>
      <c r="O38" s="1734"/>
      <c r="P38" s="1734"/>
      <c r="Q38" s="1734"/>
      <c r="S38" s="684"/>
      <c r="T38" s="684"/>
      <c r="U38" s="1854"/>
      <c r="V38" s="687"/>
      <c r="W38" s="687"/>
      <c r="X38" s="687"/>
      <c r="Y38" s="687"/>
      <c r="Z38" s="687"/>
      <c r="AA38" s="687"/>
      <c r="AB38" s="687"/>
      <c r="AC38" s="639" t="s">
        <v>425</v>
      </c>
      <c r="AD38" s="687"/>
      <c r="AE38" s="687"/>
      <c r="AF38" s="687"/>
      <c r="AG38" s="687"/>
      <c r="AH38" s="687"/>
      <c r="AI38" s="687"/>
      <c r="AJ38" s="687"/>
      <c r="AK38" s="687"/>
      <c r="AL38" s="687"/>
      <c r="AM38" s="687"/>
      <c r="AN38" s="687"/>
      <c r="AO38" s="687"/>
      <c r="AP38" s="687"/>
      <c r="AQ38" s="687"/>
      <c r="AR38" s="687"/>
      <c r="AS38" s="687"/>
      <c r="AT38" s="687"/>
      <c r="AU38" s="687"/>
      <c r="AV38" s="687"/>
      <c r="AW38" s="687"/>
      <c r="AX38" s="687"/>
      <c r="AY38" s="687"/>
      <c r="AZ38" s="687"/>
      <c r="BA38" s="639" t="s">
        <v>425</v>
      </c>
      <c r="BD38" s="729"/>
      <c r="BE38" s="729"/>
      <c r="BF38" s="729"/>
      <c r="BG38" s="729"/>
      <c r="BH38" s="729"/>
    </row>
    <row customHeight="1" ht="14.25">
      <c r="Q39" s="652"/>
      <c r="R39" s="737"/>
      <c r="S39" s="1641"/>
      <c r="T39" s="724"/>
      <c r="U39" s="1609"/>
      <c r="V39" s="2544"/>
      <c r="W39" s="2544"/>
      <c r="X39" s="2544"/>
      <c r="Y39" s="2544"/>
      <c r="Z39" s="2544"/>
      <c r="AA39" s="2544"/>
      <c r="AB39" s="2544"/>
      <c r="AC39" s="2544"/>
      <c r="AD39" s="2544"/>
      <c r="AE39" s="2544"/>
      <c r="AF39" s="2544"/>
      <c r="AG39" s="2544"/>
      <c r="AH39" s="2544"/>
      <c r="AI39" s="2544"/>
      <c r="AJ39" s="2544"/>
      <c r="AK39" s="2544"/>
      <c r="AL39" s="2544"/>
      <c r="AM39" s="2544"/>
      <c r="AN39" s="2544"/>
      <c r="AO39" s="2544"/>
      <c r="AP39" s="2544"/>
      <c r="AQ39" s="2544"/>
      <c r="AR39" s="2544"/>
      <c r="AS39" s="2544"/>
      <c r="AT39" s="2544"/>
      <c r="AU39" s="2544"/>
      <c r="AV39" s="2544"/>
      <c r="AW39" s="2544"/>
      <c r="AX39" s="2544"/>
      <c r="AY39" s="2544"/>
      <c r="AZ39" s="2544"/>
      <c r="BA39" s="2544"/>
    </row>
    <row customHeight="1" ht="14.25">
      <c r="Q40" s="652"/>
      <c r="R40" s="737"/>
      <c r="S40" s="2392" t="s">
        <v>300</v>
      </c>
      <c r="T40" s="2392"/>
      <c r="U40" s="2392"/>
      <c r="V40" s="2392"/>
      <c r="W40" s="2392"/>
      <c r="X40" s="2392"/>
      <c r="Y40" s="2392"/>
      <c r="Z40" s="2392"/>
      <c r="AA40" s="2392"/>
      <c r="AB40" s="2392"/>
      <c r="AC40" s="2392"/>
      <c r="AD40" s="2392"/>
      <c r="AE40" s="2392"/>
      <c r="AF40" s="2392"/>
      <c r="AG40" s="2392"/>
      <c r="AH40" s="2392"/>
      <c r="AI40" s="2392"/>
      <c r="AJ40" s="2392"/>
      <c r="AK40" s="2392"/>
      <c r="AL40" s="2392"/>
      <c r="AM40" s="2392"/>
      <c r="AN40" s="2392"/>
      <c r="AO40" s="2392"/>
      <c r="AP40" s="2392"/>
      <c r="AQ40" s="2392"/>
      <c r="AR40" s="2392"/>
      <c r="AS40" s="2392"/>
      <c r="AT40" s="2392"/>
      <c r="AU40" s="2392"/>
      <c r="AV40" s="2392"/>
      <c r="AW40" s="2392"/>
      <c r="AX40" s="2392"/>
      <c r="AY40" s="2392"/>
      <c r="AZ40" s="2392"/>
      <c r="BA40" s="2392"/>
      <c r="BB40" s="2392"/>
      <c r="BC40" s="2392" t="s">
        <v>301</v>
      </c>
    </row>
    <row customHeight="1" ht="14.25">
      <c r="Q41" s="652"/>
      <c r="R41" s="737"/>
      <c r="S41" s="2545" t="s">
        <v>85</v>
      </c>
      <c r="T41" s="2482" t="s">
        <v>505</v>
      </c>
      <c r="U41" s="662"/>
      <c r="V41" s="2546" t="s">
        <v>427</v>
      </c>
      <c r="W41" s="2547"/>
      <c r="X41" s="2547"/>
      <c r="Y41" s="2547"/>
      <c r="Z41" s="2547"/>
      <c r="AA41" s="2547"/>
      <c r="AB41" s="2548"/>
      <c r="AC41" s="2549" t="s">
        <v>428</v>
      </c>
      <c r="AD41" s="2593" t="s">
        <v>522</v>
      </c>
      <c r="AE41" s="2568"/>
      <c r="AF41" s="2568"/>
      <c r="AG41" s="2594"/>
      <c r="AH41" s="2593" t="s">
        <v>523</v>
      </c>
      <c r="AI41" s="2568"/>
      <c r="AJ41" s="2568"/>
      <c r="AK41" s="2594"/>
      <c r="AL41" s="2593" t="s">
        <v>524</v>
      </c>
      <c r="AM41" s="2568"/>
      <c r="AN41" s="2568"/>
      <c r="AO41" s="2594"/>
      <c r="AP41" s="2593" t="s">
        <v>509</v>
      </c>
      <c r="AQ41" s="2568"/>
      <c r="AR41" s="2568"/>
      <c r="AS41" s="2594"/>
      <c r="AT41" s="2546" t="s">
        <v>427</v>
      </c>
      <c r="AU41" s="2547"/>
      <c r="AV41" s="2547"/>
      <c r="AW41" s="2547"/>
      <c r="AX41" s="2547"/>
      <c r="AY41" s="2547"/>
      <c r="AZ41" s="2548"/>
      <c r="BA41" s="2549" t="s">
        <v>428</v>
      </c>
      <c r="BB41" s="2552" t="s">
        <v>430</v>
      </c>
      <c r="BC41" s="2392"/>
    </row>
    <row customHeight="1" ht="33.75">
      <c r="Q42" s="652"/>
      <c r="R42" s="737"/>
      <c r="S42" s="2545"/>
      <c r="T42" s="2482"/>
      <c r="U42" s="1393"/>
      <c r="V42" s="2450" t="s">
        <v>510</v>
      </c>
      <c r="W42" s="2451"/>
      <c r="X42" s="2450" t="s">
        <v>511</v>
      </c>
      <c r="Y42" s="2451"/>
      <c r="Z42" s="2566" t="s">
        <v>512</v>
      </c>
      <c r="AA42" s="2584"/>
      <c r="AB42" s="2585"/>
      <c r="AC42" s="2550"/>
      <c r="AD42" s="2595"/>
      <c r="AE42" s="2596"/>
      <c r="AF42" s="2596"/>
      <c r="AG42" s="2608"/>
      <c r="AH42" s="2595"/>
      <c r="AI42" s="2596"/>
      <c r="AJ42" s="2596"/>
      <c r="AK42" s="2608"/>
      <c r="AL42" s="2595"/>
      <c r="AM42" s="2596"/>
      <c r="AN42" s="2596"/>
      <c r="AO42" s="2608"/>
      <c r="AP42" s="2595"/>
      <c r="AQ42" s="2596"/>
      <c r="AR42" s="2596"/>
      <c r="AS42" s="2608"/>
      <c r="AT42" s="2450" t="s">
        <v>525</v>
      </c>
      <c r="AU42" s="2451"/>
      <c r="AV42" s="2450" t="s">
        <v>526</v>
      </c>
      <c r="AW42" s="2451"/>
      <c r="AX42" s="2566" t="s">
        <v>512</v>
      </c>
      <c r="AY42" s="2584"/>
      <c r="AZ42" s="2585"/>
      <c r="BA42" s="2550"/>
      <c r="BB42" s="2553"/>
      <c r="BC42" s="2392"/>
    </row>
    <row customHeight="1" ht="14.25">
      <c r="Q43" s="652"/>
      <c r="R43" s="737"/>
      <c r="S43" s="2545"/>
      <c r="T43" s="2482"/>
      <c r="U43" s="1393"/>
      <c r="V43" s="2458"/>
      <c r="W43" s="2459"/>
      <c r="X43" s="2458"/>
      <c r="Y43" s="2459"/>
      <c r="Z43" s="2567"/>
      <c r="AA43" s="2586"/>
      <c r="AB43" s="2587"/>
      <c r="AC43" s="2550"/>
      <c r="AD43" s="2595"/>
      <c r="AE43" s="2596"/>
      <c r="AF43" s="2596"/>
      <c r="AG43" s="2608"/>
      <c r="AH43" s="2595"/>
      <c r="AI43" s="2596"/>
      <c r="AJ43" s="2596"/>
      <c r="AK43" s="2608"/>
      <c r="AL43" s="2595"/>
      <c r="AM43" s="2596"/>
      <c r="AN43" s="2596"/>
      <c r="AO43" s="2608"/>
      <c r="AP43" s="2595"/>
      <c r="AQ43" s="2596"/>
      <c r="AR43" s="2596"/>
      <c r="AS43" s="2608"/>
      <c r="AT43" s="2458"/>
      <c r="AU43" s="2459"/>
      <c r="AV43" s="2458"/>
      <c r="AW43" s="2459"/>
      <c r="AX43" s="2567"/>
      <c r="AY43" s="2586"/>
      <c r="AZ43" s="2587"/>
      <c r="BA43" s="2550"/>
      <c r="BB43" s="2553"/>
      <c r="BC43" s="2392"/>
    </row>
    <row customHeight="1" ht="14.25">
      <c r="A44" s="1736"/>
      <c r="B44" s="1736" t="s">
        <v>132</v>
      </c>
      <c r="C44" s="1736" t="s">
        <v>133</v>
      </c>
      <c r="D44" s="1736" t="s">
        <v>134</v>
      </c>
      <c r="E44" s="1730" t="s">
        <v>435</v>
      </c>
      <c r="F44" s="1730" t="s">
        <v>436</v>
      </c>
      <c r="G44" s="1730" t="s">
        <v>437</v>
      </c>
      <c r="H44" s="1730" t="s">
        <v>438</v>
      </c>
      <c r="I44" s="1730" t="s">
        <v>439</v>
      </c>
      <c r="J44" s="1730" t="s">
        <v>440</v>
      </c>
      <c r="K44" s="1730" t="s">
        <v>441</v>
      </c>
      <c r="L44" s="1730" t="s">
        <v>416</v>
      </c>
      <c r="Q44" s="652"/>
      <c r="R44" s="737"/>
      <c r="S44" s="2545"/>
      <c r="T44" s="2482"/>
      <c r="U44" s="663"/>
      <c r="V44" s="1845" t="s">
        <v>476</v>
      </c>
      <c r="W44" s="1845" t="s">
        <v>477</v>
      </c>
      <c r="X44" s="1845" t="s">
        <v>476</v>
      </c>
      <c r="Y44" s="1845" t="s">
        <v>477</v>
      </c>
      <c r="Z44" s="1855" t="s">
        <v>444</v>
      </c>
      <c r="AA44" s="2541" t="s">
        <v>445</v>
      </c>
      <c r="AB44" s="2542"/>
      <c r="AC44" s="2551"/>
      <c r="AD44" s="2597"/>
      <c r="AE44" s="2598"/>
      <c r="AF44" s="2598"/>
      <c r="AG44" s="2599"/>
      <c r="AH44" s="2597"/>
      <c r="AI44" s="2598"/>
      <c r="AJ44" s="2598"/>
      <c r="AK44" s="2599"/>
      <c r="AL44" s="2597"/>
      <c r="AM44" s="2598"/>
      <c r="AN44" s="2598"/>
      <c r="AO44" s="2599"/>
      <c r="AP44" s="2597"/>
      <c r="AQ44" s="2598"/>
      <c r="AR44" s="2598"/>
      <c r="AS44" s="2599"/>
      <c r="AT44" s="1845" t="s">
        <v>476</v>
      </c>
      <c r="AU44" s="1845" t="s">
        <v>477</v>
      </c>
      <c r="AV44" s="1845" t="s">
        <v>476</v>
      </c>
      <c r="AW44" s="1845" t="s">
        <v>477</v>
      </c>
      <c r="AX44" s="1855" t="s">
        <v>444</v>
      </c>
      <c r="AY44" s="2541" t="s">
        <v>445</v>
      </c>
      <c r="AZ44" s="2542"/>
      <c r="BA44" s="2551"/>
      <c r="BB44" s="2554"/>
      <c r="BC44" s="2392"/>
    </row>
    <row s="18977" customFormat="1" customHeight="1" ht="11.25" hidden="1">
      <c r="A45" s="1736"/>
      <c r="B45" s="1736"/>
      <c r="C45" s="1736"/>
      <c r="D45" s="1736"/>
      <c r="E45" s="1736"/>
      <c r="F45" s="1736"/>
      <c r="G45" s="1736"/>
      <c r="H45" s="1736"/>
      <c r="I45" s="1736"/>
      <c r="J45" s="1736"/>
      <c r="K45" s="1736"/>
      <c r="L45" s="1730"/>
      <c r="M45" s="1728"/>
      <c r="N45" s="1728"/>
      <c r="O45" s="1728"/>
      <c r="P45" s="871"/>
      <c r="Q45" s="1619"/>
      <c r="R45" s="1619">
        <v>1</v>
      </c>
      <c r="S45" s="1643" t="s">
        <v>106</v>
      </c>
      <c r="T45" s="1620" t="s">
        <v>107</v>
      </c>
      <c r="U45" s="1610" t="str">
        <f>OFFSET(U45,0,-1)</f>
        <v>2</v>
      </c>
      <c r="V45" s="1848">
        <f>OFFSET(V45,0,-1)+1</f>
        <v>3</v>
      </c>
      <c r="W45" s="1848">
        <f>OFFSET(W45,0,-1)+1</f>
        <v>4</v>
      </c>
      <c r="X45" s="1848">
        <f>OFFSET(X45,0,-1)+1</f>
        <v>5</v>
      </c>
      <c r="Y45" s="1848">
        <f>OFFSET(Y45,0,-1)+1</f>
        <v>6</v>
      </c>
      <c r="Z45" s="1848">
        <f>OFFSET(Z45,0,-1)+1</f>
        <v>7</v>
      </c>
      <c r="AA45" s="2543">
        <f>OFFSET(AA45,0,-1)+1</f>
        <v>8</v>
      </c>
      <c r="AB45" s="2543"/>
      <c r="AC45" s="1848">
        <f>OFFSET(AC45,0,-2)+1</f>
        <v>9</v>
      </c>
      <c r="AD45" s="1848">
        <f>OFFSET(AD45,0,-1)+1</f>
        <v>10</v>
      </c>
      <c r="AE45" s="1848"/>
      <c r="AF45" s="1848"/>
      <c r="AG45" s="1848"/>
      <c r="AH45" s="1848"/>
      <c r="AI45" s="1848"/>
      <c r="AJ45" s="1848"/>
      <c r="AK45" s="1848"/>
      <c r="AL45" s="1848"/>
      <c r="AM45" s="1848"/>
      <c r="AN45" s="1848"/>
      <c r="AO45" s="1848"/>
      <c r="AP45" s="1848"/>
      <c r="AQ45" s="1848"/>
      <c r="AR45" s="1848"/>
      <c r="AS45" s="1848"/>
      <c r="AT45" s="1848"/>
      <c r="AU45" s="1848"/>
      <c r="AV45" s="1848"/>
      <c r="AW45" s="1848">
        <f>OFFSET(AW45,0,-1)+1</f>
        <v>1</v>
      </c>
      <c r="AX45" s="1848">
        <f>OFFSET(AX45,0,-1)+1</f>
        <v>2</v>
      </c>
      <c r="AY45" s="2543">
        <f>OFFSET(AY45,0,-1)+1</f>
        <v>3</v>
      </c>
      <c r="AZ45" s="2543"/>
      <c r="BA45" s="1848">
        <f>OFFSET(BA45,0,-2)+1</f>
        <v>4</v>
      </c>
      <c r="BB45" s="1610">
        <f>OFFSET(BB45,0,-1)</f>
        <v>4</v>
      </c>
      <c r="BC45" s="1848">
        <f>OFFSET(BC45,0,-1)+1</f>
        <v>5</v>
      </c>
      <c r="BD45" s="872"/>
      <c r="BE45" s="872"/>
      <c r="BF45" s="872"/>
      <c r="BG45" s="872"/>
      <c r="BH45" s="872"/>
    </row>
    <row customHeight="1" ht="21">
      <c r="A46" s="1729" t="s">
        <v>276</v>
      </c>
      <c r="B46" s="1729"/>
      <c r="C46" s="1729"/>
      <c r="D46" s="1729"/>
      <c r="E46" s="2527">
        <v>1</v>
      </c>
      <c r="F46" s="1729"/>
      <c r="G46" s="1729"/>
      <c r="H46" s="1729"/>
      <c r="I46" s="1729"/>
      <c r="J46" s="1729"/>
      <c r="K46" s="1729"/>
      <c r="L46" s="1730"/>
      <c r="M46" s="1731"/>
      <c r="N46" s="1731"/>
      <c r="O46" s="1731"/>
      <c r="P46" s="1775"/>
      <c r="Q46" s="1234"/>
      <c r="R46" s="716"/>
      <c r="S46" s="1859">
        <f>INDEX(PT_DIFFERENTIATION_NUM_NTAR,MATCH(A46,PT_DIFFERENTIATION_NTAR_ID,0))</f>
        <v>0</v>
      </c>
      <c r="T46" s="659" t="s">
        <v>120</v>
      </c>
      <c r="U46" s="661"/>
      <c r="V46" s="2522"/>
      <c r="W46" s="2522"/>
      <c r="X46" s="2522"/>
      <c r="Y46" s="2522"/>
      <c r="Z46" s="2522"/>
      <c r="AA46" s="2522"/>
      <c r="AB46" s="2522"/>
      <c r="AC46" s="2523"/>
      <c r="AD46" s="2521" t="str">
        <f>INDEX(PT_DIFFERENTIATION_NTAR,MATCH(A46,PT_DIFFERENTIATION_NTAR_ID,0))</f>
        <v/>
      </c>
      <c r="AE46" s="2522"/>
      <c r="AF46" s="2522"/>
      <c r="AG46" s="2522"/>
      <c r="AH46" s="2522"/>
      <c r="AI46" s="2522"/>
      <c r="AJ46" s="2522"/>
      <c r="AK46" s="2522"/>
      <c r="AL46" s="2522"/>
      <c r="AM46" s="2522"/>
      <c r="AN46" s="2522"/>
      <c r="AO46" s="2522"/>
      <c r="AP46" s="2522"/>
      <c r="AQ46" s="2522"/>
      <c r="AR46" s="2522"/>
      <c r="AS46" s="2522"/>
      <c r="AT46" s="2522"/>
      <c r="AU46" s="2522"/>
      <c r="AV46" s="2522"/>
      <c r="AW46" s="2522"/>
      <c r="AX46" s="2522"/>
      <c r="AY46" s="2522"/>
      <c r="AZ46" s="2522"/>
      <c r="BA46" s="2522"/>
      <c r="BB46" s="2523"/>
      <c r="BC46" s="16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861"/>
      <c r="BF46" s="861" t="str">
        <f>IF(T46="","",T46)</f>
        <v>Наименование тарифа</v>
      </c>
      <c r="BG46" s="861"/>
      <c r="BH46" s="861"/>
    </row>
    <row customHeight="1" ht="21">
      <c r="A47" s="1729" t="s">
        <v>276</v>
      </c>
      <c r="B47" s="1729" t="s">
        <v>277</v>
      </c>
      <c r="C47" s="1729"/>
      <c r="D47" s="1729"/>
      <c r="E47" s="2528"/>
      <c r="F47" s="2527">
        <v>1</v>
      </c>
      <c r="G47" s="1729"/>
      <c r="H47" s="1729"/>
      <c r="I47" s="1729"/>
      <c r="J47" s="1729"/>
      <c r="K47" s="1729"/>
      <c r="L47" s="1730"/>
      <c r="M47" s="1731"/>
      <c r="N47" s="1731"/>
      <c r="O47" s="1731"/>
      <c r="P47" s="1776"/>
      <c r="Q47" s="1777"/>
      <c r="R47" s="714"/>
      <c r="S47" s="1859" t="str">
        <f>INDEX(PT_DIFFERENTIATION_NUM_TER,MATCH(B47,PT_DIFFERENTIATION_TER_ID,0))</f>
        <v>.</v>
      </c>
      <c r="T47" s="669" t="s">
        <v>397</v>
      </c>
      <c r="U47" s="661"/>
      <c r="V47" s="2522"/>
      <c r="W47" s="2522"/>
      <c r="X47" s="2522"/>
      <c r="Y47" s="2522"/>
      <c r="Z47" s="2522"/>
      <c r="AA47" s="2522"/>
      <c r="AB47" s="2522"/>
      <c r="AC47" s="2523"/>
      <c r="AD47" s="2521" t="str">
        <f>INDEX(PT_DIFFERENTIATION_TER,MATCH(B47,PT_DIFFERENTIATION_TER_ID,0))</f>
        <v/>
      </c>
      <c r="AE47" s="2522"/>
      <c r="AF47" s="2522"/>
      <c r="AG47" s="2522"/>
      <c r="AH47" s="2522"/>
      <c r="AI47" s="2522"/>
      <c r="AJ47" s="2522"/>
      <c r="AK47" s="2522"/>
      <c r="AL47" s="2522"/>
      <c r="AM47" s="2522"/>
      <c r="AN47" s="2522"/>
      <c r="AO47" s="2522"/>
      <c r="AP47" s="2522"/>
      <c r="AQ47" s="2522"/>
      <c r="AR47" s="2522"/>
      <c r="AS47" s="2522"/>
      <c r="AT47" s="2522"/>
      <c r="AU47" s="2522"/>
      <c r="AV47" s="2522"/>
      <c r="AW47" s="2522"/>
      <c r="AX47" s="2522"/>
      <c r="AY47" s="2522"/>
      <c r="AZ47" s="2522"/>
      <c r="BA47" s="2522"/>
      <c r="BB47" s="2523"/>
      <c r="BC47" s="1623" t="s">
        <v>398</v>
      </c>
      <c r="BE47" s="861"/>
      <c r="BF47" s="861" t="str">
        <f>IF(T47="","",T47)</f>
        <v>Территория действия тарифа</v>
      </c>
      <c r="BG47" s="861"/>
      <c r="BH47" s="861"/>
    </row>
    <row customHeight="1" ht="33.75">
      <c r="A48" s="1729" t="s">
        <v>276</v>
      </c>
      <c r="B48" s="1729" t="s">
        <v>277</v>
      </c>
      <c r="C48" s="1729" t="s">
        <v>278</v>
      </c>
      <c r="D48" s="1729"/>
      <c r="E48" s="2528"/>
      <c r="F48" s="2528"/>
      <c r="G48" s="2527">
        <v>1</v>
      </c>
      <c r="H48" s="1729"/>
      <c r="I48" s="1729"/>
      <c r="J48" s="1729"/>
      <c r="K48" s="1729"/>
      <c r="L48" s="1730"/>
      <c r="M48" s="1731"/>
      <c r="N48" s="1731"/>
      <c r="O48" s="1731"/>
      <c r="P48" s="1778"/>
      <c r="Q48" s="1777"/>
      <c r="R48" s="714"/>
      <c r="S48" s="1859" t="str">
        <f>INDEX(PT_DIFFERENTIATION_NUM_CS,MATCH(C48,PT_DIFFERENTIATION_CS_ID,0))</f>
        <v>..</v>
      </c>
      <c r="T48" s="670" t="s">
        <v>514</v>
      </c>
      <c r="U48" s="661"/>
      <c r="V48" s="2522"/>
      <c r="W48" s="2522"/>
      <c r="X48" s="2522"/>
      <c r="Y48" s="2522"/>
      <c r="Z48" s="2522"/>
      <c r="AA48" s="2522"/>
      <c r="AB48" s="2522"/>
      <c r="AC48" s="2523"/>
      <c r="AD48" s="2521" t="str">
        <f>INDEX(PT_DIFFERENTIATION_CS,MATCH(C48,PT_DIFFERENTIATION_CS_ID,0))</f>
        <v/>
      </c>
      <c r="AE48" s="2522"/>
      <c r="AF48" s="2522"/>
      <c r="AG48" s="2522"/>
      <c r="AH48" s="2522"/>
      <c r="AI48" s="2522"/>
      <c r="AJ48" s="2522"/>
      <c r="AK48" s="2522"/>
      <c r="AL48" s="2522"/>
      <c r="AM48" s="2522"/>
      <c r="AN48" s="2522"/>
      <c r="AO48" s="2522"/>
      <c r="AP48" s="2522"/>
      <c r="AQ48" s="2522"/>
      <c r="AR48" s="2522"/>
      <c r="AS48" s="2522"/>
      <c r="AT48" s="2522"/>
      <c r="AU48" s="2522"/>
      <c r="AV48" s="2522"/>
      <c r="AW48" s="2522"/>
      <c r="AX48" s="2522"/>
      <c r="AY48" s="2522"/>
      <c r="AZ48" s="2522"/>
      <c r="BA48" s="2522"/>
      <c r="BB48" s="2523"/>
      <c r="BC48" s="1623" t="s">
        <v>515</v>
      </c>
      <c r="BE48" s="861"/>
      <c r="BF48" s="861" t="str">
        <f>IF(T48="","",T48)</f>
        <v>Наименование централизованной системы водоотведения</v>
      </c>
      <c r="BG48" s="861"/>
      <c r="BH48" s="861"/>
    </row>
    <row s="19219" customFormat="1" customHeight="1" ht="0">
      <c r="A49" s="1709" t="s">
        <v>276</v>
      </c>
      <c r="B49" s="1709" t="s">
        <v>277</v>
      </c>
      <c r="C49" s="1709" t="s">
        <v>278</v>
      </c>
      <c r="D49" s="1709" t="s">
        <v>527</v>
      </c>
      <c r="E49" s="2528"/>
      <c r="F49" s="2528"/>
      <c r="G49" s="2528"/>
      <c r="H49" s="2527">
        <v>1</v>
      </c>
      <c r="I49" s="1709"/>
      <c r="J49" s="1709"/>
      <c r="K49" s="1709"/>
      <c r="L49" s="1712"/>
      <c r="M49" s="1681"/>
      <c r="N49" s="1681"/>
      <c r="O49" s="1681"/>
      <c r="P49" s="1863"/>
      <c r="Q49" s="1864"/>
      <c r="R49" s="718"/>
      <c r="S49" s="1404"/>
      <c r="T49" s="1865"/>
      <c r="U49" s="1750"/>
      <c r="V49" s="2570"/>
      <c r="W49" s="2570"/>
      <c r="X49" s="2570"/>
      <c r="Y49" s="2570"/>
      <c r="Z49" s="2570"/>
      <c r="AA49" s="2570"/>
      <c r="AB49" s="2570"/>
      <c r="AC49" s="2571"/>
      <c r="AD49" s="2569"/>
      <c r="AE49" s="2570"/>
      <c r="AF49" s="2570"/>
      <c r="AG49" s="2570"/>
      <c r="AH49" s="2570"/>
      <c r="AI49" s="2570"/>
      <c r="AJ49" s="2570"/>
      <c r="AK49" s="2570"/>
      <c r="AL49" s="2570"/>
      <c r="AM49" s="2570"/>
      <c r="AN49" s="2570"/>
      <c r="AO49" s="2570"/>
      <c r="AP49" s="2570"/>
      <c r="AQ49" s="2570"/>
      <c r="AR49" s="2570"/>
      <c r="AS49" s="2570"/>
      <c r="AT49" s="2570"/>
      <c r="AU49" s="2570"/>
      <c r="AV49" s="2570"/>
      <c r="AW49" s="2570"/>
      <c r="AX49" s="2570"/>
      <c r="AY49" s="2570"/>
      <c r="AZ49" s="2570"/>
      <c r="BA49" s="2570"/>
      <c r="BB49" s="2571"/>
      <c r="BC49" s="1751" t="s">
        <v>402</v>
      </c>
      <c r="BE49" s="861"/>
      <c r="BF49" s="861" t="str">
        <f>IF(T49="","",T49)</f>
        <v/>
      </c>
      <c r="BG49" s="861"/>
      <c r="BH49" s="861"/>
    </row>
    <row s="19219" customFormat="1" customHeight="1" ht="0">
      <c r="A50" s="1709" t="s">
        <v>276</v>
      </c>
      <c r="B50" s="1709" t="s">
        <v>277</v>
      </c>
      <c r="C50" s="1709" t="s">
        <v>278</v>
      </c>
      <c r="D50" s="1709" t="s">
        <v>527</v>
      </c>
      <c r="E50" s="2528"/>
      <c r="F50" s="2528"/>
      <c r="G50" s="2528"/>
      <c r="H50" s="2528"/>
      <c r="I50" s="2529" t="str">
        <f>S49&amp;".1"</f>
        <v>.1</v>
      </c>
      <c r="J50" s="1709"/>
      <c r="K50" s="1709"/>
      <c r="L50" s="1712" t="s">
        <v>403</v>
      </c>
      <c r="M50" s="871"/>
      <c r="N50" s="871"/>
      <c r="O50" s="871"/>
      <c r="P50" s="2531">
        <v>1</v>
      </c>
      <c r="Q50" s="1847"/>
      <c r="R50" s="717"/>
      <c r="S50" s="1404"/>
      <c r="T50" s="1749"/>
      <c r="U50" s="1750"/>
      <c r="V50" s="2570"/>
      <c r="W50" s="2570"/>
      <c r="X50" s="2570"/>
      <c r="Y50" s="2570"/>
      <c r="Z50" s="2570"/>
      <c r="AA50" s="2570"/>
      <c r="AB50" s="2570"/>
      <c r="AC50" s="2571"/>
      <c r="AD50" s="2569"/>
      <c r="AE50" s="2570"/>
      <c r="AF50" s="2570"/>
      <c r="AG50" s="2570"/>
      <c r="AH50" s="2570"/>
      <c r="AI50" s="2570"/>
      <c r="AJ50" s="2570"/>
      <c r="AK50" s="2570"/>
      <c r="AL50" s="2570"/>
      <c r="AM50" s="2570"/>
      <c r="AN50" s="2570"/>
      <c r="AO50" s="2570"/>
      <c r="AP50" s="2570"/>
      <c r="AQ50" s="2570"/>
      <c r="AR50" s="2570"/>
      <c r="AS50" s="2570"/>
      <c r="AT50" s="2570"/>
      <c r="AU50" s="2570"/>
      <c r="AV50" s="2570"/>
      <c r="AW50" s="2570"/>
      <c r="AX50" s="2570"/>
      <c r="AY50" s="2570"/>
      <c r="AZ50" s="2570"/>
      <c r="BA50" s="2570"/>
      <c r="BB50" s="2571"/>
      <c r="BC50" s="1751"/>
      <c r="BE50" s="861"/>
      <c r="BF50" s="861" t="str">
        <f>IF(T50="","",T50)</f>
        <v/>
      </c>
      <c r="BG50" s="861"/>
      <c r="BH50" s="861"/>
    </row>
    <row s="19219" customFormat="1" customHeight="1" ht="0">
      <c r="A51" s="1709" t="s">
        <v>276</v>
      </c>
      <c r="B51" s="1709" t="s">
        <v>277</v>
      </c>
      <c r="C51" s="1709" t="s">
        <v>278</v>
      </c>
      <c r="D51" s="1709" t="s">
        <v>527</v>
      </c>
      <c r="E51" s="2528"/>
      <c r="F51" s="2528"/>
      <c r="G51" s="2528"/>
      <c r="H51" s="2528"/>
      <c r="I51" s="2530"/>
      <c r="J51" s="2529" t="str">
        <f>S49&amp;".1"</f>
        <v>.1</v>
      </c>
      <c r="K51" s="1709"/>
      <c r="L51" s="1712"/>
      <c r="M51" s="871"/>
      <c r="N51" s="871"/>
      <c r="O51" s="871"/>
      <c r="P51" s="2531"/>
      <c r="Q51" s="2531">
        <v>1</v>
      </c>
      <c r="R51" s="718"/>
      <c r="S51" s="1404"/>
      <c r="T51" s="1765"/>
      <c r="U51" s="1750"/>
      <c r="V51" s="2570"/>
      <c r="W51" s="2570"/>
      <c r="X51" s="2570"/>
      <c r="Y51" s="2570"/>
      <c r="Z51" s="2570"/>
      <c r="AA51" s="2570"/>
      <c r="AB51" s="2570"/>
      <c r="AC51" s="2571"/>
      <c r="AD51" s="2569"/>
      <c r="AE51" s="2570"/>
      <c r="AF51" s="2570"/>
      <c r="AG51" s="2570"/>
      <c r="AH51" s="2570"/>
      <c r="AI51" s="2570"/>
      <c r="AJ51" s="2570"/>
      <c r="AK51" s="2570"/>
      <c r="AL51" s="2570"/>
      <c r="AM51" s="2570"/>
      <c r="AN51" s="2630"/>
      <c r="AO51" s="2630"/>
      <c r="AP51" s="2570"/>
      <c r="AQ51" s="2570"/>
      <c r="AR51" s="2570"/>
      <c r="AS51" s="2570"/>
      <c r="AT51" s="2570"/>
      <c r="AU51" s="2570"/>
      <c r="AV51" s="2570"/>
      <c r="AW51" s="2570"/>
      <c r="AX51" s="2570"/>
      <c r="AY51" s="2570"/>
      <c r="AZ51" s="2570"/>
      <c r="BA51" s="2570"/>
      <c r="BB51" s="2571"/>
      <c r="BC51" s="1751"/>
      <c r="BE51" s="861"/>
      <c r="BF51" s="861" t="str">
        <f>IF(T51="","",T51)</f>
        <v/>
      </c>
      <c r="BG51" s="861"/>
      <c r="BH51" s="861"/>
    </row>
    <row customHeight="1" ht="11.25">
      <c r="A52" s="1729" t="s">
        <v>276</v>
      </c>
      <c r="B52" s="1729" t="s">
        <v>277</v>
      </c>
      <c r="C52" s="1729" t="s">
        <v>278</v>
      </c>
      <c r="D52" s="1729" t="s">
        <v>527</v>
      </c>
      <c r="E52" s="2528"/>
      <c r="F52" s="2528"/>
      <c r="G52" s="2528"/>
      <c r="H52" s="2528"/>
      <c r="I52" s="2530"/>
      <c r="J52" s="2530"/>
      <c r="K52" s="2529" t="str">
        <f>S48&amp;".1"</f>
        <v>...1</v>
      </c>
      <c r="L52" s="1730"/>
      <c r="P52" s="2531"/>
      <c r="Q52" s="2531"/>
      <c r="R52" s="718">
        <v>1</v>
      </c>
      <c r="S52" s="2604" t="str">
        <f>$K52</f>
        <v>...1</v>
      </c>
      <c r="T52" s="2624"/>
      <c r="U52" s="661"/>
      <c r="V52" s="1112"/>
      <c r="W52" s="1622"/>
      <c r="X52" s="1112"/>
      <c r="Y52" s="1622"/>
      <c r="Z52" s="2100"/>
      <c r="AA52" s="1835" t="s">
        <v>59</v>
      </c>
      <c r="AB52" s="2100"/>
      <c r="AC52" s="1835" t="s">
        <v>59</v>
      </c>
      <c r="AD52" s="2465" t="s">
        <v>59</v>
      </c>
      <c r="AE52" s="2600"/>
      <c r="AF52" s="2478">
        <v>1</v>
      </c>
      <c r="AG52" s="2623"/>
      <c r="AH52" s="2402" t="s">
        <v>59</v>
      </c>
      <c r="AI52" s="2600"/>
      <c r="AJ52" s="2478">
        <v>1</v>
      </c>
      <c r="AK52" s="2622" t="s">
        <v>24</v>
      </c>
      <c r="AL52" s="2402" t="s">
        <v>59</v>
      </c>
      <c r="AM52" s="2450"/>
      <c r="AN52" s="2478">
        <v>1</v>
      </c>
      <c r="AO52" s="2627"/>
      <c r="AP52" s="2628" t="s">
        <v>59</v>
      </c>
      <c r="AQ52" s="672"/>
      <c r="AR52" s="1852">
        <v>1</v>
      </c>
      <c r="AS52" s="1858" t="s">
        <v>24</v>
      </c>
      <c r="AT52" s="1112"/>
      <c r="AU52" s="1622"/>
      <c r="AV52" s="1112"/>
      <c r="AW52" s="1622"/>
      <c r="AX52" s="2100"/>
      <c r="AY52" s="1835" t="s">
        <v>59</v>
      </c>
      <c r="AZ52" s="2100"/>
      <c r="BA52" s="1835" t="s">
        <v>59</v>
      </c>
      <c r="BB52" s="1714"/>
      <c r="BC52" s="2557" t="s">
        <v>499</v>
      </c>
      <c r="BE52" s="861"/>
      <c r="BF52" s="861" t="str">
        <f>IF(T52="","",T52)</f>
        <v/>
      </c>
      <c r="BG52" s="861"/>
      <c r="BH52" s="861"/>
    </row>
    <row customHeight="1" ht="11.25">
      <c r="A53" s="1729"/>
      <c r="B53" s="1729"/>
      <c r="C53" s="1729"/>
      <c r="D53" s="1729"/>
      <c r="E53" s="2528"/>
      <c r="F53" s="2528"/>
      <c r="G53" s="2528"/>
      <c r="H53" s="2528"/>
      <c r="I53" s="2530"/>
      <c r="J53" s="2530"/>
      <c r="K53" s="2529"/>
      <c r="L53" s="1730"/>
      <c r="P53" s="2531"/>
      <c r="Q53" s="2531"/>
      <c r="R53" s="718"/>
      <c r="S53" s="2605"/>
      <c r="T53" s="2625"/>
      <c r="U53" s="661"/>
      <c r="V53" s="1759"/>
      <c r="W53" s="1862"/>
      <c r="X53" s="1759"/>
      <c r="Y53" s="1862"/>
      <c r="Z53" s="1759"/>
      <c r="AA53" s="1759"/>
      <c r="AB53" s="1759"/>
      <c r="AC53" s="1759"/>
      <c r="AD53" s="2466"/>
      <c r="AE53" s="2600"/>
      <c r="AF53" s="2478"/>
      <c r="AG53" s="2623"/>
      <c r="AH53" s="2402"/>
      <c r="AI53" s="2600"/>
      <c r="AJ53" s="2478"/>
      <c r="AK53" s="2622"/>
      <c r="AL53" s="2402"/>
      <c r="AM53" s="2458"/>
      <c r="AN53" s="2478"/>
      <c r="AO53" s="2627"/>
      <c r="AP53" s="2629"/>
      <c r="AQ53" s="677"/>
      <c r="AR53" s="777"/>
      <c r="AS53" s="777" t="s">
        <v>500</v>
      </c>
      <c r="AT53" s="1759"/>
      <c r="AU53" s="1862"/>
      <c r="AV53" s="1759"/>
      <c r="AW53" s="1862"/>
      <c r="AX53" s="1759"/>
      <c r="AY53" s="1759"/>
      <c r="AZ53" s="1759"/>
      <c r="BA53" s="1759"/>
      <c r="BB53" s="1763"/>
      <c r="BC53" s="2558"/>
      <c r="BE53" s="861"/>
      <c r="BF53" s="861"/>
      <c r="BG53" s="861"/>
      <c r="BH53" s="861"/>
    </row>
    <row customHeight="1" ht="11.25">
      <c r="A54" s="1729" t="s">
        <v>276</v>
      </c>
      <c r="B54" s="1729"/>
      <c r="C54" s="1729"/>
      <c r="D54" s="1729"/>
      <c r="E54" s="2528"/>
      <c r="F54" s="2528"/>
      <c r="G54" s="2528"/>
      <c r="H54" s="2528"/>
      <c r="I54" s="2530"/>
      <c r="J54" s="2530"/>
      <c r="K54" s="2529"/>
      <c r="L54" s="1730"/>
      <c r="P54" s="2531"/>
      <c r="Q54" s="2531"/>
      <c r="R54" s="718"/>
      <c r="S54" s="2605"/>
      <c r="T54" s="2625"/>
      <c r="U54" s="661"/>
      <c r="V54" s="1759"/>
      <c r="W54" s="1862"/>
      <c r="X54" s="1759"/>
      <c r="Y54" s="1862"/>
      <c r="Z54" s="1759"/>
      <c r="AA54" s="1759"/>
      <c r="AB54" s="1759"/>
      <c r="AC54" s="1759"/>
      <c r="AD54" s="2466"/>
      <c r="AE54" s="2600"/>
      <c r="AF54" s="2478"/>
      <c r="AG54" s="2623"/>
      <c r="AH54" s="2402"/>
      <c r="AI54" s="2600"/>
      <c r="AJ54" s="2478"/>
      <c r="AK54" s="2622"/>
      <c r="AL54" s="2402"/>
      <c r="AM54" s="677"/>
      <c r="AN54" s="1866"/>
      <c r="AO54" s="1866" t="s">
        <v>520</v>
      </c>
      <c r="AP54" s="777"/>
      <c r="AQ54" s="777"/>
      <c r="AR54" s="777"/>
      <c r="AS54" s="1759"/>
      <c r="AT54" s="1759"/>
      <c r="AU54" s="1862"/>
      <c r="AV54" s="1759"/>
      <c r="AW54" s="1862"/>
      <c r="AX54" s="1759"/>
      <c r="AY54" s="1759"/>
      <c r="AZ54" s="1759"/>
      <c r="BA54" s="1759"/>
      <c r="BB54" s="1763"/>
      <c r="BC54" s="2558"/>
      <c r="BE54" s="861"/>
      <c r="BF54" s="861"/>
      <c r="BG54" s="861"/>
      <c r="BH54" s="861"/>
    </row>
    <row customHeight="1" ht="11.25">
      <c r="A55" s="1729" t="s">
        <v>276</v>
      </c>
      <c r="B55" s="1729"/>
      <c r="C55" s="1729"/>
      <c r="D55" s="1729"/>
      <c r="E55" s="2528"/>
      <c r="F55" s="2528"/>
      <c r="G55" s="2528"/>
      <c r="H55" s="2528"/>
      <c r="I55" s="2530"/>
      <c r="J55" s="2530"/>
      <c r="K55" s="2529"/>
      <c r="L55" s="1730"/>
      <c r="P55" s="2531"/>
      <c r="Q55" s="2531"/>
      <c r="R55" s="718"/>
      <c r="S55" s="2605"/>
      <c r="T55" s="2625"/>
      <c r="U55" s="661"/>
      <c r="V55" s="1759"/>
      <c r="W55" s="1862"/>
      <c r="X55" s="1759"/>
      <c r="Y55" s="1862"/>
      <c r="Z55" s="1759"/>
      <c r="AA55" s="1759"/>
      <c r="AB55" s="1759"/>
      <c r="AC55" s="1759"/>
      <c r="AD55" s="2466"/>
      <c r="AE55" s="2600"/>
      <c r="AF55" s="2478"/>
      <c r="AG55" s="2623"/>
      <c r="AH55" s="2402"/>
      <c r="AI55" s="655"/>
      <c r="AJ55" s="776"/>
      <c r="AK55" s="674" t="s">
        <v>521</v>
      </c>
      <c r="AL55" s="1759"/>
      <c r="AM55" s="1759"/>
      <c r="AN55" s="1759"/>
      <c r="AO55" s="1759"/>
      <c r="AP55" s="1759"/>
      <c r="AQ55" s="1759"/>
      <c r="AR55" s="1759"/>
      <c r="AS55" s="1759"/>
      <c r="AT55" s="1759"/>
      <c r="AU55" s="1862"/>
      <c r="AV55" s="1759"/>
      <c r="AW55" s="1862"/>
      <c r="AX55" s="1759"/>
      <c r="AY55" s="1759"/>
      <c r="AZ55" s="1759"/>
      <c r="BA55" s="1759"/>
      <c r="BB55" s="1763"/>
      <c r="BC55" s="2558"/>
      <c r="BE55" s="861"/>
      <c r="BF55" s="861"/>
      <c r="BG55" s="861"/>
      <c r="BH55" s="861"/>
    </row>
    <row customHeight="1" ht="11.25">
      <c r="A56" s="1729" t="s">
        <v>276</v>
      </c>
      <c r="B56" s="1729" t="s">
        <v>277</v>
      </c>
      <c r="C56" s="1729" t="s">
        <v>278</v>
      </c>
      <c r="D56" s="1729" t="s">
        <v>527</v>
      </c>
      <c r="E56" s="2528"/>
      <c r="F56" s="2528"/>
      <c r="G56" s="2528"/>
      <c r="H56" s="2528"/>
      <c r="I56" s="2530"/>
      <c r="J56" s="2530"/>
      <c r="K56" s="2529"/>
      <c r="L56" s="1730"/>
      <c r="P56" s="2531"/>
      <c r="Q56" s="2531"/>
      <c r="R56" s="718"/>
      <c r="S56" s="2606"/>
      <c r="T56" s="2626"/>
      <c r="U56" s="661"/>
      <c r="V56" s="1759"/>
      <c r="W56" s="1760" t="str">
        <f>Z52&amp;"-"&amp;AB52</f>
        <v>-</v>
      </c>
      <c r="X56" s="1759"/>
      <c r="Y56" s="1760" t="str">
        <f>AB52&amp;"-"&amp;AD52</f>
        <v>-да</v>
      </c>
      <c r="Z56" s="1759"/>
      <c r="AA56" s="1759"/>
      <c r="AB56" s="1759"/>
      <c r="AC56" s="1759"/>
      <c r="AD56" s="2407"/>
      <c r="AE56" s="673"/>
      <c r="AF56" s="675"/>
      <c r="AG56" s="777" t="s">
        <v>503</v>
      </c>
      <c r="AH56" s="1759"/>
      <c r="AI56" s="1759"/>
      <c r="AJ56" s="1759"/>
      <c r="AK56" s="1759"/>
      <c r="AL56" s="1759"/>
      <c r="AM56" s="1759"/>
      <c r="AN56" s="1759"/>
      <c r="AO56" s="1759"/>
      <c r="AP56" s="1759"/>
      <c r="AQ56" s="1759"/>
      <c r="AR56" s="1759"/>
      <c r="AS56" s="1759"/>
      <c r="AT56" s="1759"/>
      <c r="AU56" s="1760" t="str">
        <f>AX52&amp;"-"&amp;AZ52</f>
        <v>-</v>
      </c>
      <c r="AV56" s="1759"/>
      <c r="AW56" s="1760" t="str">
        <f>AZ52&amp;"-"&amp;BB52</f>
        <v>-</v>
      </c>
      <c r="AX56" s="1759"/>
      <c r="AY56" s="1759"/>
      <c r="AZ56" s="1759"/>
      <c r="BA56" s="1759"/>
      <c r="BB56" s="1762" t="str">
        <f>BE52&amp;"-"&amp;BG52</f>
        <v>-</v>
      </c>
      <c r="BC56" s="2558"/>
      <c r="BE56" s="861"/>
      <c r="BF56" s="861" t="str">
        <f>IF(T56="","",T56)</f>
        <v/>
      </c>
      <c r="BG56" s="861"/>
      <c r="BH56" s="861"/>
    </row>
    <row customHeight="1" ht="11.25">
      <c r="A57" s="1729" t="s">
        <v>276</v>
      </c>
      <c r="B57" s="1729" t="s">
        <v>277</v>
      </c>
      <c r="C57" s="1729" t="s">
        <v>278</v>
      </c>
      <c r="D57" s="1729" t="s">
        <v>527</v>
      </c>
      <c r="E57" s="2528"/>
      <c r="F57" s="2528"/>
      <c r="G57" s="2528"/>
      <c r="H57" s="2528"/>
      <c r="I57" s="2530"/>
      <c r="J57" s="2529"/>
      <c r="K57" s="1729"/>
      <c r="L57" s="1730"/>
      <c r="P57" s="2531"/>
      <c r="Q57" s="2531"/>
      <c r="R57" s="717"/>
      <c r="S57" s="1644"/>
      <c r="T57" s="648" t="s">
        <v>465</v>
      </c>
      <c r="U57" s="728"/>
      <c r="V57" s="728"/>
      <c r="W57" s="728"/>
      <c r="X57" s="728"/>
      <c r="Y57" s="728"/>
      <c r="Z57" s="728"/>
      <c r="AA57" s="728"/>
      <c r="AB57" s="728"/>
      <c r="AC57" s="685"/>
      <c r="AD57" s="1871"/>
      <c r="AE57" s="728"/>
      <c r="AF57" s="728"/>
      <c r="AG57" s="728"/>
      <c r="AH57" s="728"/>
      <c r="AI57" s="728"/>
      <c r="AJ57" s="728"/>
      <c r="AK57" s="728"/>
      <c r="AL57" s="728"/>
      <c r="AM57" s="728"/>
      <c r="AN57" s="728"/>
      <c r="AO57" s="728"/>
      <c r="AP57" s="728"/>
      <c r="AQ57" s="728"/>
      <c r="AR57" s="728"/>
      <c r="AS57" s="728"/>
      <c r="AT57" s="728"/>
      <c r="AU57" s="728"/>
      <c r="AV57" s="728"/>
      <c r="AW57" s="728"/>
      <c r="AX57" s="728"/>
      <c r="AY57" s="728"/>
      <c r="AZ57" s="728"/>
      <c r="BA57" s="728"/>
      <c r="BB57" s="685"/>
      <c r="BC57" s="2559"/>
      <c r="BE57" s="861"/>
      <c r="BF57" s="861" t="str">
        <f>IF(T57="","",T57)</f>
        <v>Добавить строку</v>
      </c>
      <c r="BG57" s="861"/>
      <c r="BH57" s="861"/>
    </row>
    <row s="19219" customFormat="1" customHeight="1" ht="0">
      <c r="A58" s="1709" t="s">
        <v>276</v>
      </c>
      <c r="B58" s="1709" t="s">
        <v>277</v>
      </c>
      <c r="C58" s="1709" t="s">
        <v>278</v>
      </c>
      <c r="D58" s="1709" t="s">
        <v>527</v>
      </c>
      <c r="E58" s="2528"/>
      <c r="F58" s="2528"/>
      <c r="G58" s="2528"/>
      <c r="H58" s="2528"/>
      <c r="I58" s="2529"/>
      <c r="J58" s="1709"/>
      <c r="K58" s="1709"/>
      <c r="L58" s="1712"/>
      <c r="M58" s="871"/>
      <c r="N58" s="871"/>
      <c r="O58" s="871"/>
      <c r="P58" s="2531"/>
      <c r="Q58" s="1847"/>
      <c r="R58" s="717"/>
      <c r="S58" s="1752"/>
      <c r="T58" s="1753"/>
      <c r="U58" s="1754"/>
      <c r="V58" s="1754"/>
      <c r="W58" s="1754"/>
      <c r="X58" s="1754"/>
      <c r="Y58" s="1754"/>
      <c r="Z58" s="1754"/>
      <c r="AA58" s="1754"/>
      <c r="AB58" s="1754"/>
      <c r="AC58" s="1754"/>
      <c r="AD58" s="1754"/>
      <c r="AE58" s="1754"/>
      <c r="AF58" s="1754"/>
      <c r="AG58" s="1754"/>
      <c r="AH58" s="1754"/>
      <c r="AI58" s="1754"/>
      <c r="AJ58" s="1754"/>
      <c r="AK58" s="1754"/>
      <c r="AL58" s="1754"/>
      <c r="AM58" s="1754"/>
      <c r="AN58" s="1754"/>
      <c r="AO58" s="1754"/>
      <c r="AP58" s="1754"/>
      <c r="AQ58" s="1754"/>
      <c r="AR58" s="1754"/>
      <c r="AS58" s="1754"/>
      <c r="AT58" s="1754"/>
      <c r="AU58" s="1754"/>
      <c r="AV58" s="1754"/>
      <c r="AW58" s="1754"/>
      <c r="AX58" s="1754"/>
      <c r="AY58" s="1754"/>
      <c r="AZ58" s="1754"/>
      <c r="BA58" s="1754"/>
      <c r="BB58" s="1754"/>
      <c r="BC58" s="1755"/>
      <c r="BE58" s="861"/>
      <c r="BF58" s="861" t="str">
        <f>IF(T58="","",T58)</f>
        <v/>
      </c>
      <c r="BG58" s="861"/>
      <c r="BH58" s="861"/>
    </row>
    <row s="19219" customFormat="1" customHeight="1" ht="0">
      <c r="A59" s="1709" t="s">
        <v>276</v>
      </c>
      <c r="B59" s="1709" t="s">
        <v>277</v>
      </c>
      <c r="C59" s="1709" t="s">
        <v>278</v>
      </c>
      <c r="D59" s="1709" t="s">
        <v>527</v>
      </c>
      <c r="E59" s="2528"/>
      <c r="F59" s="2528"/>
      <c r="G59" s="2528"/>
      <c r="H59" s="2527"/>
      <c r="I59" s="1709"/>
      <c r="J59" s="1709"/>
      <c r="K59" s="1709"/>
      <c r="L59" s="1712"/>
      <c r="M59" s="1681"/>
      <c r="N59" s="1681"/>
      <c r="O59" s="879"/>
      <c r="P59" s="741"/>
      <c r="Q59" s="1710"/>
      <c r="R59" s="1767"/>
      <c r="S59" s="1752"/>
      <c r="T59" s="1753"/>
      <c r="U59" s="1754"/>
      <c r="V59" s="1754"/>
      <c r="W59" s="1754"/>
      <c r="X59" s="1754"/>
      <c r="Y59" s="1754"/>
      <c r="Z59" s="1754"/>
      <c r="AA59" s="1754"/>
      <c r="AB59" s="1754"/>
      <c r="AC59" s="1754"/>
      <c r="AD59" s="1754"/>
      <c r="AE59" s="1754"/>
      <c r="AF59" s="1754"/>
      <c r="AG59" s="1754"/>
      <c r="AH59" s="1754"/>
      <c r="AI59" s="1754"/>
      <c r="AJ59" s="1754"/>
      <c r="AK59" s="1754"/>
      <c r="AL59" s="1754"/>
      <c r="AM59" s="1754"/>
      <c r="AN59" s="1754"/>
      <c r="AO59" s="1754"/>
      <c r="AP59" s="1754"/>
      <c r="AQ59" s="1754"/>
      <c r="AR59" s="1754"/>
      <c r="AS59" s="1754"/>
      <c r="AT59" s="1754"/>
      <c r="AU59" s="1754"/>
      <c r="AV59" s="1754"/>
      <c r="AW59" s="1754"/>
      <c r="AX59" s="1754"/>
      <c r="AY59" s="1754"/>
      <c r="AZ59" s="1754"/>
      <c r="BA59" s="1754"/>
      <c r="BB59" s="1754"/>
      <c r="BC59" s="1755"/>
      <c r="BE59" s="861"/>
      <c r="BF59" s="861" t="str">
        <f>IF(T59="","",T59)</f>
        <v/>
      </c>
      <c r="BG59" s="861"/>
      <c r="BH59" s="861"/>
    </row>
    <row s="19127" customFormat="1" customHeight="1" ht="0">
      <c r="A60" s="1709" t="s">
        <v>276</v>
      </c>
      <c r="B60" s="1709" t="s">
        <v>277</v>
      </c>
      <c r="C60" s="1709" t="s">
        <v>278</v>
      </c>
      <c r="D60" s="1680"/>
      <c r="E60" s="2528"/>
      <c r="F60" s="2528"/>
      <c r="G60" s="2527"/>
      <c r="H60" s="1680"/>
      <c r="I60" s="1680"/>
      <c r="J60" s="1680"/>
      <c r="K60" s="1680"/>
      <c r="L60" s="1860"/>
      <c r="M60" s="1681"/>
      <c r="N60" s="1681"/>
      <c r="P60" s="1682"/>
      <c r="Q60" s="1683"/>
      <c r="R60" s="1682"/>
      <c r="S60" s="1688"/>
      <c r="T60" s="1691"/>
      <c r="U60" s="1690"/>
      <c r="V60" s="1690"/>
      <c r="W60" s="1690"/>
      <c r="X60" s="1690"/>
      <c r="Y60" s="1690"/>
      <c r="Z60" s="1690"/>
      <c r="AA60" s="1690"/>
      <c r="AB60" s="1690"/>
      <c r="AC60" s="1690"/>
      <c r="AD60" s="1690"/>
      <c r="AE60" s="1690"/>
      <c r="AF60" s="1690"/>
      <c r="AG60" s="1690"/>
      <c r="AH60" s="1690"/>
      <c r="AI60" s="1690"/>
      <c r="AJ60" s="1690"/>
      <c r="AK60" s="1690"/>
      <c r="AL60" s="1690"/>
      <c r="AM60" s="1690"/>
      <c r="AN60" s="1690"/>
      <c r="AO60" s="1690"/>
      <c r="AP60" s="1690"/>
      <c r="AQ60" s="1690"/>
      <c r="AR60" s="1690"/>
      <c r="AS60" s="1690"/>
      <c r="AT60" s="1690"/>
      <c r="AU60" s="1690"/>
      <c r="AV60" s="1690"/>
      <c r="AW60" s="1690"/>
      <c r="AX60" s="1690"/>
      <c r="AY60" s="1690"/>
      <c r="AZ60" s="1690"/>
      <c r="BA60" s="1690"/>
      <c r="BB60" s="1690"/>
      <c r="BC60" s="1690"/>
      <c r="BE60" s="1150"/>
      <c r="BF60" s="1150" t="str">
        <f>IF(T60="","",T60)</f>
        <v/>
      </c>
      <c r="BG60" s="1150"/>
      <c r="BH60" s="1150"/>
    </row>
    <row s="19127" customFormat="1" customHeight="1" ht="0">
      <c r="A61" s="1709" t="s">
        <v>276</v>
      </c>
      <c r="B61" s="1709" t="s">
        <v>277</v>
      </c>
      <c r="C61" s="1680"/>
      <c r="D61" s="1680"/>
      <c r="E61" s="2528"/>
      <c r="F61" s="2527"/>
      <c r="G61" s="1680"/>
      <c r="H61" s="1680"/>
      <c r="I61" s="1680"/>
      <c r="J61" s="1680"/>
      <c r="K61" s="1680"/>
      <c r="L61" s="1860"/>
      <c r="M61" s="1687"/>
      <c r="N61" s="1687"/>
      <c r="P61" s="1682"/>
      <c r="Q61" s="1683"/>
      <c r="R61" s="1682"/>
      <c r="S61" s="1688"/>
      <c r="T61" s="1691" t="s">
        <v>251</v>
      </c>
      <c r="U61" s="1690"/>
      <c r="V61" s="1690"/>
      <c r="W61" s="1690"/>
      <c r="X61" s="1690"/>
      <c r="Y61" s="1690"/>
      <c r="Z61" s="1690"/>
      <c r="AA61" s="1690"/>
      <c r="AB61" s="1690"/>
      <c r="AC61" s="1690"/>
      <c r="AD61" s="1690"/>
      <c r="AE61" s="1690"/>
      <c r="AF61" s="1690"/>
      <c r="AG61" s="1690"/>
      <c r="AH61" s="1690"/>
      <c r="AI61" s="1690"/>
      <c r="AJ61" s="1690"/>
      <c r="AK61" s="1690"/>
      <c r="AL61" s="1690"/>
      <c r="AM61" s="1690"/>
      <c r="AN61" s="1690"/>
      <c r="AO61" s="1690"/>
      <c r="AP61" s="1690"/>
      <c r="AQ61" s="1690"/>
      <c r="AR61" s="1690"/>
      <c r="AS61" s="1690"/>
      <c r="AT61" s="1690"/>
      <c r="AU61" s="1690"/>
      <c r="AV61" s="1690"/>
      <c r="AW61" s="1690"/>
      <c r="AX61" s="1690"/>
      <c r="AY61" s="1690"/>
      <c r="AZ61" s="1690"/>
      <c r="BA61" s="1690"/>
      <c r="BB61" s="1690"/>
      <c r="BC61" s="1690"/>
      <c r="BE61" s="1150"/>
      <c r="BF61" s="1150" t="str">
        <f>IF(T61="","",T61)</f>
        <v>Добавить централизованную систему для дифференциации</v>
      </c>
      <c r="BG61" s="1150"/>
      <c r="BH61" s="1150"/>
    </row>
    <row s="19219" customFormat="1" customHeight="1" ht="0">
      <c r="A62" s="1709" t="s">
        <v>276</v>
      </c>
      <c r="B62" s="1709"/>
      <c r="C62" s="1709"/>
      <c r="D62" s="1709"/>
      <c r="E62" s="2527"/>
      <c r="F62" s="1709"/>
      <c r="G62" s="1709"/>
      <c r="H62" s="1709"/>
      <c r="I62" s="1709"/>
      <c r="J62" s="1709"/>
      <c r="K62" s="1709"/>
      <c r="L62" s="1712"/>
      <c r="M62" s="1687"/>
      <c r="N62" s="1687"/>
      <c r="O62" s="879"/>
      <c r="P62" s="741"/>
      <c r="Q62" s="1710"/>
      <c r="R62" s="741"/>
      <c r="S62" s="1688"/>
      <c r="T62" s="1691" t="s">
        <v>252</v>
      </c>
      <c r="U62" s="1690"/>
      <c r="V62" s="1690"/>
      <c r="W62" s="1690"/>
      <c r="X62" s="1690"/>
      <c r="Y62" s="1690"/>
      <c r="Z62" s="1690"/>
      <c r="AA62" s="1690"/>
      <c r="AB62" s="1690"/>
      <c r="AC62" s="1690"/>
      <c r="AD62" s="1690"/>
      <c r="AE62" s="1690"/>
      <c r="AF62" s="1690"/>
      <c r="AG62" s="1690"/>
      <c r="AH62" s="1690"/>
      <c r="AI62" s="1690"/>
      <c r="AJ62" s="1690"/>
      <c r="AK62" s="1690"/>
      <c r="AL62" s="1690"/>
      <c r="AM62" s="1690"/>
      <c r="AN62" s="1690"/>
      <c r="AO62" s="1690"/>
      <c r="AP62" s="1690"/>
      <c r="AQ62" s="1690"/>
      <c r="AR62" s="1690"/>
      <c r="AS62" s="1690"/>
      <c r="AT62" s="1690"/>
      <c r="AU62" s="1690"/>
      <c r="AV62" s="1690"/>
      <c r="AW62" s="1690"/>
      <c r="AX62" s="1690"/>
      <c r="AY62" s="1690"/>
      <c r="AZ62" s="1690"/>
      <c r="BA62" s="1690"/>
      <c r="BB62" s="1690"/>
      <c r="BC62" s="1690"/>
      <c r="BE62" s="861"/>
      <c r="BF62" s="861" t="str">
        <f>IF(T62="","",T62)</f>
        <v>Добавить территорию для дифференциации</v>
      </c>
      <c r="BG62" s="861"/>
      <c r="BH62" s="861"/>
    </row>
    <row s="19127" customFormat="1" customHeight="1" ht="0">
      <c r="A63" s="1680"/>
      <c r="B63" s="1680"/>
      <c r="C63" s="1680"/>
      <c r="D63" s="1680"/>
      <c r="E63" s="1709"/>
      <c r="F63" s="1680"/>
      <c r="G63" s="1680"/>
      <c r="H63" s="1680"/>
      <c r="I63" s="1680"/>
      <c r="J63" s="1680"/>
      <c r="K63" s="1680"/>
      <c r="L63" s="1860"/>
      <c r="M63" s="1687"/>
      <c r="N63" s="1687"/>
      <c r="P63" s="1682"/>
      <c r="Q63" s="1683"/>
      <c r="R63" s="1682"/>
      <c r="S63" s="1688"/>
      <c r="T63" s="1691" t="s">
        <v>253</v>
      </c>
      <c r="U63" s="1690"/>
      <c r="V63" s="1690"/>
      <c r="W63" s="1690"/>
      <c r="X63" s="1690"/>
      <c r="Y63" s="1690"/>
      <c r="Z63" s="1690"/>
      <c r="AA63" s="1690"/>
      <c r="AB63" s="1690"/>
      <c r="AC63" s="1690"/>
      <c r="AD63" s="1690"/>
      <c r="AE63" s="1690"/>
      <c r="AF63" s="1690"/>
      <c r="AG63" s="1690"/>
      <c r="AH63" s="1690"/>
      <c r="AI63" s="1690"/>
      <c r="AJ63" s="1690"/>
      <c r="AK63" s="1690"/>
      <c r="AL63" s="1690"/>
      <c r="AM63" s="1690"/>
      <c r="AN63" s="1690"/>
      <c r="AO63" s="1690"/>
      <c r="AP63" s="1690"/>
      <c r="AQ63" s="1690"/>
      <c r="AR63" s="1690"/>
      <c r="AS63" s="1690"/>
      <c r="AT63" s="1690"/>
      <c r="AU63" s="1690"/>
      <c r="AV63" s="1690"/>
      <c r="AW63" s="1690"/>
      <c r="AX63" s="1690"/>
      <c r="AY63" s="1690"/>
      <c r="AZ63" s="1690"/>
      <c r="BA63" s="1690"/>
      <c r="BB63" s="1690"/>
      <c r="BC63" s="1690"/>
      <c r="BE63" s="1150"/>
      <c r="BF63" s="1150" t="str">
        <f>IF(T63="","",T63)</f>
        <v>Добавить наименование тарифа</v>
      </c>
      <c r="BG63" s="1150"/>
      <c r="BH63" s="1150"/>
    </row>
    <row customHeight="1" ht="11.25">
      <c r="M64" s="1523"/>
      <c r="N64" s="1523"/>
      <c r="O64" s="898"/>
      <c r="P64" s="1523"/>
      <c r="Q64" s="1523"/>
      <c r="R64" s="1518"/>
      <c r="S64" s="1518"/>
      <c r="BD64" s="1518"/>
      <c r="BE64" s="1518"/>
      <c r="BF64" s="1518"/>
      <c r="BG64" s="1518"/>
      <c r="BH64" s="1518"/>
    </row>
    <row customHeight="1" ht="14.25">
      <c r="O65" s="898"/>
      <c r="S65" s="1618"/>
      <c r="T65" s="2526"/>
      <c r="U65" s="2526"/>
      <c r="V65" s="2526"/>
      <c r="W65" s="2526"/>
      <c r="X65" s="2526"/>
      <c r="Y65" s="2526"/>
      <c r="Z65" s="2526"/>
      <c r="AA65" s="2526"/>
      <c r="AB65" s="2526"/>
      <c r="AC65" s="2526"/>
      <c r="AD65" s="2526"/>
      <c r="AE65" s="2526"/>
      <c r="AF65" s="2526"/>
      <c r="AG65" s="2526"/>
      <c r="AH65" s="2526"/>
      <c r="AI65" s="2526"/>
      <c r="AJ65" s="2526"/>
      <c r="AK65" s="2526"/>
      <c r="AL65" s="2526"/>
      <c r="AM65" s="2526"/>
      <c r="AN65" s="2526"/>
      <c r="AO65" s="2526"/>
      <c r="AP65" s="2526"/>
      <c r="AQ65" s="2526"/>
      <c r="AR65" s="2526"/>
      <c r="AS65" s="2526"/>
      <c r="AT65" s="2526"/>
      <c r="AU65" s="2526"/>
      <c r="AV65" s="2526"/>
      <c r="AW65" s="2526"/>
      <c r="AX65" s="2526"/>
      <c r="AY65" s="2526"/>
      <c r="AZ65" s="2526"/>
      <c r="BA65" s="2526"/>
      <c r="BB65" s="2526"/>
      <c r="BC65" s="2526"/>
    </row>
    <row customHeight="1" ht="14.25">
      <c r="O66" s="898"/>
      <c r="T66" s="1846"/>
      <c r="U66" s="1846"/>
      <c r="V66" s="1846"/>
      <c r="W66" s="1846"/>
      <c r="X66" s="1846"/>
      <c r="Y66" s="1846"/>
      <c r="Z66" s="1846"/>
      <c r="AA66" s="1846"/>
      <c r="AB66" s="1846"/>
      <c r="AC66" s="1846"/>
      <c r="AD66" s="1846"/>
      <c r="AE66" s="1846"/>
      <c r="AF66" s="1846"/>
      <c r="AG66" s="1846"/>
      <c r="AH66" s="1846"/>
      <c r="AI66" s="1846"/>
      <c r="AJ66" s="1846"/>
      <c r="AK66" s="1846"/>
      <c r="AL66" s="1846"/>
      <c r="AM66" s="1846"/>
      <c r="AN66" s="1846"/>
      <c r="AO66" s="1846"/>
      <c r="AP66" s="1846"/>
      <c r="AQ66" s="1846"/>
      <c r="AR66" s="1846"/>
      <c r="AS66" s="1846"/>
      <c r="AT66" s="1846"/>
      <c r="AU66" s="1846"/>
      <c r="AV66" s="1846"/>
      <c r="AW66" s="1846"/>
      <c r="AX66" s="1846"/>
      <c r="AY66" s="1846"/>
      <c r="AZ66" s="1846"/>
      <c r="BA66" s="1846"/>
      <c r="BB66" s="1846"/>
      <c r="BC66" s="1846"/>
    </row>
    <row customHeight="1" ht="14.25">
      <c r="O67" s="898"/>
      <c r="S67" s="1618"/>
      <c r="T67" s="2526"/>
      <c r="U67" s="2526"/>
      <c r="V67" s="2526"/>
      <c r="W67" s="2526"/>
      <c r="X67" s="2526"/>
      <c r="Y67" s="2526"/>
      <c r="Z67" s="2526"/>
      <c r="AA67" s="2526"/>
      <c r="AB67" s="2526"/>
      <c r="AC67" s="2526"/>
      <c r="AD67" s="2526"/>
      <c r="AE67" s="2526"/>
      <c r="AF67" s="2526"/>
      <c r="AG67" s="2526"/>
      <c r="AH67" s="2526"/>
      <c r="AI67" s="2526"/>
      <c r="AJ67" s="2526"/>
      <c r="AK67" s="2526"/>
      <c r="AL67" s="2526"/>
      <c r="AM67" s="2526"/>
      <c r="AN67" s="2526"/>
      <c r="AO67" s="2526"/>
      <c r="AP67" s="2526"/>
      <c r="AQ67" s="2526"/>
      <c r="AR67" s="2526"/>
      <c r="AS67" s="2526"/>
      <c r="AT67" s="2526"/>
      <c r="AU67" s="2526"/>
      <c r="AV67" s="2526"/>
      <c r="AW67" s="2526"/>
      <c r="AX67" s="2526"/>
      <c r="AY67" s="2526"/>
      <c r="AZ67" s="2526"/>
      <c r="BA67" s="2526"/>
      <c r="BB67" s="2526"/>
      <c r="BC67" s="2526"/>
    </row>
    <row customHeight="1" ht="14.25">
      <c r="O68" s="898"/>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5186A7-05E1-ED41-9B33-9D5B6BAE57D2}"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18482" width="8.00390625" hidden="1" customWidth="1"/>
    <col min="2" max="2" style="18483" width="6.00390625" hidden="1" customWidth="1"/>
    <col min="3" max="3" style="18482" width="3.7109375" customWidth="1"/>
    <col min="4" max="4" style="18484" width="3.7109375" customWidth="1"/>
    <col min="5" max="5" style="18485" width="6.28125" customWidth="1"/>
    <col min="6" max="6" style="18482" width="2.7109375" hidden="1" customWidth="1"/>
    <col min="7" max="7" style="18485" width="46.7109375" customWidth="1"/>
    <col min="8" max="8" style="18485" width="43.140625" customWidth="1"/>
    <col min="9" max="9" style="18485" width="14.8515625" customWidth="1"/>
    <col min="10" max="10" style="18486" width="3.7109375" customWidth="1"/>
    <col min="11" max="13" style="18486" width="9.140625" hidden="1"/>
    <col min="14" max="14" style="18487" width="25.7109375" hidden="1" customWidth="1"/>
    <col min="15" max="15" style="18486" width="14.421875" hidden="1" customWidth="1"/>
    <col min="16" max="19" style="18488" width="9.140625" hidden="1"/>
    <col min="20" max="27" style="18485" width="9.140625" hidden="1"/>
    <col min="28" max="28" style="18485" width="9.140625"/>
  </cols>
  <sheetData>
    <row s="18399" customFormat="1" customHeight="1" ht="5.25" hidden="1">
      <c r="A1" s="857"/>
      <c r="B1" s="872"/>
      <c r="C1" s="872"/>
      <c r="D1" s="582"/>
      <c r="F1" s="872"/>
      <c r="G1" s="608" t="s">
        <v>80</v>
      </c>
      <c r="H1" s="855" t="s">
        <v>81</v>
      </c>
      <c r="I1" s="588" t="s">
        <v>82</v>
      </c>
      <c r="J1" s="608" t="s">
        <v>80</v>
      </c>
      <c r="K1" s="608"/>
      <c r="L1" s="608"/>
      <c r="M1" s="608"/>
      <c r="N1" s="609"/>
      <c r="O1" s="608"/>
      <c r="P1" s="608"/>
      <c r="Q1" s="608"/>
      <c r="R1" s="608"/>
      <c r="S1" s="608"/>
      <c r="T1" s="588"/>
      <c r="U1" s="588"/>
      <c r="V1" s="588"/>
      <c r="W1" s="588"/>
      <c r="X1" s="588"/>
      <c r="Y1" s="588"/>
      <c r="Z1" s="588"/>
      <c r="AA1" s="588"/>
      <c r="AB1" s="588"/>
    </row>
    <row s="18407" customFormat="1" customHeight="1" ht="11.25">
      <c r="A2" s="1192"/>
      <c r="B2" s="589"/>
      <c r="C2" s="589"/>
      <c r="D2" s="590"/>
      <c r="E2" s="589"/>
      <c r="F2" s="589"/>
      <c r="G2" s="589"/>
      <c r="H2" s="589"/>
      <c r="I2" s="589"/>
      <c r="J2" s="608"/>
      <c r="K2" s="608"/>
      <c r="L2" s="608"/>
      <c r="M2" s="608"/>
      <c r="N2" s="609"/>
      <c r="O2" s="608"/>
      <c r="P2" s="591"/>
      <c r="Q2" s="591"/>
      <c r="R2" s="591"/>
      <c r="S2" s="591"/>
      <c r="T2" s="590"/>
      <c r="U2" s="590"/>
      <c r="V2" s="590"/>
      <c r="W2" s="590"/>
      <c r="X2" s="590"/>
      <c r="Y2" s="590"/>
      <c r="Z2" s="590"/>
      <c r="AA2" s="590"/>
      <c r="AB2" s="590"/>
    </row>
    <row s="18412" customFormat="1" customHeight="1" ht="3">
      <c r="A3" s="1119"/>
      <c r="B3" s="778"/>
      <c r="C3" s="1119"/>
      <c r="D3" s="526"/>
      <c r="E3" s="465"/>
      <c r="F3" s="870"/>
      <c r="G3" s="465"/>
      <c r="H3" s="465"/>
      <c r="I3" s="528"/>
      <c r="J3" s="608"/>
      <c r="K3" s="517"/>
      <c r="L3" s="517"/>
      <c r="M3" s="517"/>
      <c r="N3" s="587"/>
      <c r="O3" s="517"/>
      <c r="P3" s="586"/>
      <c r="Q3" s="586"/>
      <c r="R3" s="586"/>
      <c r="S3" s="586"/>
    </row>
    <row s="18412" customFormat="1" customHeight="1" ht="25.5">
      <c r="A4" s="1119"/>
      <c r="B4" s="778"/>
      <c r="C4" s="1119"/>
      <c r="D4" s="526"/>
      <c r="E4" s="2375" t="str">
        <f>NameTemplatesInListMO</f>
        <v>Перечень муниципальных районов и муниципальных образований (территорий действия тарифа)</v>
      </c>
      <c r="F4" s="2375"/>
      <c r="G4" s="2375"/>
      <c r="H4" s="2375"/>
      <c r="I4" s="2375"/>
      <c r="J4" s="608"/>
      <c r="K4" s="517"/>
      <c r="L4" s="517"/>
      <c r="M4" s="517"/>
      <c r="N4" s="587"/>
      <c r="O4" s="517"/>
      <c r="P4" s="586"/>
      <c r="Q4" s="586"/>
      <c r="R4" s="586"/>
      <c r="S4" s="586"/>
    </row>
    <row s="18412" customFormat="1" customHeight="1" ht="3">
      <c r="A5" s="1119"/>
      <c r="B5" s="778"/>
      <c r="C5" s="1119"/>
      <c r="D5" s="526"/>
      <c r="E5" s="465"/>
      <c r="F5" s="870"/>
      <c r="G5" s="529"/>
      <c r="H5" s="529"/>
      <c r="I5" s="530"/>
      <c r="J5" s="517"/>
      <c r="K5" s="517"/>
      <c r="L5" s="517"/>
      <c r="M5" s="517"/>
      <c r="N5" s="587"/>
      <c r="O5" s="517"/>
      <c r="P5" s="586"/>
      <c r="Q5" s="586"/>
      <c r="R5" s="586"/>
      <c r="S5" s="586"/>
    </row>
    <row s="18412" customFormat="1" customHeight="1" ht="20.25" hidden="1">
      <c r="A6" s="1198"/>
      <c r="B6" s="1194"/>
      <c r="C6" s="531"/>
      <c r="D6" s="526"/>
      <c r="E6" s="1140"/>
      <c r="F6" s="1140"/>
      <c r="G6" s="529"/>
      <c r="H6" s="532"/>
      <c r="I6" s="532"/>
      <c r="J6" s="517"/>
      <c r="K6" s="517"/>
      <c r="L6" s="517"/>
      <c r="M6" s="517"/>
      <c r="N6" s="587"/>
      <c r="O6" s="517"/>
      <c r="P6" s="586"/>
      <c r="Q6" s="586"/>
      <c r="R6" s="586"/>
      <c r="S6" s="586"/>
    </row>
    <row customHeight="1" ht="25.5" hidden="1"/>
    <row s="18412" customFormat="1" customHeight="1" ht="14.25">
      <c r="A8" s="1119"/>
      <c r="B8" s="778"/>
      <c r="C8" s="1119"/>
      <c r="D8" s="526"/>
      <c r="E8" s="2376" t="s">
        <v>83</v>
      </c>
      <c r="F8" s="2377"/>
      <c r="G8" s="2378"/>
      <c r="H8" s="2379" t="s">
        <v>84</v>
      </c>
      <c r="I8" s="2379"/>
      <c r="J8" s="517"/>
      <c r="K8" s="517"/>
      <c r="L8" s="517"/>
      <c r="M8" s="517"/>
      <c r="N8" s="587"/>
      <c r="O8" s="517"/>
      <c r="P8" s="586"/>
      <c r="Q8" s="586"/>
      <c r="R8" s="586"/>
      <c r="S8" s="586"/>
    </row>
    <row s="18412" customFormat="1" customHeight="1" ht="20.25">
      <c r="A9" s="1119"/>
      <c r="B9" s="778"/>
      <c r="C9" s="1119"/>
      <c r="D9" s="526"/>
      <c r="E9" s="1138" t="s">
        <v>85</v>
      </c>
      <c r="F9" s="1138"/>
      <c r="G9" s="534" t="s">
        <v>86</v>
      </c>
      <c r="H9" s="534" t="s">
        <v>86</v>
      </c>
      <c r="I9" s="534" t="s">
        <v>82</v>
      </c>
      <c r="J9" s="517"/>
      <c r="K9" s="517"/>
      <c r="L9" s="517"/>
      <c r="M9" s="517"/>
      <c r="N9" s="587"/>
      <c r="O9" s="517"/>
      <c r="P9" s="586"/>
      <c r="Q9" s="586"/>
      <c r="R9" s="586"/>
      <c r="S9" s="586"/>
    </row>
    <row customHeight="1" ht="11.25">
      <c r="D10" s="538"/>
      <c r="E10" s="1139" t="s">
        <v>87</v>
      </c>
      <c r="F10" s="1139"/>
      <c r="G10" s="584" t="s">
        <v>88</v>
      </c>
      <c r="H10" s="584" t="s">
        <v>89</v>
      </c>
      <c r="I10" s="584" t="s">
        <v>90</v>
      </c>
      <c r="J10" s="547"/>
      <c r="K10" s="547"/>
      <c r="L10" s="547"/>
      <c r="M10" s="547"/>
      <c r="N10" s="533"/>
      <c r="O10" s="547"/>
      <c r="P10" s="585"/>
      <c r="Q10" s="585"/>
      <c r="R10" s="585"/>
      <c r="S10" s="585"/>
    </row>
    <row s="18412" customFormat="1" customHeight="1" ht="0.75">
      <c r="A11" s="1119"/>
      <c r="B11" s="778"/>
      <c r="C11" s="1119"/>
      <c r="D11" s="526"/>
      <c r="E11" s="1151"/>
      <c r="F11" s="1151"/>
      <c r="G11" s="535"/>
      <c r="H11" s="535"/>
      <c r="I11" s="537"/>
      <c r="J11" s="610" t="s">
        <v>91</v>
      </c>
      <c r="K11" s="517"/>
      <c r="L11" s="517"/>
      <c r="M11" s="517" t="s">
        <v>92</v>
      </c>
      <c r="N11" s="587" t="s">
        <v>93</v>
      </c>
      <c r="O11" s="517" t="s">
        <v>94</v>
      </c>
      <c r="P11" s="586"/>
      <c r="Q11" s="586"/>
      <c r="R11" s="586"/>
      <c r="S11" s="586"/>
    </row>
    <row s="18446" customFormat="1" customHeight="1" ht="14.25">
      <c r="A12" s="2374">
        <v>1</v>
      </c>
      <c r="B12" s="778"/>
      <c r="C12" s="1119"/>
      <c r="D12" s="1143"/>
      <c r="E12" s="580">
        <f>A12</f>
        <v>1</v>
      </c>
      <c r="F12" s="1163" t="s">
        <v>95</v>
      </c>
      <c r="G12" s="901" t="str">
        <f>"Территория "&amp;E12</f>
        <v>Территория 1</v>
      </c>
      <c r="H12" s="1153"/>
      <c r="I12" s="1153"/>
      <c r="J12" s="1150"/>
      <c r="K12" s="861"/>
      <c r="L12" s="861"/>
      <c r="M12" s="861"/>
      <c r="N12" s="587"/>
      <c r="O12" s="861"/>
      <c r="P12" s="586"/>
      <c r="Q12" s="586"/>
      <c r="R12" s="586"/>
      <c r="S12" s="586"/>
    </row>
    <row s="18455" customFormat="1" customHeight="1" ht="15">
      <c r="A13" s="2374"/>
      <c r="B13" s="778">
        <v>1</v>
      </c>
      <c r="C13" s="778"/>
      <c r="D13" s="1161"/>
      <c r="E13" s="1141" t="str">
        <f>A12&amp;"."&amp;B13</f>
        <v>1.1</v>
      </c>
      <c r="F13" s="1156" t="s">
        <v>96</v>
      </c>
      <c r="G13" s="1154" t="s">
        <v>97</v>
      </c>
      <c r="H13" s="1154" t="s">
        <v>97</v>
      </c>
      <c r="I13" s="1152" t="s">
        <v>98</v>
      </c>
      <c r="J13" s="861">
        <f>MERGEVALUE(G13)</f>
      </c>
      <c r="K13" s="872"/>
      <c r="L13" s="872"/>
      <c r="M13" s="861" t="str">
        <f t="array" ref="M13:M13">IF(ISERROR(MATCH(MID(N13,1,250),MID(note_ter,1,250),0)),"n","y")</f>
        <v>n</v>
      </c>
      <c r="N13" s="872"/>
      <c r="O13" s="861" t="str">
        <f>H13&amp;"("&amp;I13&amp;")"</f>
        <v>Шатура(46786000)</v>
      </c>
      <c r="P13" s="778"/>
      <c r="Q13" s="778"/>
      <c r="R13" s="781"/>
      <c r="S13" s="778"/>
      <c r="T13" s="778"/>
      <c r="U13" s="778"/>
      <c r="V13" s="783"/>
      <c r="W13" s="783"/>
      <c r="X13" s="780"/>
      <c r="Y13" s="780"/>
      <c r="Z13" s="780"/>
      <c r="AA13" s="780"/>
      <c r="AB13" s="780"/>
    </row>
    <row s="18455" customFormat="1" customHeight="1" ht="15">
      <c r="A14" s="2374"/>
      <c r="B14" s="778"/>
      <c r="C14" s="773"/>
      <c r="D14" s="1162"/>
      <c r="E14" s="782"/>
      <c r="F14" s="539"/>
      <c r="G14" s="776" t="s">
        <v>99</v>
      </c>
      <c r="H14" s="548"/>
      <c r="I14" s="785"/>
      <c r="J14" s="872"/>
      <c r="K14" s="872"/>
      <c r="L14" s="872"/>
      <c r="M14" s="872"/>
      <c r="N14" s="861"/>
      <c r="O14" s="872"/>
      <c r="P14" s="778"/>
      <c r="Q14" s="778"/>
      <c r="R14" s="781"/>
      <c r="S14" s="778"/>
      <c r="T14" s="778"/>
      <c r="U14" s="778"/>
      <c r="V14" s="783"/>
      <c r="W14" s="783"/>
      <c r="X14" s="780"/>
      <c r="Y14" s="780"/>
      <c r="Z14" s="780"/>
      <c r="AA14" s="780"/>
      <c r="AB14" s="780"/>
    </row>
    <row s="18412" customFormat="1" customHeight="1" ht="14.25">
      <c r="A15" s="1119"/>
      <c r="B15" s="778"/>
      <c r="C15" s="1119"/>
      <c r="D15" s="1143"/>
      <c r="E15" s="1155"/>
      <c r="F15" s="540"/>
      <c r="G15" s="777" t="s">
        <v>100</v>
      </c>
      <c r="H15" s="540"/>
      <c r="I15" s="541"/>
      <c r="J15" s="610"/>
      <c r="K15" s="517"/>
      <c r="L15" s="517"/>
      <c r="M15" s="517"/>
      <c r="N15" s="587" t="s">
        <v>101</v>
      </c>
      <c r="O15" s="517"/>
      <c r="P15" s="586"/>
      <c r="Q15" s="586"/>
      <c r="R15" s="586"/>
      <c r="S15" s="586"/>
    </row>
    <row s="18412" customFormat="1" customHeight="1" ht="21">
      <c r="A16" s="1119"/>
      <c r="B16" s="778"/>
      <c r="C16" s="1119"/>
      <c r="D16" s="527"/>
      <c r="E16" s="542"/>
      <c r="F16" s="542"/>
      <c r="G16" s="542"/>
      <c r="H16" s="542"/>
      <c r="I16" s="542"/>
      <c r="J16" s="517"/>
      <c r="K16" s="517"/>
      <c r="L16" s="517"/>
      <c r="M16" s="517"/>
      <c r="N16" s="587"/>
      <c r="O16" s="517"/>
      <c r="P16" s="586"/>
      <c r="Q16" s="586"/>
      <c r="R16" s="586"/>
      <c r="S16" s="586"/>
    </row>
    <row s="18412" customFormat="1" customHeight="1" ht="14.25">
      <c r="A17" s="1119"/>
      <c r="B17" s="778"/>
      <c r="C17" s="1119"/>
      <c r="D17" s="527"/>
      <c r="E17" s="444"/>
      <c r="F17" s="1119"/>
      <c r="G17" s="444"/>
      <c r="H17" s="444"/>
      <c r="I17" s="444"/>
      <c r="J17" s="517"/>
      <c r="K17" s="517"/>
      <c r="L17" s="517"/>
      <c r="M17" s="517"/>
      <c r="N17" s="587"/>
      <c r="O17" s="517"/>
      <c r="P17" s="586"/>
      <c r="Q17" s="586"/>
      <c r="R17" s="586"/>
      <c r="S17" s="586"/>
    </row>
    <row s="18412" customFormat="1" customHeight="1" ht="0.75">
      <c r="A18" s="1119"/>
      <c r="B18" s="778"/>
      <c r="C18" s="1119"/>
      <c r="D18" s="527"/>
      <c r="E18" s="444"/>
      <c r="F18" s="1119"/>
      <c r="G18" s="444"/>
      <c r="H18" s="444"/>
      <c r="I18" s="444"/>
      <c r="J18" s="517"/>
      <c r="K18" s="517"/>
      <c r="L18" s="517"/>
      <c r="M18" s="517"/>
      <c r="N18" s="587"/>
      <c r="O18" s="517"/>
      <c r="P18" s="586"/>
      <c r="Q18" s="586"/>
      <c r="R18" s="586"/>
      <c r="S18" s="586"/>
    </row>
    <row s="18478" customFormat="1" customHeight="1" ht="10.5">
      <c r="B19" s="1195"/>
      <c r="D19" s="544"/>
      <c r="J19" s="517"/>
      <c r="K19" s="517"/>
      <c r="L19" s="517"/>
      <c r="M19" s="517"/>
      <c r="N19" s="587"/>
      <c r="O19" s="517"/>
      <c r="P19" s="586"/>
      <c r="Q19" s="586"/>
      <c r="R19" s="586"/>
      <c r="S19" s="586"/>
    </row>
    <row s="18478" customFormat="1" customHeight="1" ht="10.5">
      <c r="B20" s="1195"/>
      <c r="D20" s="544"/>
      <c r="J20" s="517"/>
      <c r="K20" s="517"/>
      <c r="L20" s="517"/>
      <c r="M20" s="517"/>
      <c r="N20" s="587"/>
      <c r="O20" s="517"/>
      <c r="P20" s="586"/>
      <c r="Q20" s="586"/>
      <c r="R20" s="586"/>
      <c r="S20" s="586"/>
    </row>
    <row r="24" customHeight="1" ht="14.25">
      <c r="H24" s="422"/>
    </row>
    <row r="28" customHeight="1" ht="14.25">
      <c r="J28" s="444"/>
      <c r="K28" s="444"/>
      <c r="L28" s="444"/>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87D5ED-C453-AC45-8B16-532C79F97FFE}" mc:Ignorable="x14ac xr xr2 xr3">
  <sheetPr>
    <tabColor theme="6" tint="0.4"/>
  </sheetPr>
  <dimension ref="A1:BI58"/>
  <sheetViews>
    <sheetView topLeftCell="P23" showGridLines="0" zoomScale="90" workbookViewId="0" tabSelected="1">
      <selection activeCell="AV49" sqref="AV49"/>
    </sheetView>
  </sheetViews>
  <sheetFormatPr defaultColWidth="10.57421875" customHeight="1" defaultRowHeight="14.25"/>
  <cols>
    <col min="1" max="1" style="19146" width="10.57421875" hidden="1"/>
    <col min="2" max="2" style="19146" width="11.00390625" hidden="1" customWidth="1"/>
    <col min="3" max="3" style="19146" width="10.57421875" hidden="1"/>
    <col min="4" max="4" style="19146" width="11.8515625" hidden="1" customWidth="1"/>
    <col min="5" max="5" style="19146" width="10.00390625" hidden="1" customWidth="1"/>
    <col min="6" max="6" style="19146" width="8.7109375" hidden="1" customWidth="1"/>
    <col min="7" max="7" style="19146" width="7.57421875" hidden="1" customWidth="1"/>
    <col min="8" max="8" style="19146" width="11.421875" hidden="1" customWidth="1"/>
    <col min="9" max="9" style="19146" width="14.140625" hidden="1" customWidth="1"/>
    <col min="10" max="10" style="19146" width="9.8515625" hidden="1" customWidth="1"/>
    <col min="11" max="11" style="19146" width="14.7109375" hidden="1" customWidth="1"/>
    <col min="12" max="12" style="19497" width="19.140625" hidden="1" customWidth="1"/>
    <col min="13" max="14" style="19228" width="12.28125" hidden="1" customWidth="1"/>
    <col min="15" max="15" style="19228" width="23.421875" hidden="1" customWidth="1"/>
    <col min="16" max="16" style="19498" width="3.7109375" customWidth="1"/>
    <col min="17" max="18" style="19230" width="3.7109375" customWidth="1"/>
    <col min="19" max="19" style="19231" width="12.7109375" customWidth="1"/>
    <col min="20" max="20" style="19232" width="35.7109375" customWidth="1"/>
    <col min="21" max="21" style="19232" width="0.140625" customWidth="1"/>
    <col min="22" max="22" style="19232" width="19.7109375" hidden="1" customWidth="1"/>
    <col min="23" max="28" style="19274" width="19.7109375" hidden="1" customWidth="1"/>
    <col min="29" max="29" style="19232" width="11.7109375" hidden="1" customWidth="1"/>
    <col min="30" max="30" style="19232" width="3.7109375" hidden="1" customWidth="1"/>
    <col min="31" max="31" style="19232" width="11.7109375" hidden="1" customWidth="1"/>
    <col min="32" max="32" style="19232" width="8.57421875" hidden="1" customWidth="1"/>
    <col min="33" max="33" style="19232" width="19.7109375" customWidth="1"/>
    <col min="34" max="38" style="19274" width="19.7109375" customWidth="1"/>
    <col min="39" max="39" style="19232" width="19.7109375" customWidth="1"/>
    <col min="40" max="40" style="19232" width="11.7109375" customWidth="1"/>
    <col min="41" max="41" style="19232" width="3.7109375" customWidth="1"/>
    <col min="42" max="42" style="19232" width="11.7109375" customWidth="1"/>
    <col min="43" max="43" style="19232" width="8.57421875" customWidth="1"/>
    <col min="54" max="54" style="74" width="10.57421875" hidden="1"/>
    <col min="55" max="55" style="19232" width="4.7109375" customWidth="1"/>
    <col min="56" max="56" style="19232" width="115.7109375" customWidth="1"/>
    <col min="57" max="58" style="19219" width="10.57421875"/>
    <col min="59" max="59" style="19219" width="11.140625" customWidth="1"/>
    <col min="60" max="61" style="19219" width="10.57421875"/>
  </cols>
  <sheetData>
    <row customHeight="1" ht="14.25" hidden="1">
      <c r="AC1" s="688"/>
      <c r="AN1" s="688"/>
      <c r="AR1" s="16702"/>
      <c r="AS1" s="16702"/>
      <c r="AT1" s="16702"/>
      <c r="AU1" s="16702"/>
      <c r="AV1" s="16702"/>
      <c r="AW1" s="16702"/>
      <c r="AX1" s="16702"/>
      <c r="AY1" s="16702"/>
      <c r="AZ1" s="16702"/>
      <c r="BA1" s="16702"/>
      <c r="BB1" s="16702"/>
    </row>
    <row customHeight="1" ht="23.25" hidden="1">
      <c r="A2" s="1729"/>
      <c r="B2" s="1729"/>
      <c r="C2" s="1729"/>
      <c r="D2" s="1729"/>
      <c r="E2" s="2527">
        <v>1</v>
      </c>
      <c r="F2" s="1729"/>
      <c r="G2" s="1729"/>
      <c r="H2" s="1729"/>
      <c r="I2" s="1729"/>
      <c r="J2" s="1729"/>
      <c r="K2" s="1729"/>
      <c r="L2" s="1730"/>
      <c r="M2" s="1731"/>
      <c r="N2" s="1731"/>
      <c r="O2" s="1731"/>
      <c r="P2" s="722"/>
      <c r="Q2" s="721"/>
      <c r="R2" s="716"/>
      <c r="S2" s="1859">
        <f>INDEX(PT_DIFFERENTIATION_NUM_NTAR,MATCH(A2,PT_DIFFERENTIATION_NTAR_ID,0))</f>
      </c>
      <c r="T2" s="659" t="s">
        <v>120</v>
      </c>
      <c r="U2" s="661"/>
      <c r="V2" s="2521"/>
      <c r="W2" s="2522"/>
      <c r="X2" s="2522"/>
      <c r="Y2" s="2522"/>
      <c r="Z2" s="2522"/>
      <c r="AA2" s="2522"/>
      <c r="AB2" s="2522"/>
      <c r="AC2" s="2522"/>
      <c r="AD2" s="2522"/>
      <c r="AE2" s="2522"/>
      <c r="AF2" s="2523"/>
      <c r="AG2" s="2521">
        <f>INDEX(PT_DIFFERENTIATION_NTAR,MATCH(A2,PT_DIFFERENTIATION_NTAR_ID,0))</f>
      </c>
      <c r="AH2" s="2522"/>
      <c r="AI2" s="2522"/>
      <c r="AJ2" s="2522"/>
      <c r="AK2" s="2522"/>
      <c r="AL2" s="2522"/>
      <c r="AM2" s="2522"/>
      <c r="AN2" s="2522"/>
      <c r="AO2" s="2522"/>
      <c r="AP2" s="2522"/>
      <c r="AQ2" s="2522"/>
      <c r="AR2" s="16703"/>
      <c r="AS2" s="16704"/>
      <c r="AT2" s="16704"/>
      <c r="AU2" s="16704"/>
      <c r="AV2" s="16704"/>
      <c r="AW2" s="16704"/>
      <c r="AX2" s="16704"/>
      <c r="AY2" s="16704"/>
      <c r="AZ2" s="16704"/>
      <c r="BA2" s="16704"/>
      <c r="BB2" s="16705"/>
      <c r="BC2" s="2523"/>
      <c r="BD2" s="16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F2" s="861"/>
      <c r="BG2" s="861" t="str">
        <f>IF(T2="","",T2)</f>
        <v>Наименование тарифа</v>
      </c>
      <c r="BH2" s="861"/>
      <c r="BI2" s="861"/>
    </row>
    <row customHeight="1" ht="23.25" hidden="1">
      <c r="A3" s="1729"/>
      <c r="B3" s="1729"/>
      <c r="C3" s="1729"/>
      <c r="D3" s="1729"/>
      <c r="E3" s="2528"/>
      <c r="F3" s="2527">
        <v>1</v>
      </c>
      <c r="G3" s="1729"/>
      <c r="H3" s="1729"/>
      <c r="I3" s="1729"/>
      <c r="J3" s="1729"/>
      <c r="K3" s="1729"/>
      <c r="L3" s="1730"/>
      <c r="M3" s="1731"/>
      <c r="N3" s="1731"/>
      <c r="O3" s="1731"/>
      <c r="P3" s="1853"/>
      <c r="Q3" s="713"/>
      <c r="R3" s="714"/>
      <c r="S3" s="1859">
        <f>INDEX(PT_DIFFERENTIATION_NUM_TER,MATCH(B3,PT_DIFFERENTIATION_TER_ID,0))</f>
      </c>
      <c r="T3" s="669" t="s">
        <v>397</v>
      </c>
      <c r="U3" s="661"/>
      <c r="V3" s="2521"/>
      <c r="W3" s="2522"/>
      <c r="X3" s="2522"/>
      <c r="Y3" s="2522"/>
      <c r="Z3" s="2522"/>
      <c r="AA3" s="2522"/>
      <c r="AB3" s="2522"/>
      <c r="AC3" s="2522"/>
      <c r="AD3" s="2522"/>
      <c r="AE3" s="2522"/>
      <c r="AF3" s="2523"/>
      <c r="AG3" s="2521">
        <f>INDEX(PT_DIFFERENTIATION_TER,MATCH(B3,PT_DIFFERENTIATION_TER_ID,0))</f>
      </c>
      <c r="AH3" s="2522"/>
      <c r="AI3" s="2522"/>
      <c r="AJ3" s="2522"/>
      <c r="AK3" s="2522"/>
      <c r="AL3" s="2522"/>
      <c r="AM3" s="2522"/>
      <c r="AN3" s="2522"/>
      <c r="AO3" s="2522"/>
      <c r="AP3" s="2522"/>
      <c r="AQ3" s="2522"/>
      <c r="AR3" s="16703"/>
      <c r="AS3" s="16704"/>
      <c r="AT3" s="16704"/>
      <c r="AU3" s="16704"/>
      <c r="AV3" s="16704"/>
      <c r="AW3" s="16704"/>
      <c r="AX3" s="16704"/>
      <c r="AY3" s="16704"/>
      <c r="AZ3" s="16704"/>
      <c r="BA3" s="16704"/>
      <c r="BB3" s="16705"/>
      <c r="BC3" s="2523"/>
      <c r="BD3" s="1623" t="s">
        <v>398</v>
      </c>
      <c r="BF3" s="861"/>
      <c r="BG3" s="861" t="str">
        <f>IF(T3="","",T3)</f>
        <v>Территория действия тарифа</v>
      </c>
      <c r="BH3" s="861"/>
      <c r="BI3" s="861"/>
    </row>
    <row customHeight="1" ht="23.25" hidden="1">
      <c r="A4" s="1729"/>
      <c r="B4" s="1729"/>
      <c r="C4" s="1729"/>
      <c r="D4" s="1729"/>
      <c r="E4" s="2528"/>
      <c r="F4" s="2528"/>
      <c r="G4" s="2527">
        <v>1</v>
      </c>
      <c r="H4" s="1729"/>
      <c r="I4" s="1729"/>
      <c r="J4" s="1729"/>
      <c r="K4" s="1729"/>
      <c r="L4" s="1730"/>
      <c r="M4" s="1731"/>
      <c r="N4" s="1731"/>
      <c r="O4" s="1731"/>
      <c r="P4" s="715"/>
      <c r="Q4" s="713"/>
      <c r="R4" s="714"/>
      <c r="S4" s="1859">
        <f>INDEX(PT_DIFFERENTIATION_NUM_CS,MATCH(C4,PT_DIFFERENTIATION_CS_ID,0))</f>
      </c>
      <c r="T4" s="670" t="s">
        <v>528</v>
      </c>
      <c r="U4" s="661"/>
      <c r="V4" s="2521"/>
      <c r="W4" s="2522"/>
      <c r="X4" s="2522"/>
      <c r="Y4" s="2522"/>
      <c r="Z4" s="2522"/>
      <c r="AA4" s="2522"/>
      <c r="AB4" s="2522"/>
      <c r="AC4" s="2522"/>
      <c r="AD4" s="2522"/>
      <c r="AE4" s="2522"/>
      <c r="AF4" s="2523"/>
      <c r="AG4" s="2521">
        <f>INDEX(PT_DIFFERENTIATION_CS,MATCH(C4,PT_DIFFERENTIATION_CS_ID,0))</f>
      </c>
      <c r="AH4" s="2522"/>
      <c r="AI4" s="2522"/>
      <c r="AJ4" s="2522"/>
      <c r="AK4" s="2522"/>
      <c r="AL4" s="2522"/>
      <c r="AM4" s="2522"/>
      <c r="AN4" s="2522"/>
      <c r="AO4" s="2522"/>
      <c r="AP4" s="2522"/>
      <c r="AQ4" s="2522"/>
      <c r="AR4" s="16703"/>
      <c r="AS4" s="16704"/>
      <c r="AT4" s="16704"/>
      <c r="AU4" s="16704"/>
      <c r="AV4" s="16704"/>
      <c r="AW4" s="16704"/>
      <c r="AX4" s="16704"/>
      <c r="AY4" s="16704"/>
      <c r="AZ4" s="16704"/>
      <c r="BA4" s="16704"/>
      <c r="BB4" s="16705"/>
      <c r="BC4" s="2523"/>
      <c r="BD4" s="1623" t="s">
        <v>529</v>
      </c>
      <c r="BF4" s="861"/>
      <c r="BG4" s="861" t="str">
        <f>IF(T4="","",T4)</f>
        <v>Наименование централизованной системы горячего водоснабжения</v>
      </c>
      <c r="BH4" s="861"/>
      <c r="BI4" s="861"/>
    </row>
    <row customHeight="1" ht="23.25" hidden="1">
      <c r="A5" s="1729"/>
      <c r="B5" s="1729"/>
      <c r="C5" s="1729"/>
      <c r="D5" s="1729"/>
      <c r="E5" s="2528"/>
      <c r="F5" s="2528"/>
      <c r="G5" s="2528"/>
      <c r="H5" s="2528"/>
      <c r="I5" s="2529">
        <f>S4&amp;".1"</f>
      </c>
      <c r="J5" s="1729"/>
      <c r="K5" s="1729"/>
      <c r="L5" s="1730"/>
      <c r="P5" s="2531">
        <v>1</v>
      </c>
      <c r="Q5" s="1847"/>
      <c r="R5" s="717"/>
      <c r="S5" s="1859">
        <f>$I5</f>
      </c>
      <c r="T5" s="646" t="s">
        <v>481</v>
      </c>
      <c r="U5" s="661"/>
      <c r="V5" s="2614"/>
      <c r="W5" s="2615"/>
      <c r="X5" s="2615"/>
      <c r="Y5" s="2615"/>
      <c r="Z5" s="2615"/>
      <c r="AA5" s="2615"/>
      <c r="AB5" s="2615"/>
      <c r="AC5" s="2615"/>
      <c r="AD5" s="2615"/>
      <c r="AE5" s="2615"/>
      <c r="AF5" s="2616"/>
      <c r="AG5" s="2617"/>
      <c r="AH5" s="2618"/>
      <c r="AI5" s="2618"/>
      <c r="AJ5" s="2618"/>
      <c r="AK5" s="2618"/>
      <c r="AL5" s="2618"/>
      <c r="AM5" s="2618"/>
      <c r="AN5" s="2618"/>
      <c r="AO5" s="2618"/>
      <c r="AP5" s="2618"/>
      <c r="AQ5" s="2618"/>
      <c r="AR5" s="16706"/>
      <c r="AS5" s="16707"/>
      <c r="AT5" s="16707"/>
      <c r="AU5" s="16707"/>
      <c r="AV5" s="16707"/>
      <c r="AW5" s="16707"/>
      <c r="AX5" s="16707"/>
      <c r="AY5" s="16707"/>
      <c r="AZ5" s="16707"/>
      <c r="BA5" s="16707"/>
      <c r="BB5" s="16708"/>
      <c r="BC5" s="2619"/>
      <c r="BD5" s="1623" t="s">
        <v>482</v>
      </c>
      <c r="BF5" s="861"/>
      <c r="BG5" s="861" t="str">
        <f>IF(T5="","",T5)</f>
        <v>Наименование признака дифференциации</v>
      </c>
      <c r="BH5" s="861"/>
      <c r="BI5" s="861"/>
    </row>
    <row customHeight="1" ht="23.25" hidden="1">
      <c r="A6" s="1729"/>
      <c r="B6" s="1729"/>
      <c r="C6" s="1729"/>
      <c r="D6" s="1729"/>
      <c r="E6" s="2528"/>
      <c r="F6" s="2528"/>
      <c r="G6" s="2528"/>
      <c r="H6" s="2528"/>
      <c r="I6" s="2530"/>
      <c r="J6" s="2529">
        <f>I5&amp;".1"</f>
      </c>
      <c r="K6" s="1729"/>
      <c r="L6" s="1730" t="s">
        <v>406</v>
      </c>
      <c r="P6" s="2531"/>
      <c r="Q6" s="2531">
        <v>1</v>
      </c>
      <c r="R6" s="718"/>
      <c r="S6" s="1859">
        <f>$J6</f>
      </c>
      <c r="T6" s="647" t="s">
        <v>407</v>
      </c>
      <c r="U6" s="661"/>
      <c r="V6" s="2515"/>
      <c r="W6" s="2516"/>
      <c r="X6" s="2516"/>
      <c r="Y6" s="2516"/>
      <c r="Z6" s="2516"/>
      <c r="AA6" s="2516"/>
      <c r="AB6" s="2516"/>
      <c r="AC6" s="2516"/>
      <c r="AD6" s="2516"/>
      <c r="AE6" s="2516"/>
      <c r="AF6" s="2517"/>
      <c r="AG6" s="2515"/>
      <c r="AH6" s="2516"/>
      <c r="AI6" s="2516"/>
      <c r="AJ6" s="2516"/>
      <c r="AK6" s="2516"/>
      <c r="AL6" s="2516"/>
      <c r="AM6" s="2516"/>
      <c r="AN6" s="2516"/>
      <c r="AO6" s="2516"/>
      <c r="AP6" s="2516"/>
      <c r="AQ6" s="2516"/>
      <c r="AR6" s="16709"/>
      <c r="AS6" s="16710"/>
      <c r="AT6" s="16710"/>
      <c r="AU6" s="16710"/>
      <c r="AV6" s="16710"/>
      <c r="AW6" s="16710"/>
      <c r="AX6" s="16710"/>
      <c r="AY6" s="16710"/>
      <c r="AZ6" s="16710"/>
      <c r="BA6" s="16710"/>
      <c r="BB6" s="16711"/>
      <c r="BC6" s="2517"/>
      <c r="BD6" s="1673" t="s">
        <v>483</v>
      </c>
      <c r="BF6" s="861"/>
      <c r="BG6" s="861" t="str">
        <f>IF(T6="","",T6)</f>
        <v>Группа потребителей</v>
      </c>
      <c r="BH6" s="861"/>
      <c r="BI6" s="861"/>
    </row>
    <row customHeight="1" ht="23.25" hidden="1">
      <c r="A7" s="1729"/>
      <c r="B7" s="1729"/>
      <c r="C7" s="1729"/>
      <c r="D7" s="1729"/>
      <c r="E7" s="2528"/>
      <c r="F7" s="2528"/>
      <c r="G7" s="2528"/>
      <c r="H7" s="2528"/>
      <c r="I7" s="2530"/>
      <c r="J7" s="2530"/>
      <c r="K7" s="2529">
        <f>J6&amp;".1"</f>
      </c>
      <c r="L7" s="1730"/>
      <c r="P7" s="2531"/>
      <c r="Q7" s="2531"/>
      <c r="R7" s="718">
        <v>1</v>
      </c>
      <c r="S7" s="1859">
        <f>$K7</f>
      </c>
      <c r="T7" s="1803"/>
      <c r="U7" s="661"/>
      <c r="V7" s="1112"/>
      <c r="W7" s="1112"/>
      <c r="X7" s="1112"/>
      <c r="Y7" s="1112"/>
      <c r="Z7" s="1112"/>
      <c r="AA7" s="1112"/>
      <c r="AB7" s="1112"/>
      <c r="AC7" s="2532"/>
      <c r="AD7" s="2402" t="s">
        <v>59</v>
      </c>
      <c r="AE7" s="2532"/>
      <c r="AF7" s="2402" t="s">
        <v>59</v>
      </c>
      <c r="AG7" s="1112"/>
      <c r="AH7" s="1112"/>
      <c r="AI7" s="1112"/>
      <c r="AJ7" s="1112"/>
      <c r="AK7" s="1112"/>
      <c r="AL7" s="1112"/>
      <c r="AM7" s="1112"/>
      <c r="AN7" s="2532"/>
      <c r="AO7" s="2402" t="s">
        <v>59</v>
      </c>
      <c r="AP7" s="2534"/>
      <c r="AQ7" s="2402" t="s">
        <v>59</v>
      </c>
      <c r="AR7" s="16712"/>
      <c r="AS7" s="16712"/>
      <c r="AT7" s="16712"/>
      <c r="AU7" s="16712"/>
      <c r="AV7" s="16712"/>
      <c r="AW7" s="16712"/>
      <c r="AX7" s="16712"/>
      <c r="AY7" s="16713"/>
      <c r="AZ7" s="16714" t="s">
        <v>59</v>
      </c>
      <c r="BA7" s="16713"/>
      <c r="BB7" s="16714" t="s">
        <v>59</v>
      </c>
      <c r="BC7" s="1804"/>
      <c r="BD7" s="26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E7" s="872">
        <f>STRCHECKDATE(V8:BC8)</f>
      </c>
      <c r="BF7" s="861"/>
      <c r="BG7" s="861" t="str">
        <f>IF(T7="","",T7)</f>
        <v/>
      </c>
      <c r="BH7" s="861"/>
      <c r="BI7" s="861"/>
    </row>
    <row customHeight="1" ht="14.25" hidden="1">
      <c r="A8" s="1729"/>
      <c r="B8" s="1729"/>
      <c r="C8" s="1729"/>
      <c r="D8" s="1729"/>
      <c r="E8" s="2528"/>
      <c r="F8" s="2528"/>
      <c r="G8" s="2528"/>
      <c r="H8" s="2528"/>
      <c r="I8" s="2530"/>
      <c r="J8" s="2530"/>
      <c r="K8" s="2529"/>
      <c r="L8" s="1730"/>
      <c r="P8" s="2531"/>
      <c r="Q8" s="2531"/>
      <c r="R8" s="718"/>
      <c r="S8" s="1856"/>
      <c r="T8" s="661"/>
      <c r="U8" s="661"/>
      <c r="V8" s="686"/>
      <c r="W8" s="686"/>
      <c r="X8" s="686"/>
      <c r="Y8" s="686"/>
      <c r="Z8" s="686"/>
      <c r="AA8" s="686"/>
      <c r="AB8" s="686"/>
      <c r="AC8" s="2533"/>
      <c r="AD8" s="2402"/>
      <c r="AE8" s="2533"/>
      <c r="AF8" s="2402"/>
      <c r="AG8" s="686"/>
      <c r="AH8" s="686"/>
      <c r="AI8" s="686"/>
      <c r="AJ8" s="686"/>
      <c r="AK8" s="686"/>
      <c r="AL8" s="686"/>
      <c r="AM8" s="686"/>
      <c r="AN8" s="2533"/>
      <c r="AO8" s="2402"/>
      <c r="AP8" s="2535"/>
      <c r="AQ8" s="2402"/>
      <c r="AR8" s="16715"/>
      <c r="AS8" s="16715"/>
      <c r="AT8" s="16715"/>
      <c r="AU8" s="16715"/>
      <c r="AV8" s="16715"/>
      <c r="AW8" s="16715"/>
      <c r="AX8" s="16715"/>
      <c r="AY8" s="16716"/>
      <c r="AZ8" s="16714"/>
      <c r="BA8" s="16716"/>
      <c r="BB8" s="16714"/>
      <c r="BC8" s="1805"/>
      <c r="BD8" s="2620"/>
      <c r="BF8" s="861"/>
      <c r="BG8" s="861" t="str">
        <f>IF(T8="","",T8)</f>
        <v/>
      </c>
      <c r="BH8" s="861"/>
      <c r="BI8" s="861"/>
    </row>
    <row customHeight="1" ht="21" hidden="1">
      <c r="A9" s="1729"/>
      <c r="B9" s="1729"/>
      <c r="C9" s="1729"/>
      <c r="D9" s="1729"/>
      <c r="E9" s="2528"/>
      <c r="F9" s="2528"/>
      <c r="G9" s="2528"/>
      <c r="H9" s="2528"/>
      <c r="I9" s="2530"/>
      <c r="J9" s="2529"/>
      <c r="K9" s="1729"/>
      <c r="L9" s="1730"/>
      <c r="P9" s="2531"/>
      <c r="Q9" s="2531"/>
      <c r="R9" s="717"/>
      <c r="S9" s="1644"/>
      <c r="T9" s="648" t="s">
        <v>484</v>
      </c>
      <c r="U9" s="728"/>
      <c r="V9" s="728"/>
      <c r="W9" s="961"/>
      <c r="X9" s="961"/>
      <c r="Y9" s="961"/>
      <c r="Z9" s="961"/>
      <c r="AA9" s="961"/>
      <c r="AB9" s="961"/>
      <c r="AC9" s="728"/>
      <c r="AD9" s="728"/>
      <c r="AE9" s="728"/>
      <c r="AF9" s="728"/>
      <c r="AG9" s="728"/>
      <c r="AH9" s="961"/>
      <c r="AI9" s="961"/>
      <c r="AJ9" s="961"/>
      <c r="AK9" s="961"/>
      <c r="AL9" s="961"/>
      <c r="AM9" s="728"/>
      <c r="AN9" s="728"/>
      <c r="AO9" s="728"/>
      <c r="AP9" s="728"/>
      <c r="AQ9" s="728"/>
      <c r="AR9" s="16717"/>
      <c r="AS9" s="16718"/>
      <c r="AT9" s="16719"/>
      <c r="AU9" s="16720"/>
      <c r="AV9" s="16721"/>
      <c r="AW9" s="16722"/>
      <c r="AX9" s="16723"/>
      <c r="AY9" s="16724"/>
      <c r="AZ9" s="16725"/>
      <c r="BA9" s="16726"/>
      <c r="BB9" s="16727"/>
      <c r="BC9" s="728"/>
      <c r="BD9" s="1623" t="s">
        <v>485</v>
      </c>
      <c r="BF9" s="861"/>
      <c r="BG9" s="861" t="str">
        <f>IF(T9="","",T9)</f>
        <v>Добавить значение признака дифференциации</v>
      </c>
      <c r="BH9" s="861"/>
      <c r="BI9" s="861"/>
    </row>
    <row customHeight="1" ht="21" hidden="1">
      <c r="A10" s="1729"/>
      <c r="B10" s="1729"/>
      <c r="C10" s="1729"/>
      <c r="D10" s="1729"/>
      <c r="E10" s="2528"/>
      <c r="F10" s="2528"/>
      <c r="G10" s="2528"/>
      <c r="H10" s="2528"/>
      <c r="I10" s="2529"/>
      <c r="J10" s="1729"/>
      <c r="K10" s="1729"/>
      <c r="L10" s="1730"/>
      <c r="P10" s="2531"/>
      <c r="Q10" s="1847"/>
      <c r="R10" s="717"/>
      <c r="S10" s="1644"/>
      <c r="T10" s="726" t="s">
        <v>412</v>
      </c>
      <c r="U10" s="728"/>
      <c r="V10" s="728"/>
      <c r="W10" s="961"/>
      <c r="X10" s="961"/>
      <c r="Y10" s="961"/>
      <c r="Z10" s="961"/>
      <c r="AA10" s="961"/>
      <c r="AB10" s="961"/>
      <c r="AC10" s="728"/>
      <c r="AD10" s="728"/>
      <c r="AE10" s="728"/>
      <c r="AF10" s="727"/>
      <c r="AG10" s="728"/>
      <c r="AH10" s="961"/>
      <c r="AI10" s="961"/>
      <c r="AJ10" s="961"/>
      <c r="AK10" s="961"/>
      <c r="AL10" s="961"/>
      <c r="AM10" s="728"/>
      <c r="AN10" s="728"/>
      <c r="AO10" s="728"/>
      <c r="AP10" s="728"/>
      <c r="AQ10" s="727"/>
      <c r="AR10" s="16728"/>
      <c r="AS10" s="16729"/>
      <c r="AT10" s="16730"/>
      <c r="AU10" s="16731"/>
      <c r="AV10" s="16732"/>
      <c r="AW10" s="16733"/>
      <c r="AX10" s="16734"/>
      <c r="AY10" s="16735"/>
      <c r="AZ10" s="16736"/>
      <c r="BA10" s="16737"/>
      <c r="BB10" s="16738"/>
      <c r="BC10" s="728"/>
      <c r="BD10" s="1806"/>
      <c r="BF10" s="861"/>
      <c r="BG10" s="861" t="str">
        <f>IF(T10="","",T10)</f>
        <v>Добавить группу потребителей</v>
      </c>
      <c r="BH10" s="861"/>
      <c r="BI10" s="861"/>
    </row>
    <row customHeight="1" ht="21" hidden="1">
      <c r="A11" s="1729"/>
      <c r="B11" s="1729"/>
      <c r="C11" s="1729"/>
      <c r="D11" s="1729"/>
      <c r="E11" s="2528"/>
      <c r="F11" s="2528"/>
      <c r="G11" s="2528"/>
      <c r="H11" s="2527"/>
      <c r="I11" s="1729"/>
      <c r="J11" s="1729"/>
      <c r="K11" s="1729"/>
      <c r="L11" s="1730"/>
      <c r="M11" s="1731"/>
      <c r="N11" s="1731"/>
      <c r="O11" s="898"/>
      <c r="P11" s="721"/>
      <c r="Q11" s="736"/>
      <c r="R11" s="716"/>
      <c r="S11" s="1644"/>
      <c r="T11" s="733" t="s">
        <v>486</v>
      </c>
      <c r="U11" s="728"/>
      <c r="V11" s="728"/>
      <c r="W11" s="961"/>
      <c r="X11" s="961"/>
      <c r="Y11" s="961"/>
      <c r="Z11" s="961"/>
      <c r="AA11" s="961"/>
      <c r="AB11" s="961"/>
      <c r="AC11" s="728"/>
      <c r="AD11" s="728"/>
      <c r="AE11" s="728"/>
      <c r="AF11" s="727"/>
      <c r="AG11" s="728"/>
      <c r="AH11" s="961"/>
      <c r="AI11" s="961"/>
      <c r="AJ11" s="961"/>
      <c r="AK11" s="961"/>
      <c r="AL11" s="961"/>
      <c r="AM11" s="728"/>
      <c r="AN11" s="728"/>
      <c r="AO11" s="728"/>
      <c r="AP11" s="728"/>
      <c r="AQ11" s="727"/>
      <c r="AR11" s="16739"/>
      <c r="AS11" s="16740"/>
      <c r="AT11" s="16741"/>
      <c r="AU11" s="16742"/>
      <c r="AV11" s="16743"/>
      <c r="AW11" s="16744"/>
      <c r="AX11" s="16745"/>
      <c r="AY11" s="16746"/>
      <c r="AZ11" s="16747"/>
      <c r="BA11" s="16748"/>
      <c r="BB11" s="16749"/>
      <c r="BC11" s="728"/>
      <c r="BD11" s="664"/>
      <c r="BF11" s="861"/>
      <c r="BG11" s="861" t="str">
        <f>IF(T11="","",T11)</f>
        <v>Добавить наименование признака дифференциации</v>
      </c>
      <c r="BH11" s="861"/>
      <c r="BI11" s="861"/>
    </row>
    <row s="19127" customFormat="1" customHeight="1" ht="14.25" hidden="1">
      <c r="A12" s="1709"/>
      <c r="B12" s="1709"/>
      <c r="C12" s="1680"/>
      <c r="D12" s="1680"/>
      <c r="E12" s="2528"/>
      <c r="F12" s="2527"/>
      <c r="G12" s="1680"/>
      <c r="H12" s="1680"/>
      <c r="I12" s="1680"/>
      <c r="J12" s="1680"/>
      <c r="K12" s="1680"/>
      <c r="L12" s="1860"/>
      <c r="M12" s="1687"/>
      <c r="N12" s="1687"/>
      <c r="P12" s="1682"/>
      <c r="Q12" s="1683"/>
      <c r="R12" s="1682"/>
      <c r="S12" s="1688"/>
      <c r="T12" s="1691" t="s">
        <v>251</v>
      </c>
      <c r="U12" s="1690"/>
      <c r="V12" s="1690"/>
      <c r="W12" s="1690"/>
      <c r="X12" s="1690"/>
      <c r="Y12" s="1690"/>
      <c r="Z12" s="1690"/>
      <c r="AA12" s="1690"/>
      <c r="AB12" s="1690"/>
      <c r="AC12" s="1690"/>
      <c r="AD12" s="1690"/>
      <c r="AE12" s="1690"/>
      <c r="AF12" s="1690"/>
      <c r="AG12" s="1690"/>
      <c r="AH12" s="1690"/>
      <c r="AI12" s="1690"/>
      <c r="AJ12" s="1690"/>
      <c r="AK12" s="1690"/>
      <c r="AL12" s="1690"/>
      <c r="AM12" s="1690"/>
      <c r="AN12" s="1690"/>
      <c r="AO12" s="1690"/>
      <c r="AP12" s="1690"/>
      <c r="AQ12" s="1690"/>
      <c r="AR12" s="16750"/>
      <c r="AS12" s="16750"/>
      <c r="AT12" s="16750"/>
      <c r="AU12" s="16750"/>
      <c r="AV12" s="16750"/>
      <c r="AW12" s="16750"/>
      <c r="AX12" s="16750"/>
      <c r="AY12" s="16750"/>
      <c r="AZ12" s="16750"/>
      <c r="BA12" s="16750"/>
      <c r="BB12" s="16750"/>
      <c r="BC12" s="1690"/>
      <c r="BD12" s="1690"/>
      <c r="BF12" s="1150"/>
      <c r="BG12" s="1150" t="str">
        <f>IF(T12="","",T12)</f>
        <v>Добавить централизованную систему для дифференциации</v>
      </c>
      <c r="BH12" s="1150"/>
      <c r="BI12" s="1150"/>
    </row>
    <row s="19219" customFormat="1" customHeight="1" ht="14.25" hidden="1">
      <c r="A13" s="1709"/>
      <c r="B13" s="1709"/>
      <c r="C13" s="1709"/>
      <c r="D13" s="1709"/>
      <c r="E13" s="2527"/>
      <c r="F13" s="1709"/>
      <c r="G13" s="1709"/>
      <c r="H13" s="1709"/>
      <c r="I13" s="1709"/>
      <c r="J13" s="1709"/>
      <c r="K13" s="1709"/>
      <c r="L13" s="1712"/>
      <c r="M13" s="1687"/>
      <c r="N13" s="1687"/>
      <c r="O13" s="879"/>
      <c r="P13" s="741"/>
      <c r="Q13" s="1710"/>
      <c r="R13" s="741"/>
      <c r="S13" s="1688"/>
      <c r="T13" s="1691" t="s">
        <v>252</v>
      </c>
      <c r="U13" s="1690"/>
      <c r="V13" s="1690"/>
      <c r="W13" s="1690"/>
      <c r="X13" s="1690"/>
      <c r="Y13" s="1690"/>
      <c r="Z13" s="1690"/>
      <c r="AA13" s="1690"/>
      <c r="AB13" s="1690"/>
      <c r="AC13" s="1690"/>
      <c r="AD13" s="1690"/>
      <c r="AE13" s="1690"/>
      <c r="AF13" s="1690"/>
      <c r="AG13" s="1690"/>
      <c r="AH13" s="1690"/>
      <c r="AI13" s="1690"/>
      <c r="AJ13" s="1690"/>
      <c r="AK13" s="1690"/>
      <c r="AL13" s="1690"/>
      <c r="AM13" s="1690"/>
      <c r="AN13" s="1690"/>
      <c r="AO13" s="1690"/>
      <c r="AP13" s="1690"/>
      <c r="AQ13" s="1690"/>
      <c r="AR13" s="16750"/>
      <c r="AS13" s="16750"/>
      <c r="AT13" s="16750"/>
      <c r="AU13" s="16750"/>
      <c r="AV13" s="16750"/>
      <c r="AW13" s="16750"/>
      <c r="AX13" s="16750"/>
      <c r="AY13" s="16750"/>
      <c r="AZ13" s="16750"/>
      <c r="BA13" s="16750"/>
      <c r="BB13" s="16750"/>
      <c r="BC13" s="1690"/>
      <c r="BD13" s="1690"/>
      <c r="BF13" s="861"/>
      <c r="BG13" s="861" t="str">
        <f>IF(T13="","",T13)</f>
        <v>Добавить территорию для дифференциации</v>
      </c>
      <c r="BH13" s="861"/>
      <c r="BI13" s="861"/>
    </row>
    <row customHeight="1" ht="14.25" hidden="1">
      <c r="AF14" s="688"/>
      <c r="AQ14" s="688"/>
      <c r="AR14" s="16702"/>
      <c r="AS14" s="16702"/>
      <c r="AT14" s="16702"/>
      <c r="AU14" s="16702"/>
      <c r="AV14" s="16702"/>
      <c r="AW14" s="16702"/>
      <c r="AX14" s="16702"/>
      <c r="AY14" s="16702"/>
      <c r="AZ14" s="16702"/>
      <c r="BA14" s="16702"/>
      <c r="BB14" s="16702"/>
    </row>
    <row customHeight="1" ht="14.25" hidden="1">
      <c r="AG15" s="1726"/>
      <c r="AH15" s="1726"/>
      <c r="AI15" s="1726"/>
      <c r="AJ15" s="1726"/>
      <c r="AK15" s="1726"/>
      <c r="AL15" s="1726"/>
      <c r="AM15" s="1726"/>
      <c r="AN15" s="2525"/>
      <c r="AO15" s="2524" t="s">
        <v>59</v>
      </c>
      <c r="AP15" s="2525"/>
      <c r="AQ15" s="2524" t="s">
        <v>59</v>
      </c>
      <c r="AR15" s="16702"/>
      <c r="AS15" s="16702"/>
      <c r="AT15" s="16702"/>
      <c r="AU15" s="16702"/>
      <c r="AV15" s="16702"/>
      <c r="AW15" s="16702"/>
      <c r="AX15" s="16702"/>
      <c r="AY15" s="16702"/>
      <c r="AZ15" s="16702"/>
      <c r="BA15" s="16702"/>
      <c r="BB15" s="16702"/>
    </row>
    <row customHeight="1" ht="14.25" hidden="1">
      <c r="AG16" s="1726"/>
      <c r="AH16" s="1726"/>
      <c r="AI16" s="1726"/>
      <c r="AJ16" s="1726"/>
      <c r="AK16" s="1726"/>
      <c r="AL16" s="1726"/>
      <c r="AM16" s="1726"/>
      <c r="AN16" s="2524"/>
      <c r="AO16" s="2524"/>
      <c r="AP16" s="2524"/>
      <c r="AQ16" s="2524"/>
      <c r="AR16" s="16702"/>
      <c r="AS16" s="16702"/>
      <c r="AT16" s="16702"/>
      <c r="AU16" s="16702"/>
      <c r="AV16" s="16702"/>
      <c r="AW16" s="16702"/>
      <c r="AX16" s="16702"/>
      <c r="AY16" s="16702"/>
      <c r="AZ16" s="16702"/>
      <c r="BA16" s="16702"/>
      <c r="BB16" s="16702"/>
    </row>
    <row customHeight="1" ht="14.25" hidden="1">
      <c r="AQ17" s="688"/>
      <c r="AR17" s="16702"/>
      <c r="AS17" s="16702"/>
      <c r="AT17" s="16702"/>
      <c r="AU17" s="16702"/>
      <c r="AV17" s="16702"/>
      <c r="AW17" s="16702"/>
      <c r="AX17" s="16702"/>
      <c r="AY17" s="16702"/>
      <c r="AZ17" s="16702"/>
      <c r="BA17" s="16702"/>
      <c r="BB17" s="16702"/>
    </row>
    <row s="19146" customFormat="1" customHeight="1" ht="22.5" hidden="1">
      <c r="L18" s="1844"/>
      <c r="M18" s="1728"/>
      <c r="N18" s="1728"/>
      <c r="O18" s="1733" t="s">
        <v>415</v>
      </c>
      <c r="P18" s="1728"/>
      <c r="Q18" s="1737"/>
      <c r="R18" s="1737"/>
      <c r="S18" s="1090"/>
      <c r="W18" s="1732"/>
      <c r="X18" s="1732"/>
      <c r="Y18" s="1732"/>
      <c r="Z18" s="1732"/>
      <c r="AA18" s="1732"/>
      <c r="AB18" s="1732"/>
      <c r="AC18" s="1733"/>
      <c r="AE18" s="1733"/>
      <c r="AF18" s="1732"/>
      <c r="AH18" s="1732"/>
      <c r="AI18" s="1732"/>
      <c r="AJ18" s="1732"/>
      <c r="AK18" s="1732"/>
      <c r="AL18" s="1732"/>
      <c r="AN18" s="1733"/>
      <c r="AP18" s="1733"/>
      <c r="AQ18" s="1732"/>
      <c r="AR18" s="16751"/>
      <c r="AS18" s="16751"/>
      <c r="AT18" s="16751"/>
      <c r="AU18" s="16751"/>
      <c r="AV18" s="16751"/>
      <c r="AW18" s="16751"/>
      <c r="AX18" s="16751"/>
      <c r="AY18" s="16752"/>
      <c r="AZ18" s="16751"/>
      <c r="BA18" s="16752"/>
      <c r="BB18" s="16751"/>
      <c r="BE18" s="872"/>
      <c r="BF18" s="872"/>
      <c r="BG18" s="872"/>
      <c r="BH18" s="872"/>
      <c r="BI18" s="872"/>
    </row>
    <row s="19146" customFormat="1" customHeight="1" ht="14.25" hidden="1">
      <c r="L19" s="1844"/>
      <c r="M19" s="1728"/>
      <c r="N19" s="1728"/>
      <c r="O19" s="1728"/>
      <c r="P19" s="1728"/>
      <c r="Q19" s="1737"/>
      <c r="R19" s="1737"/>
      <c r="S19" s="1090"/>
      <c r="W19" s="1732"/>
      <c r="X19" s="1732"/>
      <c r="Y19" s="1732"/>
      <c r="Z19" s="1732"/>
      <c r="AA19" s="1732"/>
      <c r="AB19" s="1732"/>
      <c r="AF19" s="1732"/>
      <c r="AH19" s="1732"/>
      <c r="AI19" s="1732"/>
      <c r="AJ19" s="1732"/>
      <c r="AK19" s="1732"/>
      <c r="AL19" s="1732"/>
      <c r="AQ19" s="1732"/>
      <c r="AR19" s="16751"/>
      <c r="AS19" s="16751"/>
      <c r="AT19" s="16751"/>
      <c r="AU19" s="16751"/>
      <c r="AV19" s="16751"/>
      <c r="AW19" s="16751"/>
      <c r="AX19" s="16751"/>
      <c r="AY19" s="16751"/>
      <c r="AZ19" s="16751"/>
      <c r="BA19" s="16751"/>
      <c r="BB19" s="16751"/>
      <c r="BE19" s="872"/>
      <c r="BF19" s="872"/>
      <c r="BG19" s="872"/>
      <c r="BH19" s="872"/>
      <c r="BI19" s="872"/>
    </row>
    <row s="19146" customFormat="1" customHeight="1" ht="12" hidden="1">
      <c r="L20" s="1844"/>
      <c r="M20" s="1728"/>
      <c r="N20" s="1728"/>
      <c r="O20" s="1730" t="s">
        <v>416</v>
      </c>
      <c r="P20" s="1728"/>
      <c r="Q20" s="1808"/>
      <c r="R20" s="1808"/>
      <c r="S20" s="1090"/>
      <c r="T20" s="1523" t="s">
        <v>417</v>
      </c>
      <c r="W20" s="1732"/>
      <c r="X20" s="1732"/>
      <c r="Y20" s="1732"/>
      <c r="Z20" s="1732"/>
      <c r="AA20" s="1732"/>
      <c r="AB20" s="1732"/>
      <c r="AD20" s="547" t="s">
        <v>418</v>
      </c>
      <c r="AF20" s="547" t="s">
        <v>419</v>
      </c>
      <c r="AG20" s="1523" t="s">
        <v>417</v>
      </c>
      <c r="AH20" s="1732"/>
      <c r="AI20" s="1732"/>
      <c r="AJ20" s="1732"/>
      <c r="AK20" s="1732"/>
      <c r="AL20" s="1732"/>
      <c r="AO20" s="547" t="s">
        <v>420</v>
      </c>
      <c r="AQ20" s="547" t="s">
        <v>419</v>
      </c>
      <c r="AR20" s="16751"/>
      <c r="AS20" s="16751"/>
      <c r="AT20" s="16751"/>
      <c r="AU20" s="16751"/>
      <c r="AV20" s="16751"/>
      <c r="AW20" s="16751"/>
      <c r="AX20" s="16751"/>
      <c r="AY20" s="16751"/>
      <c r="AZ20" s="16753" t="s">
        <v>418</v>
      </c>
      <c r="BA20" s="16751"/>
      <c r="BB20" s="16753" t="s">
        <v>419</v>
      </c>
    </row>
    <row customHeight="1" ht="14.25" hidden="1">
      <c r="O21" s="1730"/>
      <c r="AR21" s="16702"/>
      <c r="AS21" s="16702"/>
      <c r="AT21" s="16702"/>
      <c r="AU21" s="16702"/>
      <c r="AV21" s="16702"/>
      <c r="AW21" s="16702"/>
      <c r="AX21" s="16702"/>
      <c r="AY21" s="16702"/>
      <c r="AZ21" s="16702"/>
      <c r="BA21" s="16702"/>
      <c r="BB21" s="16702"/>
    </row>
    <row customHeight="1" ht="14.25" hidden="1">
      <c r="O22" s="1730"/>
      <c r="AR22" s="16702"/>
      <c r="AS22" s="16702"/>
      <c r="AT22" s="16702"/>
      <c r="AU22" s="16702"/>
      <c r="AV22" s="16702"/>
      <c r="AW22" s="16702"/>
      <c r="AX22" s="16702"/>
      <c r="AY22" s="16702"/>
      <c r="AZ22" s="16702"/>
      <c r="BA22" s="16702"/>
      <c r="BB22" s="16702"/>
    </row>
    <row customHeight="1" ht="14.25">
      <c r="Q23" s="737"/>
      <c r="R23" s="737"/>
      <c r="S23" s="1641"/>
      <c r="T23" s="724"/>
      <c r="U23" s="724"/>
      <c r="V23" s="870"/>
      <c r="W23" s="2001"/>
      <c r="X23" s="2001"/>
      <c r="Y23" s="2001"/>
      <c r="Z23" s="2001"/>
      <c r="AA23" s="2001"/>
      <c r="AB23" s="2001"/>
      <c r="AC23" s="870"/>
      <c r="AD23" s="870"/>
      <c r="AE23" s="870"/>
      <c r="AF23" s="870"/>
      <c r="AG23" s="870"/>
      <c r="AH23" s="2001"/>
      <c r="AI23" s="2001"/>
      <c r="AJ23" s="2001"/>
      <c r="AK23" s="2001"/>
      <c r="AL23" s="2001"/>
      <c r="AM23" s="870"/>
      <c r="AN23" s="870"/>
      <c r="AO23" s="870"/>
      <c r="AP23" s="870"/>
      <c r="AQ23" s="870"/>
      <c r="AR23" s="16702"/>
      <c r="AS23" s="16702"/>
      <c r="AT23" s="16702"/>
      <c r="AU23" s="16702"/>
      <c r="AV23" s="16702"/>
      <c r="AW23" s="16702"/>
      <c r="AX23" s="16702"/>
      <c r="AY23" s="16702"/>
      <c r="AZ23" s="16702"/>
      <c r="BA23" s="16702"/>
      <c r="BB23" s="16702"/>
    </row>
    <row customHeight="1" ht="24.75">
      <c r="Q24" s="737"/>
      <c r="R24" s="737"/>
      <c r="S24" s="256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560"/>
      <c r="U24" s="2560"/>
      <c r="V24" s="2560"/>
      <c r="W24" s="2560"/>
      <c r="X24" s="2560"/>
      <c r="Y24" s="2560"/>
      <c r="Z24" s="2560"/>
      <c r="AA24" s="2560"/>
      <c r="AB24" s="2560"/>
      <c r="AC24" s="2560"/>
      <c r="AD24" s="2560"/>
      <c r="AE24" s="2560"/>
      <c r="AF24" s="2560"/>
      <c r="AG24" s="2560"/>
      <c r="AH24" s="2560"/>
      <c r="AI24" s="2560"/>
      <c r="AJ24" s="2560"/>
      <c r="AK24" s="2560"/>
      <c r="AL24" s="2560"/>
      <c r="AM24" s="2560"/>
      <c r="AN24" s="2560"/>
      <c r="AO24" s="2560"/>
      <c r="AP24" s="2560"/>
      <c r="AQ24" s="1608"/>
      <c r="AR24" s="16754"/>
      <c r="AS24" s="16754"/>
      <c r="AT24" s="16754"/>
      <c r="AU24" s="16754"/>
      <c r="AV24" s="16754"/>
      <c r="AW24" s="16754"/>
      <c r="AX24" s="16754"/>
      <c r="AY24" s="16754"/>
      <c r="AZ24" s="16754"/>
      <c r="BA24" s="16754"/>
      <c r="BB24" s="16754"/>
    </row>
    <row customHeight="1" ht="14.25">
      <c r="Q25" s="737"/>
      <c r="R25" s="737"/>
      <c r="S25" s="2561" t="str">
        <f>IF(org=0,"Не определено",org)</f>
        <v>Филиал "Шатурская ГРЭС" ПАО "Юнипро"</v>
      </c>
      <c r="T25" s="2561"/>
      <c r="U25" s="2561"/>
      <c r="V25" s="2561"/>
      <c r="W25" s="2561"/>
      <c r="X25" s="2561"/>
      <c r="Y25" s="2561"/>
      <c r="Z25" s="2561"/>
      <c r="AA25" s="2561"/>
      <c r="AB25" s="2561"/>
      <c r="AC25" s="2561"/>
      <c r="AD25" s="2561"/>
      <c r="AE25" s="2561"/>
      <c r="AF25" s="2561"/>
      <c r="AG25" s="2561"/>
      <c r="AH25" s="2561"/>
      <c r="AI25" s="2561"/>
      <c r="AJ25" s="2561"/>
      <c r="AK25" s="2561"/>
      <c r="AL25" s="2561"/>
      <c r="AM25" s="2561"/>
      <c r="AN25" s="2561"/>
      <c r="AO25" s="2561"/>
      <c r="AP25" s="2561"/>
      <c r="AQ25" s="1608"/>
      <c r="AR25" s="16755"/>
      <c r="AS25" s="16755"/>
      <c r="AT25" s="16755"/>
      <c r="AU25" s="16755"/>
      <c r="AV25" s="16755"/>
      <c r="AW25" s="16755"/>
      <c r="AX25" s="16755"/>
      <c r="AY25" s="16755"/>
      <c r="AZ25" s="16755"/>
      <c r="BA25" s="16755"/>
      <c r="BB25" s="16755"/>
    </row>
    <row customHeight="1" ht="14.25">
      <c r="Q26" s="737"/>
      <c r="R26" s="737"/>
      <c r="S26" s="1641"/>
      <c r="T26" s="724"/>
      <c r="U26" s="724"/>
      <c r="V26" s="683"/>
      <c r="W26" s="683"/>
      <c r="X26" s="683"/>
      <c r="Y26" s="683"/>
      <c r="Z26" s="683"/>
      <c r="AA26" s="683"/>
      <c r="AB26" s="683"/>
      <c r="AC26" s="683"/>
      <c r="AD26" s="683"/>
      <c r="AE26" s="683"/>
      <c r="AF26" s="683"/>
      <c r="AG26" s="683"/>
      <c r="AH26" s="683"/>
      <c r="AI26" s="683"/>
      <c r="AJ26" s="683"/>
      <c r="AK26" s="683"/>
      <c r="AL26" s="683"/>
      <c r="AM26" s="683"/>
      <c r="AN26" s="683"/>
      <c r="AO26" s="683"/>
      <c r="AP26" s="683"/>
      <c r="AQ26" s="683"/>
      <c r="AR26" s="16756"/>
      <c r="AS26" s="16756"/>
      <c r="AT26" s="16756"/>
      <c r="AU26" s="16756"/>
      <c r="AV26" s="16756"/>
      <c r="AW26" s="16756"/>
      <c r="AX26" s="16756"/>
      <c r="AY26" s="16756"/>
      <c r="AZ26" s="16756"/>
      <c r="BA26" s="16756"/>
      <c r="BB26" s="16756"/>
      <c r="BC26" s="870"/>
    </row>
    <row s="19160" customFormat="1" customHeight="1" ht="25.5">
      <c r="A27" s="1734"/>
      <c r="B27" s="1734"/>
      <c r="C27" s="1734"/>
      <c r="D27" s="1734"/>
      <c r="E27" s="1734"/>
      <c r="F27" s="1734"/>
      <c r="G27" s="1734"/>
      <c r="H27" s="1734"/>
      <c r="I27" s="1734"/>
      <c r="J27" s="1734"/>
      <c r="K27" s="1734"/>
      <c r="L27" s="1735"/>
      <c r="M27" s="1734"/>
      <c r="N27" s="1734"/>
      <c r="O27" s="1734"/>
      <c r="S27" s="2518" t="s">
        <v>38</v>
      </c>
      <c r="T27" s="2518"/>
      <c r="U27" s="1738"/>
      <c r="V27" s="2520" t="str">
        <f>IF(TITLE_NAME_OR_PR_CHANGE="",IF(TITLE_NAME_OR_PR="","",TITLE_NAME_OR_PR),TITLE_NAME_OR_PR_CHANGE)</f>
        <v>Комитет по ценам и тарифам по Московской области</v>
      </c>
      <c r="W27" s="2520"/>
      <c r="X27" s="2520"/>
      <c r="Y27" s="2520"/>
      <c r="Z27" s="2520"/>
      <c r="AA27" s="2520"/>
      <c r="AB27" s="2520"/>
      <c r="AC27" s="2520"/>
      <c r="AD27" s="2520"/>
      <c r="AE27" s="2520"/>
      <c r="AF27" s="687"/>
      <c r="AG27" s="2520" t="str">
        <f>IF(TITLE_NAME_OR_PR_CHANGE="",IF(TITLE_NAME_OR_PR="","",TITLE_NAME_OR_PR),TITLE_NAME_OR_PR_CHANGE)</f>
        <v>Комитет по ценам и тарифам по Московской области</v>
      </c>
      <c r="AH27" s="2520"/>
      <c r="AI27" s="2520"/>
      <c r="AJ27" s="2520"/>
      <c r="AK27" s="2520"/>
      <c r="AL27" s="2520"/>
      <c r="AM27" s="2520"/>
      <c r="AN27" s="2520"/>
      <c r="AO27" s="2520"/>
      <c r="AP27" s="2520"/>
      <c r="AQ27" s="687"/>
      <c r="AR27" s="16757" t="str">
        <f>IF(TITLE_NAME_OR_PR_CHANGE="",IF(TITLE_NAME_OR_PR="","",TITLE_NAME_OR_PR),TITLE_NAME_OR_PR_CHANGE)</f>
        <v>Комитет по ценам и тарифам по Московской области</v>
      </c>
      <c r="AS27" s="16757"/>
      <c r="AT27" s="16757"/>
      <c r="AU27" s="16757"/>
      <c r="AV27" s="16757"/>
      <c r="AW27" s="16757"/>
      <c r="AX27" s="16757"/>
      <c r="AY27" s="16757"/>
      <c r="AZ27" s="16757"/>
      <c r="BA27" s="16757"/>
      <c r="BB27" s="16702"/>
      <c r="BC27" s="687"/>
      <c r="BD27" s="641"/>
      <c r="BE27" s="729"/>
      <c r="BF27" s="729"/>
      <c r="BG27" s="729"/>
      <c r="BH27" s="729"/>
      <c r="BI27" s="729"/>
    </row>
    <row s="19160" customFormat="1" customHeight="1" ht="18.75">
      <c r="A28" s="1734"/>
      <c r="B28" s="1734"/>
      <c r="C28" s="1734"/>
      <c r="D28" s="1734"/>
      <c r="E28" s="1734"/>
      <c r="F28" s="1734"/>
      <c r="G28" s="1734"/>
      <c r="H28" s="1734"/>
      <c r="I28" s="1734"/>
      <c r="J28" s="1734"/>
      <c r="K28" s="1734"/>
      <c r="L28" s="1735"/>
      <c r="M28" s="1734"/>
      <c r="N28" s="1734"/>
      <c r="O28" s="1734"/>
      <c r="S28" s="2518" t="s">
        <v>421</v>
      </c>
      <c r="T28" s="2518"/>
      <c r="U28" s="1738"/>
      <c r="V28" s="2519" t="str">
        <f>IF(TITLE_DATE_PR_CHANGE="",IF(TITLE_DATE_PR="","",TITLE_DATE_PR),TITLE_DATE_PR_CHANGE)</f>
        <v>45280.70914351852</v>
      </c>
      <c r="W28" s="2519"/>
      <c r="X28" s="2519"/>
      <c r="Y28" s="2519"/>
      <c r="Z28" s="2519"/>
      <c r="AA28" s="2519"/>
      <c r="AB28" s="2519"/>
      <c r="AC28" s="2519"/>
      <c r="AD28" s="2519"/>
      <c r="AE28" s="2519"/>
      <c r="AF28" s="687"/>
      <c r="AG28" s="2519" t="str">
        <f>IF(TITLE_DATE_PR_CHANGE="",IF(TITLE_DATE_PR="","",TITLE_DATE_PR),TITLE_DATE_PR_CHANGE)</f>
        <v>45280.70914351852</v>
      </c>
      <c r="AH28" s="2519"/>
      <c r="AI28" s="2519"/>
      <c r="AJ28" s="2519"/>
      <c r="AK28" s="2519"/>
      <c r="AL28" s="2519"/>
      <c r="AM28" s="2519"/>
      <c r="AN28" s="2519"/>
      <c r="AO28" s="2519"/>
      <c r="AP28" s="2519"/>
      <c r="AQ28" s="687"/>
      <c r="AR28" s="16758" t="str">
        <f>IF(TITLE_DATE_PR_CHANGE="",IF(TITLE_DATE_PR="","",TITLE_DATE_PR),TITLE_DATE_PR_CHANGE)</f>
        <v>45280.70914351852</v>
      </c>
      <c r="AS28" s="16758"/>
      <c r="AT28" s="16758"/>
      <c r="AU28" s="16758"/>
      <c r="AV28" s="16758"/>
      <c r="AW28" s="16758"/>
      <c r="AX28" s="16758"/>
      <c r="AY28" s="16758"/>
      <c r="AZ28" s="16758"/>
      <c r="BA28" s="16758"/>
      <c r="BB28" s="16702"/>
      <c r="BC28" s="687"/>
      <c r="BD28" s="641"/>
      <c r="BE28" s="729"/>
      <c r="BF28" s="729"/>
      <c r="BG28" s="729"/>
      <c r="BH28" s="729"/>
      <c r="BI28" s="729"/>
    </row>
    <row s="19160" customFormat="1" customHeight="1" ht="18.75">
      <c r="A29" s="1734"/>
      <c r="B29" s="1734"/>
      <c r="C29" s="1734"/>
      <c r="D29" s="1734"/>
      <c r="E29" s="1734"/>
      <c r="F29" s="1734"/>
      <c r="G29" s="1734"/>
      <c r="H29" s="1734"/>
      <c r="I29" s="1734"/>
      <c r="J29" s="1734"/>
      <c r="K29" s="1734"/>
      <c r="L29" s="1735"/>
      <c r="M29" s="1734"/>
      <c r="N29" s="1734"/>
      <c r="O29" s="1734"/>
      <c r="S29" s="2518" t="s">
        <v>422</v>
      </c>
      <c r="T29" s="2518"/>
      <c r="U29" s="1738"/>
      <c r="V29" s="2520" t="str">
        <f>IF(TITLE_NUMBER_PR_CHANGE="",IF(TITLE_NUMBER_PR="","",TITLE_NUMBER_PR),TITLE_NUMBER_PR_CHANGE)</f>
        <v>317-Р</v>
      </c>
      <c r="W29" s="2520"/>
      <c r="X29" s="2520"/>
      <c r="Y29" s="2520"/>
      <c r="Z29" s="2520"/>
      <c r="AA29" s="2520"/>
      <c r="AB29" s="2520"/>
      <c r="AC29" s="2520"/>
      <c r="AD29" s="2520"/>
      <c r="AE29" s="2520"/>
      <c r="AF29" s="687"/>
      <c r="AG29" s="2520" t="str">
        <f>IF(TITLE_NUMBER_PR_CHANGE="",IF(TITLE_NUMBER_PR="","",TITLE_NUMBER_PR),TITLE_NUMBER_PR_CHANGE)</f>
        <v>317-Р</v>
      </c>
      <c r="AH29" s="2520"/>
      <c r="AI29" s="2520"/>
      <c r="AJ29" s="2520"/>
      <c r="AK29" s="2520"/>
      <c r="AL29" s="2520"/>
      <c r="AM29" s="2520"/>
      <c r="AN29" s="2520"/>
      <c r="AO29" s="2520"/>
      <c r="AP29" s="2520"/>
      <c r="AQ29" s="687"/>
      <c r="AR29" s="16757" t="str">
        <f>IF(TITLE_NUMBER_PR_CHANGE="",IF(TITLE_NUMBER_PR="","",TITLE_NUMBER_PR),TITLE_NUMBER_PR_CHANGE)</f>
        <v>317-Р</v>
      </c>
      <c r="AS29" s="16757"/>
      <c r="AT29" s="16757"/>
      <c r="AU29" s="16757"/>
      <c r="AV29" s="16757"/>
      <c r="AW29" s="16757"/>
      <c r="AX29" s="16757"/>
      <c r="AY29" s="16757"/>
      <c r="AZ29" s="16757"/>
      <c r="BA29" s="16757"/>
      <c r="BB29" s="16702"/>
      <c r="BC29" s="687"/>
      <c r="BD29" s="641"/>
      <c r="BE29" s="729"/>
      <c r="BF29" s="729"/>
      <c r="BG29" s="729"/>
      <c r="BH29" s="729"/>
      <c r="BI29" s="729"/>
    </row>
    <row s="19160" customFormat="1" customHeight="1" ht="18.75">
      <c r="A30" s="1734"/>
      <c r="B30" s="1734"/>
      <c r="C30" s="1734"/>
      <c r="D30" s="1734"/>
      <c r="E30" s="1734"/>
      <c r="F30" s="1734"/>
      <c r="G30" s="1734"/>
      <c r="H30" s="1734"/>
      <c r="I30" s="1734"/>
      <c r="J30" s="1734"/>
      <c r="K30" s="1734"/>
      <c r="L30" s="1735"/>
      <c r="M30" s="1734"/>
      <c r="N30" s="1734"/>
      <c r="O30" s="1734"/>
      <c r="S30" s="2518" t="s">
        <v>40</v>
      </c>
      <c r="T30" s="2518"/>
      <c r="U30" s="1738"/>
      <c r="V30"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520"/>
      <c r="X30" s="2520"/>
      <c r="Y30" s="2520"/>
      <c r="Z30" s="2520"/>
      <c r="AA30" s="2520"/>
      <c r="AB30" s="2520"/>
      <c r="AC30" s="2520"/>
      <c r="AD30" s="2520"/>
      <c r="AE30" s="2520"/>
      <c r="AF30" s="687"/>
      <c r="AG30"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H30" s="2520"/>
      <c r="AI30" s="2520"/>
      <c r="AJ30" s="2520"/>
      <c r="AK30" s="2520"/>
      <c r="AL30" s="2520"/>
      <c r="AM30" s="2520"/>
      <c r="AN30" s="2520"/>
      <c r="AO30" s="2520"/>
      <c r="AP30" s="2520"/>
      <c r="AQ30" s="687"/>
      <c r="AR30" s="16757"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S30" s="16757"/>
      <c r="AT30" s="16757"/>
      <c r="AU30" s="16757"/>
      <c r="AV30" s="16757"/>
      <c r="AW30" s="16757"/>
      <c r="AX30" s="16757"/>
      <c r="AY30" s="16757"/>
      <c r="AZ30" s="16757"/>
      <c r="BA30" s="16757"/>
      <c r="BB30" s="16702"/>
      <c r="BC30" s="687"/>
      <c r="BD30" s="641"/>
      <c r="BE30" s="729"/>
      <c r="BF30" s="729"/>
      <c r="BG30" s="729"/>
      <c r="BH30" s="729"/>
      <c r="BI30" s="729"/>
    </row>
    <row customHeight="1" ht="14.25" hidden="1">
      <c r="Q31" s="737"/>
      <c r="R31" s="737"/>
      <c r="S31" s="1641"/>
      <c r="T31" s="724"/>
      <c r="U31" s="724"/>
      <c r="V31" s="683"/>
      <c r="W31" s="683"/>
      <c r="X31" s="683"/>
      <c r="Y31" s="683"/>
      <c r="Z31" s="683"/>
      <c r="AA31" s="683"/>
      <c r="AB31" s="683"/>
      <c r="AC31" s="683"/>
      <c r="AD31" s="683"/>
      <c r="AE31" s="683"/>
      <c r="AF31" s="683"/>
      <c r="AG31" s="683"/>
      <c r="AH31" s="683"/>
      <c r="AI31" s="683"/>
      <c r="AJ31" s="683"/>
      <c r="AK31" s="683"/>
      <c r="AL31" s="683"/>
      <c r="AM31" s="683"/>
      <c r="AN31" s="683"/>
      <c r="AO31" s="683"/>
      <c r="AP31" s="683"/>
      <c r="AQ31" s="683"/>
      <c r="AR31" s="16756"/>
      <c r="AS31" s="16756"/>
      <c r="AT31" s="16756"/>
      <c r="AU31" s="16756"/>
      <c r="AV31" s="16756"/>
      <c r="AW31" s="16756"/>
      <c r="AX31" s="16756"/>
      <c r="AY31" s="16756"/>
      <c r="AZ31" s="16756"/>
      <c r="BA31" s="16756"/>
      <c r="BB31" s="16756"/>
      <c r="BC31" s="870"/>
    </row>
    <row s="19160" customFormat="1" customHeight="1" ht="18.75" hidden="1">
      <c r="A32" s="1734"/>
      <c r="B32" s="1734"/>
      <c r="C32" s="1734"/>
      <c r="D32" s="1734"/>
      <c r="E32" s="1734"/>
      <c r="F32" s="1734"/>
      <c r="G32" s="1734"/>
      <c r="H32" s="1734"/>
      <c r="I32" s="1734"/>
      <c r="J32" s="1734"/>
      <c r="K32" s="1734"/>
      <c r="L32" s="1735"/>
      <c r="M32" s="1734"/>
      <c r="N32" s="1734"/>
      <c r="O32" s="1734"/>
      <c r="S32" s="2518" t="s">
        <v>423</v>
      </c>
      <c r="T32" s="2518"/>
      <c r="U32" s="1738"/>
      <c r="V32" s="2519" t="str">
        <f>IF(TITLE_DATE_PR_CHANGE="",IF(TITLE_DATE_PR="","",TITLE_DATE_PR),TITLE_DATE_PR_CHANGE)</f>
        <v>45280.70914351852</v>
      </c>
      <c r="W32" s="2519"/>
      <c r="X32" s="2519"/>
      <c r="Y32" s="2519"/>
      <c r="Z32" s="2519"/>
      <c r="AA32" s="2519"/>
      <c r="AB32" s="2519"/>
      <c r="AC32" s="2519"/>
      <c r="AD32" s="2519"/>
      <c r="AE32" s="2519"/>
      <c r="AF32" s="687"/>
      <c r="AG32" s="2519" t="str">
        <f>IF(TITLE_DATE_PR_CHANGE="",IF(TITLE_DATE_PR="","",TITLE_DATE_PR),TITLE_DATE_PR_CHANGE)</f>
        <v>45280.70914351852</v>
      </c>
      <c r="AH32" s="2519"/>
      <c r="AI32" s="2519"/>
      <c r="AJ32" s="2519"/>
      <c r="AK32" s="2519"/>
      <c r="AL32" s="2519"/>
      <c r="AM32" s="2519"/>
      <c r="AN32" s="2519"/>
      <c r="AO32" s="2519"/>
      <c r="AP32" s="2519"/>
      <c r="AQ32" s="687"/>
      <c r="AR32" s="16758" t="str">
        <f>IF(TITLE_DATE_PR_CHANGE="",IF(TITLE_DATE_PR="","",TITLE_DATE_PR),TITLE_DATE_PR_CHANGE)</f>
        <v>45280.70914351852</v>
      </c>
      <c r="AS32" s="16758"/>
      <c r="AT32" s="16758"/>
      <c r="AU32" s="16758"/>
      <c r="AV32" s="16758"/>
      <c r="AW32" s="16758"/>
      <c r="AX32" s="16758"/>
      <c r="AY32" s="16758"/>
      <c r="AZ32" s="16758"/>
      <c r="BA32" s="16758"/>
      <c r="BB32" s="16702"/>
      <c r="BC32" s="687"/>
      <c r="BD32" s="641"/>
      <c r="BE32" s="729"/>
      <c r="BF32" s="729"/>
      <c r="BG32" s="729"/>
      <c r="BH32" s="729"/>
      <c r="BI32" s="729"/>
    </row>
    <row s="19160" customFormat="1" customHeight="1" ht="18.75" hidden="1">
      <c r="A33" s="1734"/>
      <c r="B33" s="1734"/>
      <c r="C33" s="1734"/>
      <c r="D33" s="1734"/>
      <c r="E33" s="1734"/>
      <c r="F33" s="1734"/>
      <c r="G33" s="1734"/>
      <c r="H33" s="1734"/>
      <c r="I33" s="1734"/>
      <c r="J33" s="1734"/>
      <c r="K33" s="1734"/>
      <c r="L33" s="1735"/>
      <c r="M33" s="1734"/>
      <c r="N33" s="1734"/>
      <c r="O33" s="1734"/>
      <c r="S33" s="2518" t="s">
        <v>424</v>
      </c>
      <c r="T33" s="2518"/>
      <c r="U33" s="1738"/>
      <c r="V33" s="2520" t="str">
        <f>IF(TITLE_NUMBER_PR_CHANGE="",IF(TITLE_NUMBER_PR="","",TITLE_NUMBER_PR),TITLE_NUMBER_PR_CHANGE)</f>
        <v>317-Р</v>
      </c>
      <c r="W33" s="2520"/>
      <c r="X33" s="2520"/>
      <c r="Y33" s="2520"/>
      <c r="Z33" s="2520"/>
      <c r="AA33" s="2520"/>
      <c r="AB33" s="2520"/>
      <c r="AC33" s="2520"/>
      <c r="AD33" s="2520"/>
      <c r="AE33" s="2520"/>
      <c r="AF33" s="687"/>
      <c r="AG33" s="2520" t="str">
        <f>IF(TITLE_NUMBER_PR_CHANGE="",IF(TITLE_NUMBER_PR="","",TITLE_NUMBER_PR),TITLE_NUMBER_PR_CHANGE)</f>
        <v>317-Р</v>
      </c>
      <c r="AH33" s="2520"/>
      <c r="AI33" s="2520"/>
      <c r="AJ33" s="2520"/>
      <c r="AK33" s="2520"/>
      <c r="AL33" s="2520"/>
      <c r="AM33" s="2520"/>
      <c r="AN33" s="2520"/>
      <c r="AO33" s="2520"/>
      <c r="AP33" s="2520"/>
      <c r="AQ33" s="687"/>
      <c r="AR33" s="16757" t="str">
        <f>IF(TITLE_NUMBER_PR_CHANGE="",IF(TITLE_NUMBER_PR="","",TITLE_NUMBER_PR),TITLE_NUMBER_PR_CHANGE)</f>
        <v>317-Р</v>
      </c>
      <c r="AS33" s="16757"/>
      <c r="AT33" s="16757"/>
      <c r="AU33" s="16757"/>
      <c r="AV33" s="16757"/>
      <c r="AW33" s="16757"/>
      <c r="AX33" s="16757"/>
      <c r="AY33" s="16757"/>
      <c r="AZ33" s="16757"/>
      <c r="BA33" s="16757"/>
      <c r="BB33" s="16702"/>
      <c r="BC33" s="687"/>
      <c r="BD33" s="641"/>
      <c r="BE33" s="729"/>
      <c r="BF33" s="729"/>
      <c r="BG33" s="729"/>
      <c r="BH33" s="729"/>
      <c r="BI33" s="729"/>
    </row>
    <row s="19160" customFormat="1" customHeight="1" ht="0.75">
      <c r="A34" s="1734"/>
      <c r="B34" s="1734"/>
      <c r="C34" s="1734"/>
      <c r="D34" s="1734"/>
      <c r="E34" s="1734"/>
      <c r="F34" s="1734"/>
      <c r="G34" s="1734"/>
      <c r="H34" s="1734"/>
      <c r="I34" s="1734"/>
      <c r="J34" s="1734"/>
      <c r="K34" s="1734"/>
      <c r="L34" s="1735"/>
      <c r="M34" s="1734"/>
      <c r="N34" s="1734"/>
      <c r="O34" s="1734"/>
      <c r="S34" s="684"/>
      <c r="T34" s="684"/>
      <c r="U34" s="1854"/>
      <c r="V34" s="687"/>
      <c r="W34" s="2001"/>
      <c r="X34" s="2001"/>
      <c r="Y34" s="2001"/>
      <c r="Z34" s="2001"/>
      <c r="AA34" s="2001"/>
      <c r="AB34" s="2001"/>
      <c r="AC34" s="687"/>
      <c r="AD34" s="687"/>
      <c r="AE34" s="687"/>
      <c r="AF34" s="639" t="s">
        <v>425</v>
      </c>
      <c r="AG34" s="687"/>
      <c r="AH34" s="2001"/>
      <c r="AI34" s="2001"/>
      <c r="AJ34" s="2001"/>
      <c r="AK34" s="2001"/>
      <c r="AL34" s="2001"/>
      <c r="AM34" s="687"/>
      <c r="AN34" s="687"/>
      <c r="AO34" s="687"/>
      <c r="AP34" s="687"/>
      <c r="AQ34" s="639" t="s">
        <v>425</v>
      </c>
      <c r="AR34" s="16702"/>
      <c r="AS34" s="16702"/>
      <c r="AT34" s="16702"/>
      <c r="AU34" s="16702"/>
      <c r="AV34" s="16702"/>
      <c r="AW34" s="16702"/>
      <c r="AX34" s="16702"/>
      <c r="AY34" s="16702"/>
      <c r="AZ34" s="16702"/>
      <c r="BA34" s="16702"/>
      <c r="BB34" s="16759" t="s">
        <v>425</v>
      </c>
      <c r="BE34" s="729"/>
      <c r="BF34" s="729"/>
      <c r="BG34" s="729"/>
      <c r="BH34" s="729"/>
      <c r="BI34" s="729"/>
    </row>
    <row customHeight="1" ht="14.25">
      <c r="Q35" s="737"/>
      <c r="R35" s="737"/>
      <c r="S35" s="1641"/>
      <c r="T35" s="724"/>
      <c r="U35" s="1609"/>
      <c r="V35" s="2544"/>
      <c r="W35" s="2544"/>
      <c r="X35" s="2544"/>
      <c r="Y35" s="2544"/>
      <c r="Z35" s="2544"/>
      <c r="AA35" s="2544"/>
      <c r="AB35" s="2544"/>
      <c r="AC35" s="2544"/>
      <c r="AD35" s="2544"/>
      <c r="AE35" s="2544"/>
      <c r="AF35" s="2544"/>
      <c r="AG35" s="2544"/>
      <c r="AH35" s="2544"/>
      <c r="AI35" s="2544"/>
      <c r="AJ35" s="2544"/>
      <c r="AK35" s="2544"/>
      <c r="AL35" s="2544"/>
      <c r="AM35" s="2544"/>
      <c r="AN35" s="2544"/>
      <c r="AO35" s="2544"/>
      <c r="AP35" s="2544"/>
      <c r="AQ35" s="2544"/>
      <c r="AR35" s="16760" t="s">
        <v>530</v>
      </c>
      <c r="AS35" s="16760"/>
      <c r="AT35" s="16760"/>
      <c r="AU35" s="16760"/>
      <c r="AV35" s="16760"/>
      <c r="AW35" s="16760"/>
      <c r="AX35" s="16760"/>
      <c r="AY35" s="16760"/>
      <c r="AZ35" s="16760"/>
      <c r="BA35" s="16760"/>
      <c r="BB35" s="16760"/>
    </row>
    <row customHeight="1" ht="14.25">
      <c r="Q36" s="737"/>
      <c r="R36" s="737"/>
      <c r="S36" s="2392" t="s">
        <v>300</v>
      </c>
      <c r="T36" s="2392"/>
      <c r="U36" s="2392"/>
      <c r="V36" s="2392"/>
      <c r="W36" s="2392"/>
      <c r="X36" s="2392"/>
      <c r="Y36" s="2392"/>
      <c r="Z36" s="2392"/>
      <c r="AA36" s="2392"/>
      <c r="AB36" s="2392"/>
      <c r="AC36" s="2392"/>
      <c r="AD36" s="2392"/>
      <c r="AE36" s="2392"/>
      <c r="AF36" s="2392"/>
      <c r="AG36" s="2392"/>
      <c r="AH36" s="2392"/>
      <c r="AI36" s="2392"/>
      <c r="AJ36" s="2392"/>
      <c r="AK36" s="2392"/>
      <c r="AL36" s="2392"/>
      <c r="AM36" s="2392"/>
      <c r="AN36" s="2392"/>
      <c r="AO36" s="2392"/>
      <c r="AP36" s="2392"/>
      <c r="AQ36" s="2392"/>
      <c r="AR36" s="16761" t="s">
        <v>300</v>
      </c>
      <c r="AS36" s="16761"/>
      <c r="AT36" s="16761"/>
      <c r="AU36" s="16761"/>
      <c r="AV36" s="16761"/>
      <c r="AW36" s="16761"/>
      <c r="AX36" s="16761"/>
      <c r="AY36" s="16761"/>
      <c r="AZ36" s="16761"/>
      <c r="BA36" s="16761"/>
      <c r="BB36" s="16761"/>
      <c r="BC36" s="2392"/>
      <c r="BD36" s="2392"/>
    </row>
    <row customHeight="1" ht="14.25">
      <c r="Q37" s="737"/>
      <c r="R37" s="737"/>
      <c r="S37" s="2545" t="s">
        <v>85</v>
      </c>
      <c r="T37" s="2482" t="s">
        <v>426</v>
      </c>
      <c r="U37" s="662"/>
      <c r="V37" s="2546" t="s">
        <v>427</v>
      </c>
      <c r="W37" s="2568"/>
      <c r="X37" s="2568"/>
      <c r="Y37" s="2568"/>
      <c r="Z37" s="2568"/>
      <c r="AA37" s="2568"/>
      <c r="AB37" s="2568"/>
      <c r="AC37" s="2547"/>
      <c r="AD37" s="2547"/>
      <c r="AE37" s="2548"/>
      <c r="AF37" s="2549" t="s">
        <v>428</v>
      </c>
      <c r="AG37" s="2546" t="s">
        <v>427</v>
      </c>
      <c r="AH37" s="2547"/>
      <c r="AI37" s="2547"/>
      <c r="AJ37" s="2547"/>
      <c r="AK37" s="2547"/>
      <c r="AL37" s="2547"/>
      <c r="AM37" s="2547"/>
      <c r="AN37" s="2547"/>
      <c r="AO37" s="2547"/>
      <c r="AP37" s="2548"/>
      <c r="AQ37" s="2549" t="s">
        <v>429</v>
      </c>
      <c r="AR37" s="16762" t="s">
        <v>427</v>
      </c>
      <c r="AS37" s="16763"/>
      <c r="AT37" s="16763"/>
      <c r="AU37" s="16763"/>
      <c r="AV37" s="16763"/>
      <c r="AW37" s="16763"/>
      <c r="AX37" s="16763"/>
      <c r="AY37" s="16764"/>
      <c r="AZ37" s="16764"/>
      <c r="BA37" s="16765"/>
      <c r="BB37" s="16766" t="s">
        <v>428</v>
      </c>
      <c r="BC37" s="2552" t="s">
        <v>430</v>
      </c>
      <c r="BD37" s="2392"/>
    </row>
    <row customHeight="1" ht="18.75">
      <c r="Q38" s="737"/>
      <c r="R38" s="737"/>
      <c r="S38" s="2545"/>
      <c r="T38" s="2482"/>
      <c r="U38" s="1393"/>
      <c r="V38" s="2632" t="s">
        <v>531</v>
      </c>
      <c r="W38" s="2631" t="s">
        <v>532</v>
      </c>
      <c r="X38" s="2631"/>
      <c r="Y38" s="2631"/>
      <c r="Z38" s="2631" t="s">
        <v>533</v>
      </c>
      <c r="AA38" s="2631"/>
      <c r="AB38" s="2631"/>
      <c r="AC38" s="2566" t="s">
        <v>434</v>
      </c>
      <c r="AD38" s="2584"/>
      <c r="AE38" s="2585"/>
      <c r="AF38" s="2550"/>
      <c r="AG38" s="2632" t="s">
        <v>531</v>
      </c>
      <c r="AH38" s="2631" t="s">
        <v>532</v>
      </c>
      <c r="AI38" s="2631"/>
      <c r="AJ38" s="2631"/>
      <c r="AK38" s="2631" t="s">
        <v>533</v>
      </c>
      <c r="AL38" s="2631"/>
      <c r="AM38" s="2631"/>
      <c r="AN38" s="2566" t="s">
        <v>434</v>
      </c>
      <c r="AO38" s="2584"/>
      <c r="AP38" s="2585"/>
      <c r="AQ38" s="2550"/>
      <c r="AR38" s="16761" t="s">
        <v>531</v>
      </c>
      <c r="AS38" s="16769" t="s">
        <v>532</v>
      </c>
      <c r="AT38" s="16769"/>
      <c r="AU38" s="16769"/>
      <c r="AV38" s="16769" t="s">
        <v>533</v>
      </c>
      <c r="AW38" s="16769"/>
      <c r="AX38" s="16769"/>
      <c r="AY38" s="16770" t="s">
        <v>434</v>
      </c>
      <c r="AZ38" s="16771"/>
      <c r="BA38" s="16772"/>
      <c r="BB38" s="16773"/>
      <c r="BC38" s="2553"/>
      <c r="BD38" s="2392"/>
    </row>
    <row s="19274" customFormat="1" customHeight="1" ht="18.75">
      <c r="A39" s="1732"/>
      <c r="B39" s="1732"/>
      <c r="C39" s="1732"/>
      <c r="D39" s="1732"/>
      <c r="E39" s="1732"/>
      <c r="F39" s="1732"/>
      <c r="G39" s="1732"/>
      <c r="H39" s="1732"/>
      <c r="I39" s="1732"/>
      <c r="J39" s="1732"/>
      <c r="K39" s="1732"/>
      <c r="L39" s="2318"/>
      <c r="M39" s="1728"/>
      <c r="N39" s="1728"/>
      <c r="O39" s="1728"/>
      <c r="P39" s="2332"/>
      <c r="Q39" s="737"/>
      <c r="R39" s="737"/>
      <c r="S39" s="2545"/>
      <c r="T39" s="2482"/>
      <c r="U39" s="1393"/>
      <c r="V39" s="2632"/>
      <c r="W39" s="2631" t="s">
        <v>534</v>
      </c>
      <c r="X39" s="2631" t="s">
        <v>535</v>
      </c>
      <c r="Y39" s="2631"/>
      <c r="Z39" s="2631" t="s">
        <v>536</v>
      </c>
      <c r="AA39" s="2631" t="s">
        <v>535</v>
      </c>
      <c r="AB39" s="2631"/>
      <c r="AC39" s="2567"/>
      <c r="AD39" s="2586"/>
      <c r="AE39" s="2587"/>
      <c r="AF39" s="2550"/>
      <c r="AG39" s="2632"/>
      <c r="AH39" s="2631" t="s">
        <v>534</v>
      </c>
      <c r="AI39" s="2631" t="s">
        <v>535</v>
      </c>
      <c r="AJ39" s="2631"/>
      <c r="AK39" s="2631" t="s">
        <v>536</v>
      </c>
      <c r="AL39" s="2631" t="s">
        <v>535</v>
      </c>
      <c r="AM39" s="2631"/>
      <c r="AN39" s="2567"/>
      <c r="AO39" s="2586"/>
      <c r="AP39" s="2587"/>
      <c r="AQ39" s="2550"/>
      <c r="AR39" s="16761"/>
      <c r="AS39" s="16769" t="s">
        <v>534</v>
      </c>
      <c r="AT39" s="16769" t="s">
        <v>535</v>
      </c>
      <c r="AU39" s="16769"/>
      <c r="AV39" s="16769" t="s">
        <v>536</v>
      </c>
      <c r="AW39" s="16769" t="s">
        <v>535</v>
      </c>
      <c r="AX39" s="16769"/>
      <c r="AY39" s="16775"/>
      <c r="AZ39" s="16776"/>
      <c r="BA39" s="16777"/>
      <c r="BB39" s="16773"/>
      <c r="BC39" s="2553"/>
      <c r="BD39" s="2392"/>
      <c r="BE39" s="2002"/>
      <c r="BF39" s="2002"/>
      <c r="BG39" s="2002"/>
      <c r="BH39" s="2002"/>
      <c r="BI39" s="2002"/>
    </row>
    <row customHeight="1" ht="59.25">
      <c r="A40" s="1736"/>
      <c r="B40" s="1736" t="s">
        <v>132</v>
      </c>
      <c r="C40" s="1736" t="s">
        <v>133</v>
      </c>
      <c r="D40" s="1736" t="s">
        <v>134</v>
      </c>
      <c r="E40" s="1730" t="s">
        <v>435</v>
      </c>
      <c r="F40" s="1730" t="s">
        <v>436</v>
      </c>
      <c r="G40" s="1730" t="s">
        <v>437</v>
      </c>
      <c r="H40" s="1730"/>
      <c r="I40" s="1730" t="s">
        <v>488</v>
      </c>
      <c r="J40" s="1730" t="s">
        <v>440</v>
      </c>
      <c r="K40" s="1730" t="s">
        <v>489</v>
      </c>
      <c r="L40" s="1730" t="s">
        <v>416</v>
      </c>
      <c r="Q40" s="737"/>
      <c r="R40" s="737"/>
      <c r="S40" s="2545"/>
      <c r="T40" s="2482"/>
      <c r="U40" s="663"/>
      <c r="V40" s="2632"/>
      <c r="W40" s="2631"/>
      <c r="X40" s="2351" t="s">
        <v>537</v>
      </c>
      <c r="Y40" s="2351" t="s">
        <v>538</v>
      </c>
      <c r="Z40" s="2631"/>
      <c r="AA40" s="2351" t="s">
        <v>539</v>
      </c>
      <c r="AB40" s="2351" t="s">
        <v>540</v>
      </c>
      <c r="AC40" s="1855" t="s">
        <v>444</v>
      </c>
      <c r="AD40" s="2541" t="s">
        <v>445</v>
      </c>
      <c r="AE40" s="2542"/>
      <c r="AF40" s="2551"/>
      <c r="AG40" s="2632"/>
      <c r="AH40" s="2631"/>
      <c r="AI40" s="2351" t="s">
        <v>537</v>
      </c>
      <c r="AJ40" s="2351" t="s">
        <v>538</v>
      </c>
      <c r="AK40" s="2631"/>
      <c r="AL40" s="2351" t="s">
        <v>539</v>
      </c>
      <c r="AM40" s="2351" t="s">
        <v>540</v>
      </c>
      <c r="AN40" s="1855" t="s">
        <v>444</v>
      </c>
      <c r="AO40" s="2541" t="s">
        <v>445</v>
      </c>
      <c r="AP40" s="2542"/>
      <c r="AQ40" s="2551"/>
      <c r="AR40" s="16761"/>
      <c r="AS40" s="16769"/>
      <c r="AT40" s="16769" t="s">
        <v>537</v>
      </c>
      <c r="AU40" s="16769" t="s">
        <v>538</v>
      </c>
      <c r="AV40" s="16769"/>
      <c r="AW40" s="16769" t="s">
        <v>539</v>
      </c>
      <c r="AX40" s="16769" t="s">
        <v>540</v>
      </c>
      <c r="AY40" s="16779" t="s">
        <v>444</v>
      </c>
      <c r="AZ40" s="16780" t="s">
        <v>445</v>
      </c>
      <c r="BA40" s="16781"/>
      <c r="BB40" s="16782"/>
      <c r="BC40" s="2554"/>
      <c r="BD40" s="2392"/>
    </row>
    <row s="18977" customFormat="1" customHeight="1" ht="11.25" hidden="1">
      <c r="A41" s="1736"/>
      <c r="B41" s="1736"/>
      <c r="C41" s="1736"/>
      <c r="D41" s="1736"/>
      <c r="E41" s="1736"/>
      <c r="F41" s="1736"/>
      <c r="G41" s="1736"/>
      <c r="H41" s="1736"/>
      <c r="I41" s="1736"/>
      <c r="J41" s="1736"/>
      <c r="K41" s="1736"/>
      <c r="L41" s="1730"/>
      <c r="M41" s="1728"/>
      <c r="N41" s="1728"/>
      <c r="O41" s="1728"/>
      <c r="P41" s="1611"/>
      <c r="Q41" s="1612"/>
      <c r="R41" s="1619">
        <v>1</v>
      </c>
      <c r="S41" s="1643" t="s">
        <v>106</v>
      </c>
      <c r="T41" s="1620" t="s">
        <v>107</v>
      </c>
      <c r="U41" s="1610" t="str">
        <f>OFFSET(U41,0,-1)</f>
        <v>2</v>
      </c>
      <c r="V41" s="1848">
        <f>OFFSET(V41,0,-1)+1</f>
        <v>3</v>
      </c>
      <c r="W41" s="1707"/>
      <c r="X41" s="1707"/>
      <c r="Y41" s="1707"/>
      <c r="Z41" s="1707"/>
      <c r="AA41" s="1707"/>
      <c r="AB41" s="1707"/>
      <c r="AC41" s="1848">
        <f>OFFSET(AC41,0,-1)+1</f>
        <v>1</v>
      </c>
      <c r="AD41" s="2543">
        <f>OFFSET(AD41,0,-1)+1</f>
        <v>2</v>
      </c>
      <c r="AE41" s="2543"/>
      <c r="AF41" s="1848">
        <f>OFFSET(AF41,0,-2)+1</f>
        <v>3</v>
      </c>
      <c r="AG41" s="1848">
        <f>OFFSET(AG41,0,-1)+1</f>
        <v>4</v>
      </c>
      <c r="AH41" s="2323"/>
      <c r="AI41" s="2323"/>
      <c r="AJ41" s="2323"/>
      <c r="AK41" s="2323"/>
      <c r="AL41" s="2323"/>
      <c r="AM41" s="1848">
        <f>OFFSET(AM41,0,-1)+1</f>
        <v>1</v>
      </c>
      <c r="AN41" s="1848">
        <f>OFFSET(AN41,0,-1)+1</f>
        <v>2</v>
      </c>
      <c r="AO41" s="2543">
        <f>OFFSET(AO41,0,-1)+1</f>
        <v>3</v>
      </c>
      <c r="AP41" s="2543"/>
      <c r="AQ41" s="1848">
        <f>OFFSET(AQ41,0,-2)+1</f>
        <v>4</v>
      </c>
      <c r="AR41" s="16783">
        <f>OFFSET(AR41,0,-1)+1</f>
        <v>3</v>
      </c>
      <c r="AS41" s="16784"/>
      <c r="AT41" s="16784"/>
      <c r="AU41" s="16784"/>
      <c r="AV41" s="16784"/>
      <c r="AW41" s="16784"/>
      <c r="AX41" s="16784"/>
      <c r="AY41" s="16783">
        <f>OFFSET(AY41,0,-1)+1</f>
        <v>1</v>
      </c>
      <c r="AZ41" s="16783">
        <f>OFFSET(AZ41,0,-1)+1</f>
        <v>2</v>
      </c>
      <c r="BA41" s="16783"/>
      <c r="BB41" s="16783">
        <f>OFFSET(BB41,0,-2)+1</f>
        <v>3</v>
      </c>
      <c r="BC41" s="1610">
        <f>OFFSET(BC41,0,-1)</f>
        <v>4</v>
      </c>
      <c r="BD41" s="1848">
        <f>OFFSET(BD41,0,-1)+1</f>
        <v>5</v>
      </c>
      <c r="BE41" s="872"/>
      <c r="BF41" s="872"/>
      <c r="BG41" s="872"/>
      <c r="BH41" s="872"/>
      <c r="BI41" s="872"/>
    </row>
    <row customHeight="1" ht="23.25">
      <c r="A42" s="1729" t="s">
        <v>248</v>
      </c>
      <c r="B42" s="1729"/>
      <c r="C42" s="1729"/>
      <c r="D42" s="1729"/>
      <c r="E42" s="2527">
        <v>1</v>
      </c>
      <c r="F42" s="1729"/>
      <c r="G42" s="1729"/>
      <c r="H42" s="1729"/>
      <c r="I42" s="1729"/>
      <c r="J42" s="1729"/>
      <c r="K42" s="1729"/>
      <c r="L42" s="1730"/>
      <c r="M42" s="1731"/>
      <c r="N42" s="1731"/>
      <c r="O42" s="1731"/>
      <c r="P42" s="722"/>
      <c r="Q42" s="721"/>
      <c r="R42" s="716"/>
      <c r="S42" s="1859">
        <f>INDEX(PT_DIFFERENTIATION_NUM_NTAR,MATCH(A42,PT_DIFFERENTIATION_NTAR_ID,0))</f>
        <v>1</v>
      </c>
      <c r="T42" s="659" t="s">
        <v>120</v>
      </c>
      <c r="U42" s="661"/>
      <c r="V42" s="2521"/>
      <c r="W42" s="2522"/>
      <c r="X42" s="2522"/>
      <c r="Y42" s="2522"/>
      <c r="Z42" s="2522"/>
      <c r="AA42" s="2522"/>
      <c r="AB42" s="2522"/>
      <c r="AC42" s="2522"/>
      <c r="AD42" s="2522"/>
      <c r="AE42" s="2522"/>
      <c r="AF42" s="2523"/>
      <c r="AG42" s="2521" t="str">
        <f>INDEX(PT_DIFFERENTIATION_NTAR,MATCH(A42,PT_DIFFERENTIATION_NTAR_ID,0))</f>
        <v>Тарифы на горячую воду в закрытых системах горячего водоснабжения</v>
      </c>
      <c r="AH42" s="2522"/>
      <c r="AI42" s="2522"/>
      <c r="AJ42" s="2522"/>
      <c r="AK42" s="2522"/>
      <c r="AL42" s="2522"/>
      <c r="AM42" s="2522"/>
      <c r="AN42" s="2522"/>
      <c r="AO42" s="2522"/>
      <c r="AP42" s="2522"/>
      <c r="AQ42" s="2522"/>
      <c r="AR42" s="16703"/>
      <c r="AS42" s="16704"/>
      <c r="AT42" s="16704"/>
      <c r="AU42" s="16704"/>
      <c r="AV42" s="16704"/>
      <c r="AW42" s="16704"/>
      <c r="AX42" s="16704"/>
      <c r="AY42" s="16704"/>
      <c r="AZ42" s="16704"/>
      <c r="BA42" s="16704"/>
      <c r="BB42" s="16705"/>
      <c r="BC42" s="2523"/>
      <c r="BD42" s="16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F42" s="861"/>
      <c r="BG42" s="861" t="str">
        <f>IF(T42="","",T42)</f>
        <v>Наименование тарифа</v>
      </c>
      <c r="BH42" s="861"/>
      <c r="BI42" s="861"/>
    </row>
    <row customHeight="1" ht="23.25">
      <c r="A43" s="1729" t="s">
        <v>248</v>
      </c>
      <c r="B43" s="1729" t="s">
        <v>249</v>
      </c>
      <c r="C43" s="1729"/>
      <c r="D43" s="1729"/>
      <c r="E43" s="2528"/>
      <c r="F43" s="2527">
        <v>1</v>
      </c>
      <c r="G43" s="1729"/>
      <c r="H43" s="1729"/>
      <c r="I43" s="1729"/>
      <c r="J43" s="1729"/>
      <c r="K43" s="1729"/>
      <c r="L43" s="1730"/>
      <c r="M43" s="1731"/>
      <c r="N43" s="1731"/>
      <c r="O43" s="1731"/>
      <c r="P43" s="1853"/>
      <c r="Q43" s="713"/>
      <c r="R43" s="714"/>
      <c r="S43" s="1859" t="str">
        <f>INDEX(PT_DIFFERENTIATION_NUM_TER,MATCH(B43,PT_DIFFERENTIATION_TER_ID,0))</f>
        <v>1.1</v>
      </c>
      <c r="T43" s="669" t="s">
        <v>397</v>
      </c>
      <c r="U43" s="661"/>
      <c r="V43" s="2521"/>
      <c r="W43" s="2522"/>
      <c r="X43" s="2522"/>
      <c r="Y43" s="2522"/>
      <c r="Z43" s="2522"/>
      <c r="AA43" s="2522"/>
      <c r="AB43" s="2522"/>
      <c r="AC43" s="2522"/>
      <c r="AD43" s="2522"/>
      <c r="AE43" s="2522"/>
      <c r="AF43" s="2523"/>
      <c r="AG43" s="2521" t="str">
        <f>INDEX(PT_DIFFERENTIATION_TER,MATCH(B43,PT_DIFFERENTIATION_TER_ID,0))</f>
        <v>без дифференциации</v>
      </c>
      <c r="AH43" s="2522"/>
      <c r="AI43" s="2522"/>
      <c r="AJ43" s="2522"/>
      <c r="AK43" s="2522"/>
      <c r="AL43" s="2522"/>
      <c r="AM43" s="2522"/>
      <c r="AN43" s="2522"/>
      <c r="AO43" s="2522"/>
      <c r="AP43" s="2522"/>
      <c r="AQ43" s="2522"/>
      <c r="AR43" s="16703"/>
      <c r="AS43" s="16704"/>
      <c r="AT43" s="16704"/>
      <c r="AU43" s="16704"/>
      <c r="AV43" s="16704"/>
      <c r="AW43" s="16704"/>
      <c r="AX43" s="16704"/>
      <c r="AY43" s="16704"/>
      <c r="AZ43" s="16704"/>
      <c r="BA43" s="16704"/>
      <c r="BB43" s="16705"/>
      <c r="BC43" s="2523"/>
      <c r="BD43" s="1623" t="s">
        <v>398</v>
      </c>
      <c r="BF43" s="861"/>
      <c r="BG43" s="861" t="str">
        <f>IF(T43="","",T43)</f>
        <v>Территория действия тарифа</v>
      </c>
      <c r="BH43" s="861"/>
      <c r="BI43" s="861"/>
    </row>
    <row customHeight="1" ht="23.25">
      <c r="A44" s="1729" t="s">
        <v>248</v>
      </c>
      <c r="B44" s="1729" t="s">
        <v>249</v>
      </c>
      <c r="C44" s="1729" t="s">
        <v>250</v>
      </c>
      <c r="D44" s="1729"/>
      <c r="E44" s="2528"/>
      <c r="F44" s="2528"/>
      <c r="G44" s="2527">
        <v>1</v>
      </c>
      <c r="H44" s="1729"/>
      <c r="I44" s="1729"/>
      <c r="J44" s="1729"/>
      <c r="K44" s="1729"/>
      <c r="L44" s="1730"/>
      <c r="M44" s="1731"/>
      <c r="N44" s="1731"/>
      <c r="O44" s="1731"/>
      <c r="P44" s="715"/>
      <c r="Q44" s="713"/>
      <c r="R44" s="714"/>
      <c r="S44" s="1859" t="str">
        <f>INDEX(PT_DIFFERENTIATION_NUM_CS,MATCH(C44,PT_DIFFERENTIATION_CS_ID,0))</f>
        <v>1.1.1</v>
      </c>
      <c r="T44" s="670" t="s">
        <v>528</v>
      </c>
      <c r="U44" s="661"/>
      <c r="V44" s="2521"/>
      <c r="W44" s="2522"/>
      <c r="X44" s="2522"/>
      <c r="Y44" s="2522"/>
      <c r="Z44" s="2522"/>
      <c r="AA44" s="2522"/>
      <c r="AB44" s="2522"/>
      <c r="AC44" s="2522"/>
      <c r="AD44" s="2522"/>
      <c r="AE44" s="2522"/>
      <c r="AF44" s="2523"/>
      <c r="AG44" s="2521" t="str">
        <f>INDEX(PT_DIFFERENTIATION_CS,MATCH(C44,PT_DIFFERENTIATION_CS_ID,0))</f>
        <v>без дифференциации</v>
      </c>
      <c r="AH44" s="2522"/>
      <c r="AI44" s="2522"/>
      <c r="AJ44" s="2522"/>
      <c r="AK44" s="2522"/>
      <c r="AL44" s="2522"/>
      <c r="AM44" s="2522"/>
      <c r="AN44" s="2522"/>
      <c r="AO44" s="2522"/>
      <c r="AP44" s="2522"/>
      <c r="AQ44" s="2522"/>
      <c r="AR44" s="16703"/>
      <c r="AS44" s="16704"/>
      <c r="AT44" s="16704"/>
      <c r="AU44" s="16704"/>
      <c r="AV44" s="16704"/>
      <c r="AW44" s="16704"/>
      <c r="AX44" s="16704"/>
      <c r="AY44" s="16704"/>
      <c r="AZ44" s="16704"/>
      <c r="BA44" s="16704"/>
      <c r="BB44" s="16705"/>
      <c r="BC44" s="2523"/>
      <c r="BD44" s="1623" t="s">
        <v>529</v>
      </c>
      <c r="BF44" s="861"/>
      <c r="BG44" s="861" t="str">
        <f>IF(T44="","",T44)</f>
        <v>Наименование централизованной системы горячего водоснабжения</v>
      </c>
      <c r="BH44" s="861"/>
      <c r="BI44" s="861"/>
    </row>
    <row customHeight="1" ht="23.25">
      <c r="A45" s="1729" t="s">
        <v>248</v>
      </c>
      <c r="B45" s="1729" t="s">
        <v>249</v>
      </c>
      <c r="C45" s="1729" t="s">
        <v>250</v>
      </c>
      <c r="D45" s="1729" t="s">
        <v>541</v>
      </c>
      <c r="E45" s="2528"/>
      <c r="F45" s="2528"/>
      <c r="G45" s="2528"/>
      <c r="H45" s="2528"/>
      <c r="I45" s="2529" t="str">
        <f>S44&amp;".1"</f>
        <v>1.1.1.1</v>
      </c>
      <c r="J45" s="1729"/>
      <c r="K45" s="1729"/>
      <c r="L45" s="1730"/>
      <c r="P45" s="2531">
        <v>1</v>
      </c>
      <c r="Q45" s="1847"/>
      <c r="R45" s="717"/>
      <c r="S45" s="1859" t="str">
        <f>$I45</f>
        <v>1.1.1.1</v>
      </c>
      <c r="T45" s="646" t="s">
        <v>481</v>
      </c>
      <c r="U45" s="661"/>
      <c r="V45" s="2614"/>
      <c r="W45" s="2615"/>
      <c r="X45" s="2615"/>
      <c r="Y45" s="2615"/>
      <c r="Z45" s="2615"/>
      <c r="AA45" s="2615"/>
      <c r="AB45" s="2615"/>
      <c r="AC45" s="2615"/>
      <c r="AD45" s="2615"/>
      <c r="AE45" s="2615"/>
      <c r="AF45" s="2616"/>
      <c r="AG45" s="2617"/>
      <c r="AH45" s="2618"/>
      <c r="AI45" s="2618"/>
      <c r="AJ45" s="2618"/>
      <c r="AK45" s="2618"/>
      <c r="AL45" s="2618"/>
      <c r="AM45" s="2618"/>
      <c r="AN45" s="2618"/>
      <c r="AO45" s="2618"/>
      <c r="AP45" s="2618"/>
      <c r="AQ45" s="2618"/>
      <c r="AR45" s="16706"/>
      <c r="AS45" s="16707"/>
      <c r="AT45" s="16707"/>
      <c r="AU45" s="16707"/>
      <c r="AV45" s="16707"/>
      <c r="AW45" s="16707"/>
      <c r="AX45" s="16707"/>
      <c r="AY45" s="16707"/>
      <c r="AZ45" s="16707"/>
      <c r="BA45" s="16707"/>
      <c r="BB45" s="16708"/>
      <c r="BC45" s="2619"/>
      <c r="BD45" s="1623" t="s">
        <v>482</v>
      </c>
      <c r="BF45" s="861"/>
      <c r="BG45" s="861" t="str">
        <f>IF(T45="","",T45)</f>
        <v>Наименование признака дифференциации</v>
      </c>
      <c r="BH45" s="861"/>
      <c r="BI45" s="861"/>
    </row>
    <row customHeight="1" ht="23.25">
      <c r="A46" s="1729" t="s">
        <v>248</v>
      </c>
      <c r="B46" s="1729" t="s">
        <v>249</v>
      </c>
      <c r="C46" s="1729" t="s">
        <v>250</v>
      </c>
      <c r="D46" s="1729" t="s">
        <v>541</v>
      </c>
      <c r="E46" s="2528"/>
      <c r="F46" s="2528"/>
      <c r="G46" s="2528"/>
      <c r="H46" s="2528"/>
      <c r="I46" s="2530"/>
      <c r="J46" s="2529" t="str">
        <f>I45&amp;".1"</f>
        <v>1.1.1.1.1</v>
      </c>
      <c r="K46" s="1729"/>
      <c r="L46" s="1730" t="s">
        <v>406</v>
      </c>
      <c r="P46" s="2531"/>
      <c r="Q46" s="2531">
        <v>1</v>
      </c>
      <c r="R46" s="718"/>
      <c r="S46" s="1859" t="str">
        <f>$J46</f>
        <v>1.1.1.1.1</v>
      </c>
      <c r="T46" s="647" t="s">
        <v>407</v>
      </c>
      <c r="U46" s="661"/>
      <c r="V46" s="2515"/>
      <c r="W46" s="2516"/>
      <c r="X46" s="2516"/>
      <c r="Y46" s="2516"/>
      <c r="Z46" s="2516"/>
      <c r="AA46" s="2516"/>
      <c r="AB46" s="2516"/>
      <c r="AC46" s="2516"/>
      <c r="AD46" s="2516"/>
      <c r="AE46" s="2516"/>
      <c r="AF46" s="2517"/>
      <c r="AG46" s="2515" t="s">
        <v>542</v>
      </c>
      <c r="AH46" s="2516"/>
      <c r="AI46" s="2516"/>
      <c r="AJ46" s="2516"/>
      <c r="AK46" s="2516"/>
      <c r="AL46" s="2516"/>
      <c r="AM46" s="2516"/>
      <c r="AN46" s="2516"/>
      <c r="AO46" s="2516"/>
      <c r="AP46" s="2516"/>
      <c r="AQ46" s="2516"/>
      <c r="AR46" s="16709"/>
      <c r="AS46" s="16710"/>
      <c r="AT46" s="16710"/>
      <c r="AU46" s="16710"/>
      <c r="AV46" s="16710"/>
      <c r="AW46" s="16710"/>
      <c r="AX46" s="16710"/>
      <c r="AY46" s="16710"/>
      <c r="AZ46" s="16710"/>
      <c r="BA46" s="16710"/>
      <c r="BB46" s="16711"/>
      <c r="BC46" s="2517"/>
      <c r="BD46" s="1673" t="s">
        <v>483</v>
      </c>
      <c r="BF46" s="861"/>
      <c r="BG46" s="861" t="str">
        <f>IF(T46="","",T46)</f>
        <v>Группа потребителей</v>
      </c>
      <c r="BH46" s="861"/>
      <c r="BI46" s="861"/>
    </row>
    <row customHeight="1" ht="23.25">
      <c r="A47" s="1729" t="s">
        <v>248</v>
      </c>
      <c r="B47" s="1729" t="s">
        <v>249</v>
      </c>
      <c r="C47" s="1729" t="s">
        <v>250</v>
      </c>
      <c r="D47" s="1729" t="s">
        <v>541</v>
      </c>
      <c r="E47" s="2528"/>
      <c r="F47" s="2528"/>
      <c r="G47" s="2528"/>
      <c r="H47" s="2528"/>
      <c r="I47" s="2530"/>
      <c r="J47" s="2530"/>
      <c r="K47" s="2529" t="str">
        <f>J46&amp;".1"</f>
        <v>1.1.1.1.1.1</v>
      </c>
      <c r="L47" s="1730"/>
      <c r="P47" s="2531"/>
      <c r="Q47" s="2531"/>
      <c r="R47" s="718">
        <v>1</v>
      </c>
      <c r="S47" s="1859" t="str">
        <f>$K47</f>
        <v>1.1.1.1.1.1</v>
      </c>
      <c r="T47" s="1803"/>
      <c r="U47" s="661"/>
      <c r="V47" s="16712"/>
      <c r="W47" s="16712"/>
      <c r="X47" s="16712"/>
      <c r="Y47" s="16712"/>
      <c r="Z47" s="16712"/>
      <c r="AA47" s="16712"/>
      <c r="AB47" s="16712"/>
      <c r="AC47" s="16713"/>
      <c r="AD47" s="16714" t="s">
        <v>59</v>
      </c>
      <c r="AE47" s="16785"/>
      <c r="AF47" s="16714" t="s">
        <v>59</v>
      </c>
      <c r="AG47" s="1112"/>
      <c r="AH47" s="1112">
        <v>8.69</v>
      </c>
      <c r="AI47" s="1112"/>
      <c r="AJ47" s="1112"/>
      <c r="AK47" s="1112">
        <v>1781.74</v>
      </c>
      <c r="AL47" s="1112"/>
      <c r="AM47" s="1112"/>
      <c r="AN47" s="16713">
        <v>45292.406875</v>
      </c>
      <c r="AO47" s="2402" t="s">
        <v>59</v>
      </c>
      <c r="AP47" s="16785">
        <v>45473.40693287037</v>
      </c>
      <c r="AQ47" s="2402" t="s">
        <v>59</v>
      </c>
      <c r="AR47" s="16712">
        <v>9.55</v>
      </c>
      <c r="AS47" s="16712"/>
      <c r="AT47" s="16712"/>
      <c r="AU47" s="16712"/>
      <c r="AV47" s="16712">
        <v>1938.99</v>
      </c>
      <c r="AW47" s="16712"/>
      <c r="AX47" s="16712"/>
      <c r="AY47" s="16713">
        <v>45474.40746527778</v>
      </c>
      <c r="AZ47" s="16714" t="s">
        <v>59</v>
      </c>
      <c r="BA47" s="16785">
        <v>45657.40755787037</v>
      </c>
      <c r="BB47" s="16714" t="s">
        <v>59</v>
      </c>
      <c r="BC47" s="1804"/>
      <c r="BD47" s="26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E47" s="872">
        <f>STRCHECKDATE(V48:BC48)</f>
      </c>
      <c r="BF47" s="861"/>
      <c r="BG47" s="861" t="str">
        <f>IF(T47="","",T47)</f>
        <v/>
      </c>
      <c r="BH47" s="861"/>
      <c r="BI47" s="861"/>
    </row>
    <row customHeight="1" ht="0">
      <c r="A48" s="1729" t="s">
        <v>248</v>
      </c>
      <c r="B48" s="1729" t="s">
        <v>249</v>
      </c>
      <c r="C48" s="1729" t="s">
        <v>250</v>
      </c>
      <c r="D48" s="1729" t="s">
        <v>541</v>
      </c>
      <c r="E48" s="2528"/>
      <c r="F48" s="2528"/>
      <c r="G48" s="2528"/>
      <c r="H48" s="2528"/>
      <c r="I48" s="2530"/>
      <c r="J48" s="2530"/>
      <c r="K48" s="2529"/>
      <c r="L48" s="1730"/>
      <c r="P48" s="2531"/>
      <c r="Q48" s="2531"/>
      <c r="R48" s="718"/>
      <c r="S48" s="1856"/>
      <c r="T48" s="661"/>
      <c r="U48" s="661"/>
      <c r="V48" s="16715"/>
      <c r="W48" s="16715"/>
      <c r="X48" s="16715"/>
      <c r="Y48" s="16715"/>
      <c r="Z48" s="16715"/>
      <c r="AA48" s="16715"/>
      <c r="AB48" s="16715"/>
      <c r="AC48" s="16716"/>
      <c r="AD48" s="16714"/>
      <c r="AE48" s="16786"/>
      <c r="AF48" s="16714"/>
      <c r="AG48" s="686"/>
      <c r="AH48" s="686"/>
      <c r="AI48" s="686"/>
      <c r="AJ48" s="686"/>
      <c r="AK48" s="686"/>
      <c r="AL48" s="686"/>
      <c r="AM48" s="686"/>
      <c r="AN48" s="2533"/>
      <c r="AO48" s="2402"/>
      <c r="AP48" s="2535"/>
      <c r="AQ48" s="2402"/>
      <c r="AR48" s="16715"/>
      <c r="AS48" s="16715"/>
      <c r="AT48" s="16715"/>
      <c r="AU48" s="16715"/>
      <c r="AV48" s="16715"/>
      <c r="AW48" s="16715"/>
      <c r="AX48" s="16715"/>
      <c r="AY48" s="16716"/>
      <c r="AZ48" s="16714"/>
      <c r="BA48" s="16786"/>
      <c r="BB48" s="16714"/>
      <c r="BC48" s="1805"/>
      <c r="BD48" s="2620"/>
      <c r="BF48" s="861"/>
      <c r="BG48" s="861" t="str">
        <f>IF(T48="","",T48)</f>
        <v/>
      </c>
      <c r="BH48" s="861"/>
      <c r="BI48" s="861"/>
    </row>
    <row customHeight="1" ht="21">
      <c r="A49" s="1729" t="s">
        <v>248</v>
      </c>
      <c r="B49" s="1729" t="s">
        <v>249</v>
      </c>
      <c r="C49" s="1729" t="s">
        <v>250</v>
      </c>
      <c r="D49" s="1729" t="s">
        <v>541</v>
      </c>
      <c r="E49" s="2528"/>
      <c r="F49" s="2528"/>
      <c r="G49" s="2528"/>
      <c r="H49" s="2528"/>
      <c r="I49" s="2530"/>
      <c r="J49" s="2529"/>
      <c r="K49" s="1729"/>
      <c r="L49" s="1730"/>
      <c r="P49" s="2531"/>
      <c r="Q49" s="2531"/>
      <c r="R49" s="717"/>
      <c r="S49" s="1644"/>
      <c r="T49" s="648" t="s">
        <v>484</v>
      </c>
      <c r="U49" s="728"/>
      <c r="V49" s="728"/>
      <c r="W49" s="961"/>
      <c r="X49" s="961"/>
      <c r="Y49" s="961"/>
      <c r="Z49" s="961"/>
      <c r="AA49" s="961"/>
      <c r="AB49" s="961"/>
      <c r="AC49" s="728"/>
      <c r="AD49" s="728"/>
      <c r="AE49" s="728"/>
      <c r="AF49" s="728"/>
      <c r="AG49" s="728"/>
      <c r="AH49" s="961"/>
      <c r="AI49" s="961"/>
      <c r="AJ49" s="961"/>
      <c r="AK49" s="961"/>
      <c r="AL49" s="961"/>
      <c r="AM49" s="728"/>
      <c r="AN49" s="728"/>
      <c r="AO49" s="728"/>
      <c r="AP49" s="728"/>
      <c r="AQ49" s="728"/>
      <c r="AR49" s="16787"/>
      <c r="AS49" s="16788"/>
      <c r="AT49" s="16789"/>
      <c r="AU49" s="16790"/>
      <c r="AV49" s="16791"/>
      <c r="AW49" s="16792"/>
      <c r="AX49" s="16793"/>
      <c r="AY49" s="16794"/>
      <c r="AZ49" s="16795"/>
      <c r="BA49" s="16796"/>
      <c r="BB49" s="16797"/>
      <c r="BC49" s="728"/>
      <c r="BD49" s="1623" t="s">
        <v>485</v>
      </c>
      <c r="BF49" s="861"/>
      <c r="BG49" s="861" t="str">
        <f>IF(T49="","",T49)</f>
        <v>Добавить значение признака дифференциации</v>
      </c>
      <c r="BH49" s="861"/>
      <c r="BI49" s="861"/>
    </row>
    <row customHeight="1" ht="21">
      <c r="A50" s="1729" t="s">
        <v>248</v>
      </c>
      <c r="B50" s="1729" t="s">
        <v>249</v>
      </c>
      <c r="C50" s="1729" t="s">
        <v>250</v>
      </c>
      <c r="D50" s="1729" t="s">
        <v>541</v>
      </c>
      <c r="E50" s="2528"/>
      <c r="F50" s="2528"/>
      <c r="G50" s="2528"/>
      <c r="H50" s="2528"/>
      <c r="I50" s="2529"/>
      <c r="J50" s="1729"/>
      <c r="K50" s="1729"/>
      <c r="L50" s="1730"/>
      <c r="P50" s="2531"/>
      <c r="Q50" s="1847"/>
      <c r="R50" s="717"/>
      <c r="S50" s="1644"/>
      <c r="T50" s="726" t="s">
        <v>412</v>
      </c>
      <c r="U50" s="728"/>
      <c r="V50" s="728"/>
      <c r="W50" s="961"/>
      <c r="X50" s="961"/>
      <c r="Y50" s="961"/>
      <c r="Z50" s="961"/>
      <c r="AA50" s="961"/>
      <c r="AB50" s="961"/>
      <c r="AC50" s="728"/>
      <c r="AD50" s="728"/>
      <c r="AE50" s="728"/>
      <c r="AF50" s="727"/>
      <c r="AG50" s="728"/>
      <c r="AH50" s="961"/>
      <c r="AI50" s="961"/>
      <c r="AJ50" s="961"/>
      <c r="AK50" s="961"/>
      <c r="AL50" s="961"/>
      <c r="AM50" s="728"/>
      <c r="AN50" s="728"/>
      <c r="AO50" s="728"/>
      <c r="AP50" s="728"/>
      <c r="AQ50" s="727"/>
      <c r="AR50" s="16798"/>
      <c r="AS50" s="16799"/>
      <c r="AT50" s="16800"/>
      <c r="AU50" s="16801"/>
      <c r="AV50" s="16802"/>
      <c r="AW50" s="16803"/>
      <c r="AX50" s="16804"/>
      <c r="AY50" s="16805"/>
      <c r="AZ50" s="16806"/>
      <c r="BA50" s="16807"/>
      <c r="BB50" s="16808"/>
      <c r="BC50" s="728"/>
      <c r="BD50" s="1806"/>
      <c r="BF50" s="861"/>
      <c r="BG50" s="861" t="str">
        <f>IF(T50="","",T50)</f>
        <v>Добавить группу потребителей</v>
      </c>
      <c r="BH50" s="861"/>
      <c r="BI50" s="861"/>
    </row>
    <row customHeight="1" ht="21">
      <c r="A51" s="1729" t="s">
        <v>248</v>
      </c>
      <c r="B51" s="1729" t="s">
        <v>249</v>
      </c>
      <c r="C51" s="1729" t="s">
        <v>250</v>
      </c>
      <c r="D51" s="1729" t="s">
        <v>541</v>
      </c>
      <c r="E51" s="2528"/>
      <c r="F51" s="2528"/>
      <c r="G51" s="2528"/>
      <c r="H51" s="2527"/>
      <c r="I51" s="1729"/>
      <c r="J51" s="1729"/>
      <c r="K51" s="1729"/>
      <c r="L51" s="1730"/>
      <c r="M51" s="1731"/>
      <c r="N51" s="1731"/>
      <c r="O51" s="898"/>
      <c r="P51" s="721"/>
      <c r="Q51" s="736"/>
      <c r="R51" s="716"/>
      <c r="S51" s="1644"/>
      <c r="T51" s="733" t="s">
        <v>486</v>
      </c>
      <c r="U51" s="728"/>
      <c r="V51" s="728"/>
      <c r="W51" s="961"/>
      <c r="X51" s="961"/>
      <c r="Y51" s="961"/>
      <c r="Z51" s="961"/>
      <c r="AA51" s="961"/>
      <c r="AB51" s="961"/>
      <c r="AC51" s="728"/>
      <c r="AD51" s="728"/>
      <c r="AE51" s="728"/>
      <c r="AF51" s="727"/>
      <c r="AG51" s="728"/>
      <c r="AH51" s="961"/>
      <c r="AI51" s="961"/>
      <c r="AJ51" s="961"/>
      <c r="AK51" s="961"/>
      <c r="AL51" s="961"/>
      <c r="AM51" s="728"/>
      <c r="AN51" s="728"/>
      <c r="AO51" s="728"/>
      <c r="AP51" s="728"/>
      <c r="AQ51" s="727"/>
      <c r="AR51" s="16809"/>
      <c r="AS51" s="16810"/>
      <c r="AT51" s="16811"/>
      <c r="AU51" s="16812"/>
      <c r="AV51" s="16813"/>
      <c r="AW51" s="16814"/>
      <c r="AX51" s="16815"/>
      <c r="AY51" s="16816"/>
      <c r="AZ51" s="16817"/>
      <c r="BA51" s="16818"/>
      <c r="BB51" s="16819"/>
      <c r="BC51" s="728"/>
      <c r="BD51" s="664"/>
      <c r="BF51" s="861"/>
      <c r="BG51" s="861" t="str">
        <f>IF(T51="","",T51)</f>
        <v>Добавить наименование признака дифференциации</v>
      </c>
      <c r="BH51" s="861"/>
      <c r="BI51" s="861"/>
    </row>
    <row s="19127" customFormat="1" customHeight="1" ht="0">
      <c r="A52" s="1709" t="s">
        <v>248</v>
      </c>
      <c r="B52" s="1709" t="s">
        <v>249</v>
      </c>
      <c r="C52" s="1680"/>
      <c r="D52" s="1680"/>
      <c r="E52" s="2528"/>
      <c r="F52" s="2527"/>
      <c r="G52" s="1680"/>
      <c r="H52" s="1680"/>
      <c r="I52" s="1680"/>
      <c r="J52" s="1680"/>
      <c r="K52" s="1680"/>
      <c r="L52" s="1860"/>
      <c r="M52" s="1687"/>
      <c r="N52" s="1687"/>
      <c r="P52" s="1682"/>
      <c r="Q52" s="1683"/>
      <c r="R52" s="1682"/>
      <c r="S52" s="1688"/>
      <c r="T52" s="1691" t="s">
        <v>251</v>
      </c>
      <c r="U52" s="1690"/>
      <c r="V52" s="1690"/>
      <c r="W52" s="1690"/>
      <c r="X52" s="1690"/>
      <c r="Y52" s="1690"/>
      <c r="Z52" s="1690"/>
      <c r="AA52" s="1690"/>
      <c r="AB52" s="1690"/>
      <c r="AC52" s="1690"/>
      <c r="AD52" s="1690"/>
      <c r="AE52" s="1690"/>
      <c r="AF52" s="1690"/>
      <c r="AG52" s="1690"/>
      <c r="AH52" s="1690"/>
      <c r="AI52" s="1690"/>
      <c r="AJ52" s="1690"/>
      <c r="AK52" s="1690"/>
      <c r="AL52" s="1690"/>
      <c r="AM52" s="1690"/>
      <c r="AN52" s="1690"/>
      <c r="AO52" s="1690"/>
      <c r="AP52" s="1690"/>
      <c r="AQ52" s="1690"/>
      <c r="AR52" s="16750"/>
      <c r="AS52" s="16750"/>
      <c r="AT52" s="16750"/>
      <c r="AU52" s="16750"/>
      <c r="AV52" s="16750"/>
      <c r="AW52" s="16750"/>
      <c r="AX52" s="16750"/>
      <c r="AY52" s="16750"/>
      <c r="AZ52" s="16750"/>
      <c r="BA52" s="16750"/>
      <c r="BB52" s="16750"/>
      <c r="BC52" s="1690"/>
      <c r="BD52" s="1690"/>
      <c r="BF52" s="1150"/>
      <c r="BG52" s="1150" t="str">
        <f>IF(T52="","",T52)</f>
        <v>Добавить централизованную систему для дифференциации</v>
      </c>
      <c r="BH52" s="1150"/>
      <c r="BI52" s="1150"/>
    </row>
    <row s="19219" customFormat="1" customHeight="1" ht="0">
      <c r="A53" s="1709" t="s">
        <v>248</v>
      </c>
      <c r="B53" s="1709"/>
      <c r="C53" s="1709"/>
      <c r="D53" s="1709"/>
      <c r="E53" s="2527"/>
      <c r="F53" s="1709"/>
      <c r="G53" s="1709"/>
      <c r="H53" s="1709"/>
      <c r="I53" s="1709"/>
      <c r="J53" s="1709"/>
      <c r="K53" s="1709"/>
      <c r="L53" s="1712"/>
      <c r="M53" s="1687"/>
      <c r="N53" s="1687"/>
      <c r="O53" s="879"/>
      <c r="P53" s="741"/>
      <c r="Q53" s="1710"/>
      <c r="R53" s="741"/>
      <c r="S53" s="1688"/>
      <c r="T53" s="1691" t="s">
        <v>252</v>
      </c>
      <c r="U53" s="1690"/>
      <c r="V53" s="1690"/>
      <c r="W53" s="1690"/>
      <c r="X53" s="1690"/>
      <c r="Y53" s="1690"/>
      <c r="Z53" s="1690"/>
      <c r="AA53" s="1690"/>
      <c r="AB53" s="1690"/>
      <c r="AC53" s="1690"/>
      <c r="AD53" s="1690"/>
      <c r="AE53" s="1690"/>
      <c r="AF53" s="1690"/>
      <c r="AG53" s="1690"/>
      <c r="AH53" s="1690"/>
      <c r="AI53" s="1690"/>
      <c r="AJ53" s="1690"/>
      <c r="AK53" s="1690"/>
      <c r="AL53" s="1690"/>
      <c r="AM53" s="1690"/>
      <c r="AN53" s="1690"/>
      <c r="AO53" s="1690"/>
      <c r="AP53" s="1690"/>
      <c r="AQ53" s="1690"/>
      <c r="AR53" s="16750"/>
      <c r="AS53" s="16750"/>
      <c r="AT53" s="16750"/>
      <c r="AU53" s="16750"/>
      <c r="AV53" s="16750"/>
      <c r="AW53" s="16750"/>
      <c r="AX53" s="16750"/>
      <c r="AY53" s="16750"/>
      <c r="AZ53" s="16750"/>
      <c r="BA53" s="16750"/>
      <c r="BB53" s="16750"/>
      <c r="BC53" s="1690"/>
      <c r="BD53" s="1690"/>
      <c r="BF53" s="861"/>
      <c r="BG53" s="861" t="str">
        <f>IF(T53="","",T53)</f>
        <v>Добавить территорию для дифференциации</v>
      </c>
      <c r="BH53" s="861"/>
      <c r="BI53" s="861"/>
    </row>
    <row s="19127" customFormat="1" customHeight="1" ht="0">
      <c r="A54" s="1680"/>
      <c r="B54" s="1680"/>
      <c r="C54" s="1680"/>
      <c r="D54" s="1680"/>
      <c r="E54" s="1709"/>
      <c r="F54" s="1680"/>
      <c r="G54" s="1680"/>
      <c r="H54" s="1680"/>
      <c r="I54" s="1680"/>
      <c r="J54" s="1680"/>
      <c r="K54" s="1680"/>
      <c r="L54" s="1860"/>
      <c r="M54" s="1687"/>
      <c r="N54" s="1687"/>
      <c r="P54" s="1682"/>
      <c r="Q54" s="1683"/>
      <c r="R54" s="1682"/>
      <c r="S54" s="1688"/>
      <c r="T54" s="1691" t="s">
        <v>253</v>
      </c>
      <c r="U54" s="1690"/>
      <c r="V54" s="1690"/>
      <c r="W54" s="1690"/>
      <c r="X54" s="1690"/>
      <c r="Y54" s="1690"/>
      <c r="Z54" s="1690"/>
      <c r="AA54" s="1690"/>
      <c r="AB54" s="1690"/>
      <c r="AC54" s="1690"/>
      <c r="AD54" s="1690"/>
      <c r="AE54" s="1690"/>
      <c r="AF54" s="1690"/>
      <c r="AG54" s="1690"/>
      <c r="AH54" s="1690"/>
      <c r="AI54" s="1690"/>
      <c r="AJ54" s="1690"/>
      <c r="AK54" s="1690"/>
      <c r="AL54" s="1690"/>
      <c r="AM54" s="1690"/>
      <c r="AN54" s="1690"/>
      <c r="AO54" s="1690"/>
      <c r="AP54" s="1690"/>
      <c r="AQ54" s="1690"/>
      <c r="AR54" s="16750"/>
      <c r="AS54" s="16750"/>
      <c r="AT54" s="16750"/>
      <c r="AU54" s="16750"/>
      <c r="AV54" s="16750"/>
      <c r="AW54" s="16750"/>
      <c r="AX54" s="16750"/>
      <c r="AY54" s="16750"/>
      <c r="AZ54" s="16750"/>
      <c r="BA54" s="16750"/>
      <c r="BB54" s="16750"/>
      <c r="BC54" s="1690"/>
      <c r="BD54" s="1690"/>
      <c r="BF54" s="1150"/>
      <c r="BG54" s="1150" t="str">
        <f>IF(T54="","",T54)</f>
        <v>Добавить наименование тарифа</v>
      </c>
      <c r="BH54" s="1150"/>
      <c r="BI54" s="1150"/>
    </row>
    <row customHeight="1" ht="11.25">
      <c r="M55" s="1523"/>
      <c r="N55" s="1523"/>
      <c r="O55" s="898"/>
      <c r="P55" s="1518"/>
      <c r="Q55" s="1518"/>
      <c r="R55" s="1518"/>
      <c r="S55" s="1518"/>
      <c r="AR55" s="16702"/>
      <c r="AS55" s="16702"/>
      <c r="AT55" s="16702"/>
      <c r="AU55" s="16702"/>
      <c r="AV55" s="16702"/>
      <c r="AW55" s="16702"/>
      <c r="AX55" s="16702"/>
      <c r="AY55" s="16702"/>
      <c r="AZ55" s="16702"/>
      <c r="BA55" s="16702"/>
      <c r="BB55" s="16702"/>
      <c r="BE55" s="1518"/>
      <c r="BF55" s="1518"/>
      <c r="BG55" s="1518"/>
      <c r="BH55" s="1518"/>
      <c r="BI55" s="1518"/>
    </row>
    <row customHeight="1" ht="14.25">
      <c r="O56" s="898"/>
      <c r="S56" s="1618"/>
      <c r="T56" s="2526"/>
      <c r="U56" s="2526"/>
      <c r="V56" s="2526"/>
      <c r="W56" s="2526"/>
      <c r="X56" s="2526"/>
      <c r="Y56" s="2526"/>
      <c r="Z56" s="2526"/>
      <c r="AA56" s="2526"/>
      <c r="AB56" s="2526"/>
      <c r="AC56" s="2526"/>
      <c r="AD56" s="2526"/>
      <c r="AE56" s="2526"/>
      <c r="AF56" s="2526"/>
      <c r="AG56" s="2526"/>
      <c r="AH56" s="2526"/>
      <c r="AI56" s="2526"/>
      <c r="AJ56" s="2526"/>
      <c r="AK56" s="2526"/>
      <c r="AL56" s="2526"/>
      <c r="AM56" s="2526"/>
      <c r="AN56" s="2526"/>
      <c r="AO56" s="2526"/>
      <c r="AP56" s="2526"/>
      <c r="AQ56" s="2526"/>
      <c r="AR56" s="16820"/>
      <c r="AS56" s="16820"/>
      <c r="AT56" s="16820"/>
      <c r="AU56" s="16820"/>
      <c r="AV56" s="16820"/>
      <c r="AW56" s="16820"/>
      <c r="AX56" s="16820"/>
      <c r="AY56" s="16820"/>
      <c r="AZ56" s="16820"/>
      <c r="BA56" s="16820"/>
      <c r="BB56" s="16820"/>
      <c r="BC56" s="2526"/>
      <c r="BD56" s="2526"/>
    </row>
    <row customHeight="1" ht="14.25">
      <c r="O57" s="898"/>
      <c r="AR57" s="16702"/>
      <c r="AS57" s="16702"/>
      <c r="AT57" s="16702"/>
      <c r="AU57" s="16702"/>
      <c r="AV57" s="16702"/>
      <c r="AW57" s="16702"/>
      <c r="AX57" s="16702"/>
      <c r="AY57" s="16702"/>
      <c r="AZ57" s="16702"/>
      <c r="BA57" s="16702"/>
      <c r="BB57" s="16702"/>
    </row>
    <row customHeight="1" ht="14.25">
      <c r="O58" s="898"/>
      <c r="S58" s="1618"/>
      <c r="T58" s="2526"/>
      <c r="U58" s="2526"/>
      <c r="V58" s="2526"/>
      <c r="W58" s="2526"/>
      <c r="X58" s="2526"/>
      <c r="Y58" s="2526"/>
      <c r="Z58" s="2526"/>
      <c r="AA58" s="2526"/>
      <c r="AB58" s="2526"/>
      <c r="AC58" s="2526"/>
      <c r="AD58" s="2526"/>
      <c r="AE58" s="2526"/>
      <c r="AF58" s="2526"/>
      <c r="AG58" s="2526"/>
      <c r="AH58" s="2526"/>
      <c r="AI58" s="2526"/>
      <c r="AJ58" s="2526"/>
      <c r="AK58" s="2526"/>
      <c r="AL58" s="2526"/>
      <c r="AM58" s="2526"/>
      <c r="AN58" s="2526"/>
      <c r="AO58" s="2526"/>
      <c r="AP58" s="2526"/>
      <c r="AQ58" s="2526"/>
      <c r="AR58" s="16820"/>
      <c r="AS58" s="16820"/>
      <c r="AT58" s="16820"/>
      <c r="AU58" s="16820"/>
      <c r="AV58" s="16820"/>
      <c r="AW58" s="16820"/>
      <c r="AX58" s="16820"/>
      <c r="AY58" s="16820"/>
      <c r="AZ58" s="16820"/>
      <c r="BA58" s="16820"/>
      <c r="BB58" s="16820"/>
      <c r="BC58" s="2526"/>
      <c r="BD58" s="2526"/>
    </row>
  </sheetData>
  <sheetProtection formatColumns="0" formatRows="0" autoFilter="0" sort="0" insertRows="0" insertColumns="1" deleteRows="0" deleteColumns="0"/>
  <mergeCells count="140">
    <mergeCell ref="AH38:AJ38"/>
    <mergeCell ref="AK38:AM38"/>
    <mergeCell ref="AH39:AH40"/>
    <mergeCell ref="AI39:AJ39"/>
    <mergeCell ref="AK39:AK40"/>
    <mergeCell ref="X39:Y39"/>
    <mergeCell ref="W39:W40"/>
    <mergeCell ref="Z39:Z40"/>
    <mergeCell ref="AA39:AB39"/>
    <mergeCell ref="W38:Y38"/>
    <mergeCell ref="E2:E13"/>
    <mergeCell ref="V2:AF2"/>
    <mergeCell ref="AG2:BC2"/>
    <mergeCell ref="F3:F12"/>
    <mergeCell ref="V3:AF3"/>
    <mergeCell ref="AG3:BC3"/>
    <mergeCell ref="G4:G11"/>
    <mergeCell ref="V4:AF4"/>
    <mergeCell ref="AG4:BC4"/>
    <mergeCell ref="H5:H11"/>
    <mergeCell ref="I5:I10"/>
    <mergeCell ref="P5:P10"/>
    <mergeCell ref="V5:AF5"/>
    <mergeCell ref="AG5:BC5"/>
    <mergeCell ref="J6:J9"/>
    <mergeCell ref="Q6:Q9"/>
    <mergeCell ref="V6:AF6"/>
    <mergeCell ref="AG6:BC6"/>
    <mergeCell ref="K7:K8"/>
    <mergeCell ref="AC7:AC8"/>
    <mergeCell ref="AQ7:AQ8"/>
    <mergeCell ref="S29:T29"/>
    <mergeCell ref="AG38:AG40"/>
    <mergeCell ref="BD7:BD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BD36:BD40"/>
    <mergeCell ref="S37:S40"/>
    <mergeCell ref="T37:T40"/>
    <mergeCell ref="V37:AE37"/>
    <mergeCell ref="AF37:AF40"/>
    <mergeCell ref="AG37:AP37"/>
    <mergeCell ref="AQ37:AQ40"/>
    <mergeCell ref="S32:T32"/>
    <mergeCell ref="V32:AE32"/>
    <mergeCell ref="AG32:AP32"/>
    <mergeCell ref="S33:T33"/>
    <mergeCell ref="V33:AE33"/>
    <mergeCell ref="AG33:AP33"/>
    <mergeCell ref="BC37:BC40"/>
    <mergeCell ref="AD40:AE40"/>
    <mergeCell ref="AO40:AP40"/>
    <mergeCell ref="V35:AF35"/>
    <mergeCell ref="AG35:AQ35"/>
    <mergeCell ref="S36:BC36"/>
    <mergeCell ref="AN38:AP39"/>
    <mergeCell ref="AC38:AE39"/>
    <mergeCell ref="AL39:AM39"/>
    <mergeCell ref="Z38:AB38"/>
    <mergeCell ref="V38:V40"/>
    <mergeCell ref="AD41:AE41"/>
    <mergeCell ref="AO41:AP41"/>
    <mergeCell ref="E42:E53"/>
    <mergeCell ref="V42:AF42"/>
    <mergeCell ref="AG42:BC42"/>
    <mergeCell ref="F43:F52"/>
    <mergeCell ref="V43:AF43"/>
    <mergeCell ref="AG43:BC43"/>
    <mergeCell ref="G44:G51"/>
    <mergeCell ref="V44:AF44"/>
    <mergeCell ref="AG44:BC44"/>
    <mergeCell ref="H45:H51"/>
    <mergeCell ref="I45:I50"/>
    <mergeCell ref="P45:P50"/>
    <mergeCell ref="V45:AF45"/>
    <mergeCell ref="AG45:BC45"/>
    <mergeCell ref="J46:J49"/>
    <mergeCell ref="Q46:Q49"/>
    <mergeCell ref="V46:AF46"/>
    <mergeCell ref="AG46:BC46"/>
    <mergeCell ref="AO47:AO48"/>
    <mergeCell ref="AP47:AP48"/>
    <mergeCell ref="AQ47:AQ48"/>
    <mergeCell ref="BD47:BD48"/>
    <mergeCell ref="T56:BD56"/>
    <mergeCell ref="T58:BD58"/>
    <mergeCell ref="K47:K48"/>
    <mergeCell ref="AN47:AN48"/>
    <mergeCell ref="AT39:AU39"/>
    <mergeCell ref="AS39:AS40"/>
    <mergeCell ref="AV39:AV40"/>
    <mergeCell ref="AW39:AX39"/>
    <mergeCell ref="AS38:AU38"/>
    <mergeCell ref="AY7:AY8"/>
    <mergeCell ref="AZ7:AZ8"/>
    <mergeCell ref="BA7:BA8"/>
    <mergeCell ref="BB7:BB8"/>
    <mergeCell ref="AR27:BA27"/>
    <mergeCell ref="AR28:BA28"/>
    <mergeCell ref="AR29:BA29"/>
    <mergeCell ref="AR30:BA30"/>
    <mergeCell ref="AR32:BA32"/>
    <mergeCell ref="AR33:BA33"/>
    <mergeCell ref="AR35:BB35"/>
    <mergeCell ref="AR37:BA37"/>
    <mergeCell ref="BB37:BB40"/>
    <mergeCell ref="AR38:AR40"/>
    <mergeCell ref="AV38:AX38"/>
    <mergeCell ref="AY38:BA39"/>
    <mergeCell ref="AZ40:BA40"/>
    <mergeCell ref="AZ41:BA41"/>
    <mergeCell ref="BB47:BB48"/>
    <mergeCell ref="AY47:AY48"/>
    <mergeCell ref="AZ47:AZ48"/>
    <mergeCell ref="BA47:BA48"/>
    <mergeCell ref="AF47:AF48"/>
    <mergeCell ref="AC47:AC48"/>
    <mergeCell ref="AD47:AD48"/>
    <mergeCell ref="AE47:AE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BB524331 AQ196651:BB196651 AQ589867:BB589867 AQ655403:BB655403 AQ15 AQ720939:BB720939 AQ786475:BB786475 AQ852011:BB852011 AQ917547:BB917547 AQ983083:BB983083 AQ65579:BB65579 AQ131115:BB131115 AQ458795:BB458795 AQ262187:BB262187 AQ7 AZ7 BB7 AO47 AQ327723:BB327723 AO15 AO7 AD7 AF7 AQ393259:BB393259 AQ47 AZ47 BB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AY7 BA7 AY47 BA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BD65573:BD65580 BD131109:BD131116 BD196645:BD196652 BD262181:BD262188 BD327717:BD327724 BD393253:BD393260 BD458789:BD458796 BD524325:BD524332 BD589861:BD589868 BD655397:BD655404 BD720933:BD720940 BD786469:BD786476 BD852005:BD852012 BD917541:BD917548 BD983077:BD983084 T47 T7 AG45:AQ45 BC45 AG5:AQ5 BC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BC983082 V65578:BC65578 V131114:BC131114 V196650:BC196650 V262186:BC262186 V327722:BC327722 V393258:BC393258 V458794:BC458794 V524330:BC524330 V589866:BC589866 V655402:BC655402 V720938:BC720938 V786474:BC786474 V852010:BC852010 V917546:BC917546">
      <formula1>kind_of_cons</formula1>
    </dataValidation>
    <dataValidation allowBlank="1" sqref="S131117:BD131123 S196653:BD196659 S262189:BD262195 S327725:BD327731 S393261:BD393267 S458797:BD458803 S524333:BD524339 S589869:BD589875 S655405:BD655411 S720941:BD720947 S786477:BD786483 S852013:BD852019 S917549:BD917555 S983085:BD983091 S65581:BD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D8B855-E2A7-3C47-8108-9D895C4D0707}" mc:Ignorable="x14ac xr xr2 xr3">
  <sheetPr>
    <tabColor theme="6" tint="0.4"/>
  </sheetPr>
  <dimension ref="A1:AX58"/>
  <sheetViews>
    <sheetView topLeftCell="A1" showGridLines="0" zoomScale="90" workbookViewId="0">
      <selection activeCell="A1" sqref="A1"/>
    </sheetView>
  </sheetViews>
  <sheetFormatPr defaultColWidth="10.57421875" customHeight="1" defaultRowHeight="14.25"/>
  <cols>
    <col min="1" max="1" style="19146" width="10.57421875" hidden="1"/>
    <col min="2" max="2" style="19146" width="11.00390625" hidden="1" customWidth="1"/>
    <col min="3" max="3" style="19146" width="10.57421875" hidden="1"/>
    <col min="4" max="4" style="19146" width="11.8515625" hidden="1" customWidth="1"/>
    <col min="5" max="5" style="19146" width="10.00390625" hidden="1" customWidth="1"/>
    <col min="6" max="6" style="19146" width="8.7109375" hidden="1" customWidth="1"/>
    <col min="7" max="7" style="19146" width="7.57421875" hidden="1" customWidth="1"/>
    <col min="8" max="8" style="19146" width="11.421875" hidden="1" customWidth="1"/>
    <col min="9" max="9" style="19146" width="14.140625" hidden="1" customWidth="1"/>
    <col min="10" max="10" style="19146" width="9.8515625" hidden="1" customWidth="1"/>
    <col min="11" max="11" style="19146" width="14.7109375" hidden="1" customWidth="1"/>
    <col min="12" max="12" style="19497" width="19.140625" hidden="1" customWidth="1"/>
    <col min="13" max="14" style="19228" width="12.28125" hidden="1" customWidth="1"/>
    <col min="15" max="15" style="19228" width="23.421875" hidden="1" customWidth="1"/>
    <col min="16" max="16" style="19498" width="3.7109375" customWidth="1"/>
    <col min="17" max="18" style="19230" width="3.7109375" customWidth="1"/>
    <col min="19" max="19" style="19231" width="12.7109375" customWidth="1"/>
    <col min="20" max="20" style="19232" width="35.7109375" customWidth="1"/>
    <col min="21" max="21" style="19232" width="0.140625" customWidth="1"/>
    <col min="22" max="22" style="19232" width="19.7109375" hidden="1" customWidth="1"/>
    <col min="23" max="27" style="19274" width="19.7109375" hidden="1" customWidth="1"/>
    <col min="28" max="28" style="19232" width="19.7109375" hidden="1" customWidth="1"/>
    <col min="29" max="29" style="19232" width="11.7109375" hidden="1" customWidth="1"/>
    <col min="30" max="30" style="19232" width="3.7109375" hidden="1" customWidth="1"/>
    <col min="31" max="31" style="19232" width="11.7109375" hidden="1" customWidth="1"/>
    <col min="32" max="32" style="19232" width="8.57421875" hidden="1" customWidth="1"/>
    <col min="33" max="33" style="19232" width="19.7109375" customWidth="1"/>
    <col min="34" max="38" style="19274" width="19.7109375" customWidth="1"/>
    <col min="39" max="39" style="19232" width="19.7109375" customWidth="1"/>
    <col min="40" max="40" style="19232" width="11.7109375" customWidth="1"/>
    <col min="41" max="41" style="19232" width="3.7109375" customWidth="1"/>
    <col min="42" max="42" style="19232" width="11.7109375" customWidth="1"/>
    <col min="43" max="43" style="19232" width="8.57421875" hidden="1" customWidth="1"/>
    <col min="44" max="44" style="19232" width="4.7109375" customWidth="1"/>
    <col min="45" max="45" style="19232" width="115.7109375" customWidth="1"/>
    <col min="46" max="47" style="19219" width="10.57421875"/>
    <col min="48" max="48" style="19219" width="11.140625" customWidth="1"/>
    <col min="49" max="50" style="19219" width="10.57421875"/>
  </cols>
  <sheetData>
    <row customHeight="1" ht="14.25" hidden="1">
      <c r="AB1" s="688"/>
      <c r="AC1" s="688"/>
      <c r="AM1" s="688"/>
      <c r="AN1" s="688"/>
    </row>
    <row customHeight="1" ht="23.25" hidden="1">
      <c r="A2" s="1729"/>
      <c r="B2" s="1729"/>
      <c r="C2" s="1729"/>
      <c r="D2" s="1729"/>
      <c r="E2" s="2527">
        <v>1</v>
      </c>
      <c r="F2" s="1729"/>
      <c r="G2" s="1729"/>
      <c r="H2" s="1729"/>
      <c r="I2" s="1729"/>
      <c r="J2" s="1729"/>
      <c r="K2" s="1729"/>
      <c r="L2" s="1730"/>
      <c r="M2" s="1731"/>
      <c r="N2" s="1731"/>
      <c r="O2" s="1731"/>
      <c r="P2" s="722"/>
      <c r="Q2" s="721"/>
      <c r="R2" s="716"/>
      <c r="S2" s="1859">
        <f>INDEX(PT_DIFFERENTIATION_NUM_NTAR,MATCH(A2,PT_DIFFERENTIATION_NTAR_ID,0))</f>
      </c>
      <c r="T2" s="659" t="s">
        <v>120</v>
      </c>
      <c r="U2" s="661"/>
      <c r="V2" s="2521"/>
      <c r="W2" s="2522"/>
      <c r="X2" s="2522"/>
      <c r="Y2" s="2522"/>
      <c r="Z2" s="2522"/>
      <c r="AA2" s="2522"/>
      <c r="AB2" s="2522"/>
      <c r="AC2" s="2522"/>
      <c r="AD2" s="2522"/>
      <c r="AE2" s="2522"/>
      <c r="AF2" s="2523"/>
      <c r="AG2" s="2521">
        <f>INDEX(PT_DIFFERENTIATION_NTAR,MATCH(A2,PT_DIFFERENTIATION_NTAR_ID,0))</f>
      </c>
      <c r="AH2" s="2522"/>
      <c r="AI2" s="2522"/>
      <c r="AJ2" s="2522"/>
      <c r="AK2" s="2522"/>
      <c r="AL2" s="2522"/>
      <c r="AM2" s="2522"/>
      <c r="AN2" s="2522"/>
      <c r="AO2" s="2522"/>
      <c r="AP2" s="2522"/>
      <c r="AQ2" s="2522"/>
      <c r="AR2" s="2523"/>
      <c r="AS2" s="16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861"/>
      <c r="AV2" s="861" t="str">
        <f>IF(T2="","",T2)</f>
        <v>Наименование тарифа</v>
      </c>
      <c r="AW2" s="861"/>
      <c r="AX2" s="861"/>
    </row>
    <row customHeight="1" ht="23.25" hidden="1">
      <c r="A3" s="1729"/>
      <c r="B3" s="1729"/>
      <c r="C3" s="1729"/>
      <c r="D3" s="1729"/>
      <c r="E3" s="2528"/>
      <c r="F3" s="2527">
        <v>1</v>
      </c>
      <c r="G3" s="1729"/>
      <c r="H3" s="1729"/>
      <c r="I3" s="1729"/>
      <c r="J3" s="1729"/>
      <c r="K3" s="1729"/>
      <c r="L3" s="1730"/>
      <c r="M3" s="1731"/>
      <c r="N3" s="1731"/>
      <c r="O3" s="1731"/>
      <c r="P3" s="1853"/>
      <c r="Q3" s="713"/>
      <c r="R3" s="714"/>
      <c r="S3" s="1859">
        <f>INDEX(PT_DIFFERENTIATION_NUM_TER,MATCH(B3,PT_DIFFERENTIATION_TER_ID,0))</f>
      </c>
      <c r="T3" s="669" t="s">
        <v>397</v>
      </c>
      <c r="U3" s="661"/>
      <c r="V3" s="2521"/>
      <c r="W3" s="2522"/>
      <c r="X3" s="2522"/>
      <c r="Y3" s="2522"/>
      <c r="Z3" s="2522"/>
      <c r="AA3" s="2522"/>
      <c r="AB3" s="2522"/>
      <c r="AC3" s="2522"/>
      <c r="AD3" s="2522"/>
      <c r="AE3" s="2522"/>
      <c r="AF3" s="2523"/>
      <c r="AG3" s="2521">
        <f>INDEX(PT_DIFFERENTIATION_TER,MATCH(B3,PT_DIFFERENTIATION_TER_ID,0))</f>
      </c>
      <c r="AH3" s="2522"/>
      <c r="AI3" s="2522"/>
      <c r="AJ3" s="2522"/>
      <c r="AK3" s="2522"/>
      <c r="AL3" s="2522"/>
      <c r="AM3" s="2522"/>
      <c r="AN3" s="2522"/>
      <c r="AO3" s="2522"/>
      <c r="AP3" s="2522"/>
      <c r="AQ3" s="2522"/>
      <c r="AR3" s="2523"/>
      <c r="AS3" s="1623" t="s">
        <v>398</v>
      </c>
      <c r="AU3" s="861"/>
      <c r="AV3" s="861" t="str">
        <f>IF(T3="","",T3)</f>
        <v>Территория действия тарифа</v>
      </c>
      <c r="AW3" s="861"/>
      <c r="AX3" s="861"/>
    </row>
    <row customHeight="1" ht="23.25" hidden="1">
      <c r="A4" s="1729"/>
      <c r="B4" s="1729"/>
      <c r="C4" s="1729"/>
      <c r="D4" s="1729"/>
      <c r="E4" s="2528"/>
      <c r="F4" s="2528"/>
      <c r="G4" s="2527">
        <v>1</v>
      </c>
      <c r="H4" s="1729"/>
      <c r="I4" s="1729"/>
      <c r="J4" s="1729"/>
      <c r="K4" s="1729"/>
      <c r="L4" s="1730"/>
      <c r="M4" s="1731"/>
      <c r="N4" s="1731"/>
      <c r="O4" s="1731"/>
      <c r="P4" s="715"/>
      <c r="Q4" s="713"/>
      <c r="R4" s="714"/>
      <c r="S4" s="1859">
        <f>INDEX(PT_DIFFERENTIATION_NUM_CS,MATCH(C4,PT_DIFFERENTIATION_CS_ID,0))</f>
      </c>
      <c r="T4" s="670" t="s">
        <v>528</v>
      </c>
      <c r="U4" s="661"/>
      <c r="V4" s="2521"/>
      <c r="W4" s="2522"/>
      <c r="X4" s="2522"/>
      <c r="Y4" s="2522"/>
      <c r="Z4" s="2522"/>
      <c r="AA4" s="2522"/>
      <c r="AB4" s="2522"/>
      <c r="AC4" s="2522"/>
      <c r="AD4" s="2522"/>
      <c r="AE4" s="2522"/>
      <c r="AF4" s="2523"/>
      <c r="AG4" s="2521">
        <f>INDEX(PT_DIFFERENTIATION_CS,MATCH(C4,PT_DIFFERENTIATION_CS_ID,0))</f>
      </c>
      <c r="AH4" s="2522"/>
      <c r="AI4" s="2522"/>
      <c r="AJ4" s="2522"/>
      <c r="AK4" s="2522"/>
      <c r="AL4" s="2522"/>
      <c r="AM4" s="2522"/>
      <c r="AN4" s="2522"/>
      <c r="AO4" s="2522"/>
      <c r="AP4" s="2522"/>
      <c r="AQ4" s="2522"/>
      <c r="AR4" s="2523"/>
      <c r="AS4" s="1623" t="s">
        <v>529</v>
      </c>
      <c r="AU4" s="861"/>
      <c r="AV4" s="861" t="str">
        <f>IF(T4="","",T4)</f>
        <v>Наименование централизованной системы горячего водоснабжения</v>
      </c>
      <c r="AW4" s="861"/>
      <c r="AX4" s="861"/>
    </row>
    <row customHeight="1" ht="23.25" hidden="1">
      <c r="A5" s="1729"/>
      <c r="B5" s="1729"/>
      <c r="C5" s="1729"/>
      <c r="D5" s="1729"/>
      <c r="E5" s="2528"/>
      <c r="F5" s="2528"/>
      <c r="G5" s="2528"/>
      <c r="H5" s="2528"/>
      <c r="I5" s="2529">
        <f>S4&amp;".1"</f>
      </c>
      <c r="J5" s="1729"/>
      <c r="K5" s="1729"/>
      <c r="L5" s="1730"/>
      <c r="P5" s="2531">
        <v>1</v>
      </c>
      <c r="Q5" s="1847"/>
      <c r="R5" s="717"/>
      <c r="S5" s="1859">
        <f>$I5</f>
      </c>
      <c r="T5" s="646" t="s">
        <v>481</v>
      </c>
      <c r="U5" s="661"/>
      <c r="V5" s="2614"/>
      <c r="W5" s="2615"/>
      <c r="X5" s="2615"/>
      <c r="Y5" s="2615"/>
      <c r="Z5" s="2615"/>
      <c r="AA5" s="2615"/>
      <c r="AB5" s="2615"/>
      <c r="AC5" s="2615"/>
      <c r="AD5" s="2615"/>
      <c r="AE5" s="2615"/>
      <c r="AF5" s="2616"/>
      <c r="AG5" s="2617"/>
      <c r="AH5" s="2618"/>
      <c r="AI5" s="2618"/>
      <c r="AJ5" s="2618"/>
      <c r="AK5" s="2618"/>
      <c r="AL5" s="2618"/>
      <c r="AM5" s="2618"/>
      <c r="AN5" s="2618"/>
      <c r="AO5" s="2618"/>
      <c r="AP5" s="2618"/>
      <c r="AQ5" s="2618"/>
      <c r="AR5" s="2619"/>
      <c r="AS5" s="1623" t="s">
        <v>482</v>
      </c>
      <c r="AU5" s="861"/>
      <c r="AV5" s="861" t="str">
        <f>IF(T5="","",T5)</f>
        <v>Наименование признака дифференциации</v>
      </c>
      <c r="AW5" s="861"/>
      <c r="AX5" s="861"/>
    </row>
    <row customHeight="1" ht="23.25" hidden="1">
      <c r="A6" s="1729"/>
      <c r="B6" s="1729"/>
      <c r="C6" s="1729"/>
      <c r="D6" s="1729"/>
      <c r="E6" s="2528"/>
      <c r="F6" s="2528"/>
      <c r="G6" s="2528"/>
      <c r="H6" s="2528"/>
      <c r="I6" s="2530"/>
      <c r="J6" s="2529">
        <f>I5&amp;".1"</f>
      </c>
      <c r="K6" s="1729"/>
      <c r="L6" s="1730" t="s">
        <v>406</v>
      </c>
      <c r="P6" s="2531"/>
      <c r="Q6" s="2531">
        <v>1</v>
      </c>
      <c r="R6" s="718"/>
      <c r="S6" s="1859">
        <f>$J6</f>
      </c>
      <c r="T6" s="647" t="s">
        <v>407</v>
      </c>
      <c r="U6" s="661"/>
      <c r="V6" s="2515"/>
      <c r="W6" s="2516"/>
      <c r="X6" s="2516"/>
      <c r="Y6" s="2516"/>
      <c r="Z6" s="2516"/>
      <c r="AA6" s="2516"/>
      <c r="AB6" s="2516"/>
      <c r="AC6" s="2516"/>
      <c r="AD6" s="2516"/>
      <c r="AE6" s="2516"/>
      <c r="AF6" s="2517"/>
      <c r="AG6" s="2515"/>
      <c r="AH6" s="2516"/>
      <c r="AI6" s="2516"/>
      <c r="AJ6" s="2516"/>
      <c r="AK6" s="2516"/>
      <c r="AL6" s="2516"/>
      <c r="AM6" s="2516"/>
      <c r="AN6" s="2516"/>
      <c r="AO6" s="2516"/>
      <c r="AP6" s="2516"/>
      <c r="AQ6" s="2516"/>
      <c r="AR6" s="2517"/>
      <c r="AS6" s="1673" t="s">
        <v>483</v>
      </c>
      <c r="AU6" s="861"/>
      <c r="AV6" s="861" t="str">
        <f>IF(T6="","",T6)</f>
        <v>Группа потребителей</v>
      </c>
      <c r="AW6" s="861"/>
      <c r="AX6" s="861"/>
    </row>
    <row customHeight="1" ht="23.25" hidden="1">
      <c r="A7" s="1729"/>
      <c r="B7" s="1729"/>
      <c r="C7" s="1729"/>
      <c r="D7" s="1729"/>
      <c r="E7" s="2528"/>
      <c r="F7" s="2528"/>
      <c r="G7" s="2528"/>
      <c r="H7" s="2528"/>
      <c r="I7" s="2530"/>
      <c r="J7" s="2530"/>
      <c r="K7" s="2529">
        <f>J6&amp;".1"</f>
      </c>
      <c r="L7" s="1730"/>
      <c r="P7" s="2531"/>
      <c r="Q7" s="2531"/>
      <c r="R7" s="718">
        <v>1</v>
      </c>
      <c r="S7" s="1859">
        <f>$K7</f>
      </c>
      <c r="T7" s="1803"/>
      <c r="U7" s="661"/>
      <c r="V7" s="1112"/>
      <c r="W7" s="1112"/>
      <c r="X7" s="1112"/>
      <c r="Y7" s="1112"/>
      <c r="Z7" s="1112"/>
      <c r="AA7" s="1112"/>
      <c r="AB7" s="1622"/>
      <c r="AC7" s="2532"/>
      <c r="AD7" s="2402" t="s">
        <v>59</v>
      </c>
      <c r="AE7" s="2532"/>
      <c r="AF7" s="2402" t="s">
        <v>59</v>
      </c>
      <c r="AG7" s="1112"/>
      <c r="AH7" s="1112"/>
      <c r="AI7" s="1112"/>
      <c r="AJ7" s="1112"/>
      <c r="AK7" s="1112"/>
      <c r="AL7" s="1112"/>
      <c r="AM7" s="1622"/>
      <c r="AN7" s="2532"/>
      <c r="AO7" s="2402" t="s">
        <v>59</v>
      </c>
      <c r="AP7" s="2534"/>
      <c r="AQ7" s="2402" t="s">
        <v>59</v>
      </c>
      <c r="AR7" s="1804"/>
      <c r="AS7" s="26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872">
        <f>STRCHECKDATE(V8:AR8)</f>
      </c>
      <c r="AU7" s="861"/>
      <c r="AV7" s="861" t="str">
        <f>IF(T7="","",T7)</f>
        <v/>
      </c>
      <c r="AW7" s="861"/>
      <c r="AX7" s="861"/>
    </row>
    <row customHeight="1" ht="14.25" hidden="1">
      <c r="A8" s="1729"/>
      <c r="B8" s="1729"/>
      <c r="C8" s="1729"/>
      <c r="D8" s="1729"/>
      <c r="E8" s="2528"/>
      <c r="F8" s="2528"/>
      <c r="G8" s="2528"/>
      <c r="H8" s="2528"/>
      <c r="I8" s="2530"/>
      <c r="J8" s="2530"/>
      <c r="K8" s="2529"/>
      <c r="L8" s="1730"/>
      <c r="P8" s="2531"/>
      <c r="Q8" s="2531"/>
      <c r="R8" s="718"/>
      <c r="S8" s="1856"/>
      <c r="T8" s="661"/>
      <c r="U8" s="661"/>
      <c r="V8" s="686"/>
      <c r="W8" s="686"/>
      <c r="X8" s="686"/>
      <c r="Y8" s="686"/>
      <c r="Z8" s="686"/>
      <c r="AA8" s="686"/>
      <c r="AB8" s="689" t="str">
        <f>AC7&amp;"-"&amp;AE7</f>
        <v>-</v>
      </c>
      <c r="AC8" s="2533"/>
      <c r="AD8" s="2402"/>
      <c r="AE8" s="2533"/>
      <c r="AF8" s="2402"/>
      <c r="AG8" s="686"/>
      <c r="AH8" s="686"/>
      <c r="AI8" s="686"/>
      <c r="AJ8" s="686"/>
      <c r="AK8" s="686"/>
      <c r="AL8" s="686"/>
      <c r="AM8" s="689" t="str">
        <f>AN7&amp;"-"&amp;AP7</f>
        <v>-</v>
      </c>
      <c r="AN8" s="2533"/>
      <c r="AO8" s="2402"/>
      <c r="AP8" s="2535"/>
      <c r="AQ8" s="2402"/>
      <c r="AR8" s="1805"/>
      <c r="AS8" s="2620"/>
      <c r="AU8" s="861"/>
      <c r="AV8" s="861" t="str">
        <f>IF(T8="","",T8)</f>
        <v/>
      </c>
      <c r="AW8" s="861"/>
      <c r="AX8" s="861"/>
    </row>
    <row customHeight="1" ht="21" hidden="1">
      <c r="A9" s="1729"/>
      <c r="B9" s="1729"/>
      <c r="C9" s="1729"/>
      <c r="D9" s="1729"/>
      <c r="E9" s="2528"/>
      <c r="F9" s="2528"/>
      <c r="G9" s="2528"/>
      <c r="H9" s="2528"/>
      <c r="I9" s="2530"/>
      <c r="J9" s="2529"/>
      <c r="K9" s="1729"/>
      <c r="L9" s="1730"/>
      <c r="P9" s="2531"/>
      <c r="Q9" s="2531"/>
      <c r="R9" s="717"/>
      <c r="S9" s="1644"/>
      <c r="T9" s="648" t="s">
        <v>484</v>
      </c>
      <c r="U9" s="728"/>
      <c r="V9" s="728"/>
      <c r="W9" s="961"/>
      <c r="X9" s="961"/>
      <c r="Y9" s="961"/>
      <c r="Z9" s="961"/>
      <c r="AA9" s="961"/>
      <c r="AB9" s="728"/>
      <c r="AC9" s="728"/>
      <c r="AD9" s="728"/>
      <c r="AE9" s="728"/>
      <c r="AF9" s="728"/>
      <c r="AG9" s="728"/>
      <c r="AH9" s="961"/>
      <c r="AI9" s="961"/>
      <c r="AJ9" s="961"/>
      <c r="AK9" s="961"/>
      <c r="AL9" s="961"/>
      <c r="AM9" s="728"/>
      <c r="AN9" s="728"/>
      <c r="AO9" s="728"/>
      <c r="AP9" s="728"/>
      <c r="AQ9" s="728"/>
      <c r="AR9" s="728"/>
      <c r="AS9" s="1623" t="s">
        <v>485</v>
      </c>
      <c r="AU9" s="861"/>
      <c r="AV9" s="861" t="str">
        <f>IF(T9="","",T9)</f>
        <v>Добавить значение признака дифференциации</v>
      </c>
      <c r="AW9" s="861"/>
      <c r="AX9" s="861"/>
    </row>
    <row customHeight="1" ht="21" hidden="1">
      <c r="A10" s="1729"/>
      <c r="B10" s="1729"/>
      <c r="C10" s="1729"/>
      <c r="D10" s="1729"/>
      <c r="E10" s="2528"/>
      <c r="F10" s="2528"/>
      <c r="G10" s="2528"/>
      <c r="H10" s="2528"/>
      <c r="I10" s="2529"/>
      <c r="J10" s="1729"/>
      <c r="K10" s="1729"/>
      <c r="L10" s="1730"/>
      <c r="P10" s="2531"/>
      <c r="Q10" s="1847"/>
      <c r="R10" s="717"/>
      <c r="S10" s="1644"/>
      <c r="T10" s="726" t="s">
        <v>412</v>
      </c>
      <c r="U10" s="728"/>
      <c r="V10" s="728"/>
      <c r="W10" s="961"/>
      <c r="X10" s="961"/>
      <c r="Y10" s="961"/>
      <c r="Z10" s="961"/>
      <c r="AA10" s="961"/>
      <c r="AB10" s="728"/>
      <c r="AC10" s="728"/>
      <c r="AD10" s="728"/>
      <c r="AE10" s="728"/>
      <c r="AF10" s="727"/>
      <c r="AG10" s="728"/>
      <c r="AH10" s="961"/>
      <c r="AI10" s="961"/>
      <c r="AJ10" s="961"/>
      <c r="AK10" s="961"/>
      <c r="AL10" s="961"/>
      <c r="AM10" s="728"/>
      <c r="AN10" s="728"/>
      <c r="AO10" s="728"/>
      <c r="AP10" s="728"/>
      <c r="AQ10" s="727"/>
      <c r="AR10" s="728"/>
      <c r="AS10" s="1806"/>
      <c r="AU10" s="861"/>
      <c r="AV10" s="861" t="str">
        <f>IF(T10="","",T10)</f>
        <v>Добавить группу потребителей</v>
      </c>
      <c r="AW10" s="861"/>
      <c r="AX10" s="861"/>
    </row>
    <row customHeight="1" ht="21" hidden="1">
      <c r="A11" s="1729"/>
      <c r="B11" s="1729"/>
      <c r="C11" s="1729"/>
      <c r="D11" s="1729"/>
      <c r="E11" s="2528"/>
      <c r="F11" s="2528"/>
      <c r="G11" s="2528"/>
      <c r="H11" s="2527"/>
      <c r="I11" s="1729"/>
      <c r="J11" s="1729"/>
      <c r="K11" s="1729"/>
      <c r="L11" s="1730"/>
      <c r="M11" s="1731"/>
      <c r="N11" s="1731"/>
      <c r="O11" s="898"/>
      <c r="P11" s="721"/>
      <c r="Q11" s="736"/>
      <c r="R11" s="716"/>
      <c r="S11" s="1644"/>
      <c r="T11" s="733" t="s">
        <v>486</v>
      </c>
      <c r="U11" s="728"/>
      <c r="V11" s="728"/>
      <c r="W11" s="961"/>
      <c r="X11" s="961"/>
      <c r="Y11" s="961"/>
      <c r="Z11" s="961"/>
      <c r="AA11" s="961"/>
      <c r="AB11" s="728"/>
      <c r="AC11" s="728"/>
      <c r="AD11" s="728"/>
      <c r="AE11" s="728"/>
      <c r="AF11" s="727"/>
      <c r="AG11" s="728"/>
      <c r="AH11" s="961"/>
      <c r="AI11" s="961"/>
      <c r="AJ11" s="961"/>
      <c r="AK11" s="961"/>
      <c r="AL11" s="961"/>
      <c r="AM11" s="728"/>
      <c r="AN11" s="728"/>
      <c r="AO11" s="728"/>
      <c r="AP11" s="728"/>
      <c r="AQ11" s="727"/>
      <c r="AR11" s="728"/>
      <c r="AS11" s="664"/>
      <c r="AU11" s="861"/>
      <c r="AV11" s="861" t="str">
        <f>IF(T11="","",T11)</f>
        <v>Добавить наименование признака дифференциации</v>
      </c>
      <c r="AW11" s="861"/>
      <c r="AX11" s="861"/>
    </row>
    <row s="19127" customFormat="1" customHeight="1" ht="14.25" hidden="1">
      <c r="A12" s="1709"/>
      <c r="B12" s="1709"/>
      <c r="C12" s="1680"/>
      <c r="D12" s="1680"/>
      <c r="E12" s="2528"/>
      <c r="F12" s="2527"/>
      <c r="G12" s="1680"/>
      <c r="H12" s="1680"/>
      <c r="I12" s="1680"/>
      <c r="J12" s="1680"/>
      <c r="K12" s="1680"/>
      <c r="L12" s="1860"/>
      <c r="M12" s="1687"/>
      <c r="N12" s="1687"/>
      <c r="P12" s="1682"/>
      <c r="Q12" s="1683"/>
      <c r="R12" s="1682"/>
      <c r="S12" s="1688"/>
      <c r="T12" s="1691" t="s">
        <v>251</v>
      </c>
      <c r="U12" s="1690"/>
      <c r="V12" s="1690"/>
      <c r="W12" s="1690"/>
      <c r="X12" s="1690"/>
      <c r="Y12" s="1690"/>
      <c r="Z12" s="1690"/>
      <c r="AA12" s="1690"/>
      <c r="AB12" s="1690"/>
      <c r="AC12" s="1690"/>
      <c r="AD12" s="1690"/>
      <c r="AE12" s="1690"/>
      <c r="AF12" s="1690"/>
      <c r="AG12" s="1690"/>
      <c r="AH12" s="1690"/>
      <c r="AI12" s="1690"/>
      <c r="AJ12" s="1690"/>
      <c r="AK12" s="1690"/>
      <c r="AL12" s="1690"/>
      <c r="AM12" s="1690"/>
      <c r="AN12" s="1690"/>
      <c r="AO12" s="1690"/>
      <c r="AP12" s="1690"/>
      <c r="AQ12" s="1690"/>
      <c r="AR12" s="1690"/>
      <c r="AS12" s="1690"/>
      <c r="AU12" s="1150"/>
      <c r="AV12" s="1150" t="str">
        <f>IF(T12="","",T12)</f>
        <v>Добавить централизованную систему для дифференциации</v>
      </c>
      <c r="AW12" s="1150"/>
      <c r="AX12" s="1150"/>
    </row>
    <row s="19219" customFormat="1" customHeight="1" ht="14.25" hidden="1">
      <c r="A13" s="1709"/>
      <c r="B13" s="1709"/>
      <c r="C13" s="1709"/>
      <c r="D13" s="1709"/>
      <c r="E13" s="2527"/>
      <c r="F13" s="1709"/>
      <c r="G13" s="1709"/>
      <c r="H13" s="1709"/>
      <c r="I13" s="1709"/>
      <c r="J13" s="1709"/>
      <c r="K13" s="1709"/>
      <c r="L13" s="1712"/>
      <c r="M13" s="1687"/>
      <c r="N13" s="1687"/>
      <c r="O13" s="879"/>
      <c r="P13" s="741"/>
      <c r="Q13" s="1710"/>
      <c r="R13" s="741"/>
      <c r="S13" s="1688"/>
      <c r="T13" s="1691" t="s">
        <v>252</v>
      </c>
      <c r="U13" s="1690"/>
      <c r="V13" s="1690"/>
      <c r="W13" s="1690"/>
      <c r="X13" s="1690"/>
      <c r="Y13" s="1690"/>
      <c r="Z13" s="1690"/>
      <c r="AA13" s="1690"/>
      <c r="AB13" s="1690"/>
      <c r="AC13" s="1690"/>
      <c r="AD13" s="1690"/>
      <c r="AE13" s="1690"/>
      <c r="AF13" s="1690"/>
      <c r="AG13" s="1690"/>
      <c r="AH13" s="1690"/>
      <c r="AI13" s="1690"/>
      <c r="AJ13" s="1690"/>
      <c r="AK13" s="1690"/>
      <c r="AL13" s="1690"/>
      <c r="AM13" s="1690"/>
      <c r="AN13" s="1690"/>
      <c r="AO13" s="1690"/>
      <c r="AP13" s="1690"/>
      <c r="AQ13" s="1690"/>
      <c r="AR13" s="1690"/>
      <c r="AS13" s="1690"/>
      <c r="AU13" s="861"/>
      <c r="AV13" s="861" t="str">
        <f>IF(T13="","",T13)</f>
        <v>Добавить территорию для дифференциации</v>
      </c>
      <c r="AW13" s="861"/>
      <c r="AX13" s="861"/>
    </row>
    <row customHeight="1" ht="14.25" hidden="1">
      <c r="AF14" s="688"/>
      <c r="AQ14" s="688"/>
    </row>
    <row customHeight="1" ht="14.25" hidden="1">
      <c r="AG15" s="1726"/>
      <c r="AH15" s="1726"/>
      <c r="AI15" s="1726"/>
      <c r="AJ15" s="1726"/>
      <c r="AK15" s="1726"/>
      <c r="AL15" s="1726"/>
      <c r="AM15" s="1727"/>
      <c r="AN15" s="2525"/>
      <c r="AO15" s="2524" t="s">
        <v>59</v>
      </c>
      <c r="AP15" s="2525"/>
      <c r="AQ15" s="2524" t="s">
        <v>59</v>
      </c>
    </row>
    <row customHeight="1" ht="14.25" hidden="1">
      <c r="AG16" s="1726"/>
      <c r="AH16" s="1726"/>
      <c r="AI16" s="1726"/>
      <c r="AJ16" s="1726"/>
      <c r="AK16" s="1726"/>
      <c r="AL16" s="1726"/>
      <c r="AM16" s="689" t="str">
        <f>AN15&amp;"-"&amp;AP15</f>
        <v>-</v>
      </c>
      <c r="AN16" s="2524"/>
      <c r="AO16" s="2524"/>
      <c r="AP16" s="2524"/>
      <c r="AQ16" s="2524"/>
    </row>
    <row customHeight="1" ht="14.25" hidden="1">
      <c r="AQ17" s="688"/>
    </row>
    <row s="19146" customFormat="1" customHeight="1" ht="22.5" hidden="1">
      <c r="L18" s="1844"/>
      <c r="M18" s="1728"/>
      <c r="N18" s="1728"/>
      <c r="O18" s="1733" t="s">
        <v>415</v>
      </c>
      <c r="P18" s="1728"/>
      <c r="Q18" s="1737"/>
      <c r="R18" s="1737"/>
      <c r="S18" s="1090"/>
      <c r="W18" s="1732"/>
      <c r="X18" s="1732"/>
      <c r="Y18" s="1732"/>
      <c r="Z18" s="1732"/>
      <c r="AA18" s="1732"/>
      <c r="AC18" s="1733"/>
      <c r="AE18" s="1733"/>
      <c r="AF18" s="1732"/>
      <c r="AH18" s="1732"/>
      <c r="AI18" s="1732"/>
      <c r="AJ18" s="1732"/>
      <c r="AK18" s="1732"/>
      <c r="AL18" s="1732"/>
      <c r="AN18" s="1733"/>
      <c r="AP18" s="1733"/>
      <c r="AQ18" s="1732"/>
      <c r="AT18" s="872"/>
      <c r="AU18" s="872"/>
      <c r="AV18" s="872"/>
      <c r="AW18" s="872"/>
      <c r="AX18" s="872"/>
    </row>
    <row s="19146" customFormat="1" customHeight="1" ht="14.25" hidden="1">
      <c r="L19" s="1844"/>
      <c r="M19" s="1728"/>
      <c r="N19" s="1728"/>
      <c r="O19" s="1728"/>
      <c r="P19" s="1728"/>
      <c r="Q19" s="1737"/>
      <c r="R19" s="1737"/>
      <c r="S19" s="1090"/>
      <c r="W19" s="1732"/>
      <c r="X19" s="1732"/>
      <c r="Y19" s="1732"/>
      <c r="Z19" s="1732"/>
      <c r="AA19" s="1732"/>
      <c r="AF19" s="1732"/>
      <c r="AH19" s="1732"/>
      <c r="AI19" s="1732"/>
      <c r="AJ19" s="1732"/>
      <c r="AK19" s="1732"/>
      <c r="AL19" s="1732"/>
      <c r="AQ19" s="1732"/>
      <c r="AT19" s="872"/>
      <c r="AU19" s="872"/>
      <c r="AV19" s="872"/>
      <c r="AW19" s="872"/>
      <c r="AX19" s="872"/>
    </row>
    <row s="19146" customFormat="1" customHeight="1" ht="12" hidden="1">
      <c r="L20" s="1844"/>
      <c r="M20" s="1728"/>
      <c r="N20" s="1728"/>
      <c r="O20" s="1730" t="s">
        <v>416</v>
      </c>
      <c r="P20" s="1728"/>
      <c r="Q20" s="1808"/>
      <c r="R20" s="1808"/>
      <c r="S20" s="1090"/>
      <c r="T20" s="1523" t="s">
        <v>417</v>
      </c>
      <c r="W20" s="1732"/>
      <c r="X20" s="1732"/>
      <c r="Y20" s="1732"/>
      <c r="Z20" s="1732"/>
      <c r="AA20" s="1732"/>
      <c r="AD20" s="547" t="s">
        <v>418</v>
      </c>
      <c r="AF20" s="547" t="s">
        <v>419</v>
      </c>
      <c r="AG20" s="1523" t="s">
        <v>417</v>
      </c>
      <c r="AH20" s="1732"/>
      <c r="AI20" s="1732"/>
      <c r="AJ20" s="1732"/>
      <c r="AK20" s="1732"/>
      <c r="AL20" s="1732"/>
      <c r="AO20" s="547" t="s">
        <v>420</v>
      </c>
      <c r="AQ20" s="547" t="s">
        <v>419</v>
      </c>
    </row>
    <row customHeight="1" ht="14.25" hidden="1">
      <c r="O21" s="1730"/>
    </row>
    <row customHeight="1" ht="14.25" hidden="1">
      <c r="O22" s="1730"/>
    </row>
    <row customHeight="1" ht="14.25">
      <c r="Q23" s="737"/>
      <c r="R23" s="737"/>
      <c r="S23" s="1641"/>
      <c r="T23" s="724"/>
      <c r="U23" s="724"/>
      <c r="V23" s="870"/>
      <c r="W23" s="2001"/>
      <c r="X23" s="2001"/>
      <c r="Y23" s="2001"/>
      <c r="Z23" s="2001"/>
      <c r="AA23" s="2001"/>
      <c r="AB23" s="870"/>
      <c r="AC23" s="870"/>
      <c r="AD23" s="870"/>
      <c r="AE23" s="870"/>
      <c r="AF23" s="870"/>
      <c r="AG23" s="870"/>
      <c r="AH23" s="2001"/>
      <c r="AI23" s="2001"/>
      <c r="AJ23" s="2001"/>
      <c r="AK23" s="2001"/>
      <c r="AL23" s="2001"/>
      <c r="AM23" s="870"/>
      <c r="AN23" s="870"/>
      <c r="AO23" s="870"/>
      <c r="AP23" s="870"/>
      <c r="AQ23" s="870"/>
    </row>
    <row customHeight="1" ht="24.75">
      <c r="Q24" s="737"/>
      <c r="R24" s="737"/>
      <c r="S24" s="256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560"/>
      <c r="U24" s="2560"/>
      <c r="V24" s="2560"/>
      <c r="W24" s="2560"/>
      <c r="X24" s="2560"/>
      <c r="Y24" s="2560"/>
      <c r="Z24" s="2560"/>
      <c r="AA24" s="2560"/>
      <c r="AB24" s="2560"/>
      <c r="AC24" s="2560"/>
      <c r="AD24" s="2560"/>
      <c r="AE24" s="2560"/>
      <c r="AF24" s="2560"/>
      <c r="AG24" s="2560"/>
      <c r="AH24" s="2560"/>
      <c r="AI24" s="2560"/>
      <c r="AJ24" s="2560"/>
      <c r="AK24" s="2560"/>
      <c r="AL24" s="2560"/>
      <c r="AM24" s="2560"/>
      <c r="AN24" s="2560"/>
      <c r="AO24" s="2560"/>
      <c r="AP24" s="2560"/>
      <c r="AQ24" s="1608"/>
    </row>
    <row customHeight="1" ht="14.25">
      <c r="Q25" s="737"/>
      <c r="R25" s="737"/>
      <c r="S25" s="2561" t="str">
        <f>IF(org=0,"Не определено",org)</f>
        <v>Филиал "Шатурская ГРЭС" ПАО "Юнипро"</v>
      </c>
      <c r="T25" s="2561"/>
      <c r="U25" s="2561"/>
      <c r="V25" s="2561"/>
      <c r="W25" s="2561"/>
      <c r="X25" s="2561"/>
      <c r="Y25" s="2561"/>
      <c r="Z25" s="2561"/>
      <c r="AA25" s="2561"/>
      <c r="AB25" s="2561"/>
      <c r="AC25" s="2561"/>
      <c r="AD25" s="2561"/>
      <c r="AE25" s="2561"/>
      <c r="AF25" s="2561"/>
      <c r="AG25" s="2561"/>
      <c r="AH25" s="2561"/>
      <c r="AI25" s="2561"/>
      <c r="AJ25" s="2561"/>
      <c r="AK25" s="2561"/>
      <c r="AL25" s="2561"/>
      <c r="AM25" s="2561"/>
      <c r="AN25" s="2561"/>
      <c r="AO25" s="2561"/>
      <c r="AP25" s="2561"/>
      <c r="AQ25" s="1608"/>
    </row>
    <row customHeight="1" ht="14.25">
      <c r="Q26" s="737"/>
      <c r="R26" s="737"/>
      <c r="S26" s="1641"/>
      <c r="T26" s="724"/>
      <c r="U26" s="724"/>
      <c r="V26" s="683"/>
      <c r="W26" s="683"/>
      <c r="X26" s="683"/>
      <c r="Y26" s="683"/>
      <c r="Z26" s="683"/>
      <c r="AA26" s="683"/>
      <c r="AB26" s="683"/>
      <c r="AC26" s="683"/>
      <c r="AD26" s="683"/>
      <c r="AE26" s="683"/>
      <c r="AF26" s="683"/>
      <c r="AG26" s="683"/>
      <c r="AH26" s="683"/>
      <c r="AI26" s="683"/>
      <c r="AJ26" s="683"/>
      <c r="AK26" s="683"/>
      <c r="AL26" s="683"/>
      <c r="AM26" s="683"/>
      <c r="AN26" s="683"/>
      <c r="AO26" s="683"/>
      <c r="AP26" s="683"/>
      <c r="AQ26" s="683"/>
      <c r="AR26" s="870"/>
    </row>
    <row s="19160" customFormat="1" customHeight="1" ht="25.5">
      <c r="A27" s="1734"/>
      <c r="B27" s="1734"/>
      <c r="C27" s="1734"/>
      <c r="D27" s="1734"/>
      <c r="E27" s="1734"/>
      <c r="F27" s="1734"/>
      <c r="G27" s="1734"/>
      <c r="H27" s="1734"/>
      <c r="I27" s="1734"/>
      <c r="J27" s="1734"/>
      <c r="K27" s="1734"/>
      <c r="L27" s="1735"/>
      <c r="M27" s="1734"/>
      <c r="N27" s="1734"/>
      <c r="O27" s="1734"/>
      <c r="S27" s="2518" t="s">
        <v>38</v>
      </c>
      <c r="T27" s="2518"/>
      <c r="U27" s="1738"/>
      <c r="V27" s="2520" t="str">
        <f>IF(TITLE_NAME_OR_PR_CHANGE="",IF(TITLE_NAME_OR_PR="","",TITLE_NAME_OR_PR),TITLE_NAME_OR_PR_CHANGE)</f>
        <v>Комитет по ценам и тарифам по Московской области</v>
      </c>
      <c r="W27" s="2520"/>
      <c r="X27" s="2520"/>
      <c r="Y27" s="2520"/>
      <c r="Z27" s="2520"/>
      <c r="AA27" s="2520"/>
      <c r="AB27" s="2520"/>
      <c r="AC27" s="2520"/>
      <c r="AD27" s="2520"/>
      <c r="AE27" s="2520"/>
      <c r="AF27" s="687"/>
      <c r="AG27" s="2520" t="str">
        <f>IF(TITLE_NAME_OR_PR_CHANGE="",IF(TITLE_NAME_OR_PR="","",TITLE_NAME_OR_PR),TITLE_NAME_OR_PR_CHANGE)</f>
        <v>Комитет по ценам и тарифам по Московской области</v>
      </c>
      <c r="AH27" s="2520"/>
      <c r="AI27" s="2520"/>
      <c r="AJ27" s="2520"/>
      <c r="AK27" s="2520"/>
      <c r="AL27" s="2520"/>
      <c r="AM27" s="2520"/>
      <c r="AN27" s="2520"/>
      <c r="AO27" s="2520"/>
      <c r="AP27" s="2520"/>
      <c r="AQ27" s="687"/>
      <c r="AR27" s="687"/>
      <c r="AS27" s="641"/>
      <c r="AT27" s="729"/>
      <c r="AU27" s="729"/>
      <c r="AV27" s="729"/>
      <c r="AW27" s="729"/>
      <c r="AX27" s="729"/>
    </row>
    <row s="19160" customFormat="1" customHeight="1" ht="18.75">
      <c r="A28" s="1734"/>
      <c r="B28" s="1734"/>
      <c r="C28" s="1734"/>
      <c r="D28" s="1734"/>
      <c r="E28" s="1734"/>
      <c r="F28" s="1734"/>
      <c r="G28" s="1734"/>
      <c r="H28" s="1734"/>
      <c r="I28" s="1734"/>
      <c r="J28" s="1734"/>
      <c r="K28" s="1734"/>
      <c r="L28" s="1735"/>
      <c r="M28" s="1734"/>
      <c r="N28" s="1734"/>
      <c r="O28" s="1734"/>
      <c r="S28" s="2518" t="s">
        <v>421</v>
      </c>
      <c r="T28" s="2518"/>
      <c r="U28" s="1738"/>
      <c r="V28" s="2519" t="str">
        <f>IF(TITLE_DATE_PR_CHANGE="",IF(TITLE_DATE_PR="","",TITLE_DATE_PR),TITLE_DATE_PR_CHANGE)</f>
        <v>45280.70914351852</v>
      </c>
      <c r="W28" s="2519"/>
      <c r="X28" s="2519"/>
      <c r="Y28" s="2519"/>
      <c r="Z28" s="2519"/>
      <c r="AA28" s="2519"/>
      <c r="AB28" s="2519"/>
      <c r="AC28" s="2519"/>
      <c r="AD28" s="2519"/>
      <c r="AE28" s="2519"/>
      <c r="AF28" s="687"/>
      <c r="AG28" s="2519" t="str">
        <f>IF(TITLE_DATE_PR_CHANGE="",IF(TITLE_DATE_PR="","",TITLE_DATE_PR),TITLE_DATE_PR_CHANGE)</f>
        <v>45280.70914351852</v>
      </c>
      <c r="AH28" s="2519"/>
      <c r="AI28" s="2519"/>
      <c r="AJ28" s="2519"/>
      <c r="AK28" s="2519"/>
      <c r="AL28" s="2519"/>
      <c r="AM28" s="2519"/>
      <c r="AN28" s="2519"/>
      <c r="AO28" s="2519"/>
      <c r="AP28" s="2519"/>
      <c r="AQ28" s="687"/>
      <c r="AR28" s="687"/>
      <c r="AS28" s="641"/>
      <c r="AT28" s="729"/>
      <c r="AU28" s="729"/>
      <c r="AV28" s="729"/>
      <c r="AW28" s="729"/>
      <c r="AX28" s="729"/>
    </row>
    <row s="19160" customFormat="1" customHeight="1" ht="18.75">
      <c r="A29" s="1734"/>
      <c r="B29" s="1734"/>
      <c r="C29" s="1734"/>
      <c r="D29" s="1734"/>
      <c r="E29" s="1734"/>
      <c r="F29" s="1734"/>
      <c r="G29" s="1734"/>
      <c r="H29" s="1734"/>
      <c r="I29" s="1734"/>
      <c r="J29" s="1734"/>
      <c r="K29" s="1734"/>
      <c r="L29" s="1735"/>
      <c r="M29" s="1734"/>
      <c r="N29" s="1734"/>
      <c r="O29" s="1734"/>
      <c r="S29" s="2518" t="s">
        <v>422</v>
      </c>
      <c r="T29" s="2518"/>
      <c r="U29" s="1738"/>
      <c r="V29" s="2520" t="str">
        <f>IF(TITLE_NUMBER_PR_CHANGE="",IF(TITLE_NUMBER_PR="","",TITLE_NUMBER_PR),TITLE_NUMBER_PR_CHANGE)</f>
        <v>317-Р</v>
      </c>
      <c r="W29" s="2520"/>
      <c r="X29" s="2520"/>
      <c r="Y29" s="2520"/>
      <c r="Z29" s="2520"/>
      <c r="AA29" s="2520"/>
      <c r="AB29" s="2520"/>
      <c r="AC29" s="2520"/>
      <c r="AD29" s="2520"/>
      <c r="AE29" s="2520"/>
      <c r="AF29" s="687"/>
      <c r="AG29" s="2520" t="str">
        <f>IF(TITLE_NUMBER_PR_CHANGE="",IF(TITLE_NUMBER_PR="","",TITLE_NUMBER_PR),TITLE_NUMBER_PR_CHANGE)</f>
        <v>317-Р</v>
      </c>
      <c r="AH29" s="2520"/>
      <c r="AI29" s="2520"/>
      <c r="AJ29" s="2520"/>
      <c r="AK29" s="2520"/>
      <c r="AL29" s="2520"/>
      <c r="AM29" s="2520"/>
      <c r="AN29" s="2520"/>
      <c r="AO29" s="2520"/>
      <c r="AP29" s="2520"/>
      <c r="AQ29" s="687"/>
      <c r="AR29" s="687"/>
      <c r="AS29" s="641"/>
      <c r="AT29" s="729"/>
      <c r="AU29" s="729"/>
      <c r="AV29" s="729"/>
      <c r="AW29" s="729"/>
      <c r="AX29" s="729"/>
    </row>
    <row s="19160" customFormat="1" customHeight="1" ht="18.75">
      <c r="A30" s="1734"/>
      <c r="B30" s="1734"/>
      <c r="C30" s="1734"/>
      <c r="D30" s="1734"/>
      <c r="E30" s="1734"/>
      <c r="F30" s="1734"/>
      <c r="G30" s="1734"/>
      <c r="H30" s="1734"/>
      <c r="I30" s="1734"/>
      <c r="J30" s="1734"/>
      <c r="K30" s="1734"/>
      <c r="L30" s="1735"/>
      <c r="M30" s="1734"/>
      <c r="N30" s="1734"/>
      <c r="O30" s="1734"/>
      <c r="S30" s="2518" t="s">
        <v>40</v>
      </c>
      <c r="T30" s="2518"/>
      <c r="U30" s="1738"/>
      <c r="V30"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520"/>
      <c r="X30" s="2520"/>
      <c r="Y30" s="2520"/>
      <c r="Z30" s="2520"/>
      <c r="AA30" s="2520"/>
      <c r="AB30" s="2520"/>
      <c r="AC30" s="2520"/>
      <c r="AD30" s="2520"/>
      <c r="AE30" s="2520"/>
      <c r="AF30" s="687"/>
      <c r="AG30"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H30" s="2520"/>
      <c r="AI30" s="2520"/>
      <c r="AJ30" s="2520"/>
      <c r="AK30" s="2520"/>
      <c r="AL30" s="2520"/>
      <c r="AM30" s="2520"/>
      <c r="AN30" s="2520"/>
      <c r="AO30" s="2520"/>
      <c r="AP30" s="2520"/>
      <c r="AQ30" s="687"/>
      <c r="AR30" s="687"/>
      <c r="AS30" s="641"/>
      <c r="AT30" s="729"/>
      <c r="AU30" s="729"/>
      <c r="AV30" s="729"/>
      <c r="AW30" s="729"/>
      <c r="AX30" s="729"/>
    </row>
    <row customHeight="1" ht="14.25" hidden="1">
      <c r="Q31" s="737"/>
      <c r="R31" s="737"/>
      <c r="S31" s="1641"/>
      <c r="T31" s="724"/>
      <c r="U31" s="724"/>
      <c r="V31" s="683"/>
      <c r="W31" s="683"/>
      <c r="X31" s="683"/>
      <c r="Y31" s="683"/>
      <c r="Z31" s="683"/>
      <c r="AA31" s="683"/>
      <c r="AB31" s="683"/>
      <c r="AC31" s="683"/>
      <c r="AD31" s="683"/>
      <c r="AE31" s="683"/>
      <c r="AF31" s="683"/>
      <c r="AG31" s="683"/>
      <c r="AH31" s="683"/>
      <c r="AI31" s="683"/>
      <c r="AJ31" s="683"/>
      <c r="AK31" s="683"/>
      <c r="AL31" s="683"/>
      <c r="AM31" s="683"/>
      <c r="AN31" s="683"/>
      <c r="AO31" s="683"/>
      <c r="AP31" s="683"/>
      <c r="AQ31" s="683"/>
      <c r="AR31" s="870"/>
    </row>
    <row s="19160" customFormat="1" customHeight="1" ht="18.75" hidden="1">
      <c r="A32" s="1734"/>
      <c r="B32" s="1734"/>
      <c r="C32" s="1734"/>
      <c r="D32" s="1734"/>
      <c r="E32" s="1734"/>
      <c r="F32" s="1734"/>
      <c r="G32" s="1734"/>
      <c r="H32" s="1734"/>
      <c r="I32" s="1734"/>
      <c r="J32" s="1734"/>
      <c r="K32" s="1734"/>
      <c r="L32" s="1735"/>
      <c r="M32" s="1734"/>
      <c r="N32" s="1734"/>
      <c r="O32" s="1734"/>
      <c r="S32" s="2518" t="s">
        <v>423</v>
      </c>
      <c r="T32" s="2518"/>
      <c r="U32" s="1738"/>
      <c r="V32" s="2519" t="str">
        <f>IF(TITLE_DATE_PR_CHANGE="",IF(TITLE_DATE_PR="","",TITLE_DATE_PR),TITLE_DATE_PR_CHANGE)</f>
        <v>45280.70914351852</v>
      </c>
      <c r="W32" s="2519"/>
      <c r="X32" s="2519"/>
      <c r="Y32" s="2519"/>
      <c r="Z32" s="2519"/>
      <c r="AA32" s="2519"/>
      <c r="AB32" s="2519"/>
      <c r="AC32" s="2519"/>
      <c r="AD32" s="2519"/>
      <c r="AE32" s="2519"/>
      <c r="AF32" s="687"/>
      <c r="AG32" s="2519" t="str">
        <f>IF(TITLE_DATE_PR_CHANGE="",IF(TITLE_DATE_PR="","",TITLE_DATE_PR),TITLE_DATE_PR_CHANGE)</f>
        <v>45280.70914351852</v>
      </c>
      <c r="AH32" s="2519"/>
      <c r="AI32" s="2519"/>
      <c r="AJ32" s="2519"/>
      <c r="AK32" s="2519"/>
      <c r="AL32" s="2519"/>
      <c r="AM32" s="2519"/>
      <c r="AN32" s="2519"/>
      <c r="AO32" s="2519"/>
      <c r="AP32" s="2519"/>
      <c r="AQ32" s="687"/>
      <c r="AR32" s="687"/>
      <c r="AS32" s="641"/>
      <c r="AT32" s="729"/>
      <c r="AU32" s="729"/>
      <c r="AV32" s="729"/>
      <c r="AW32" s="729"/>
      <c r="AX32" s="729"/>
    </row>
    <row s="19160" customFormat="1" customHeight="1" ht="18.75" hidden="1">
      <c r="A33" s="1734"/>
      <c r="B33" s="1734"/>
      <c r="C33" s="1734"/>
      <c r="D33" s="1734"/>
      <c r="E33" s="1734"/>
      <c r="F33" s="1734"/>
      <c r="G33" s="1734"/>
      <c r="H33" s="1734"/>
      <c r="I33" s="1734"/>
      <c r="J33" s="1734"/>
      <c r="K33" s="1734"/>
      <c r="L33" s="1735"/>
      <c r="M33" s="1734"/>
      <c r="N33" s="1734"/>
      <c r="O33" s="1734"/>
      <c r="S33" s="2518" t="s">
        <v>424</v>
      </c>
      <c r="T33" s="2518"/>
      <c r="U33" s="1738"/>
      <c r="V33" s="2520" t="str">
        <f>IF(TITLE_NUMBER_PR_CHANGE="",IF(TITLE_NUMBER_PR="","",TITLE_NUMBER_PR),TITLE_NUMBER_PR_CHANGE)</f>
        <v>317-Р</v>
      </c>
      <c r="W33" s="2520"/>
      <c r="X33" s="2520"/>
      <c r="Y33" s="2520"/>
      <c r="Z33" s="2520"/>
      <c r="AA33" s="2520"/>
      <c r="AB33" s="2520"/>
      <c r="AC33" s="2520"/>
      <c r="AD33" s="2520"/>
      <c r="AE33" s="2520"/>
      <c r="AF33" s="687"/>
      <c r="AG33" s="2520" t="str">
        <f>IF(TITLE_NUMBER_PR_CHANGE="",IF(TITLE_NUMBER_PR="","",TITLE_NUMBER_PR),TITLE_NUMBER_PR_CHANGE)</f>
        <v>317-Р</v>
      </c>
      <c r="AH33" s="2520"/>
      <c r="AI33" s="2520"/>
      <c r="AJ33" s="2520"/>
      <c r="AK33" s="2520"/>
      <c r="AL33" s="2520"/>
      <c r="AM33" s="2520"/>
      <c r="AN33" s="2520"/>
      <c r="AO33" s="2520"/>
      <c r="AP33" s="2520"/>
      <c r="AQ33" s="687"/>
      <c r="AR33" s="687"/>
      <c r="AS33" s="641"/>
      <c r="AT33" s="729"/>
      <c r="AU33" s="729"/>
      <c r="AV33" s="729"/>
      <c r="AW33" s="729"/>
      <c r="AX33" s="729"/>
    </row>
    <row s="19160" customFormat="1" customHeight="1" ht="0.75">
      <c r="A34" s="1734"/>
      <c r="B34" s="1734"/>
      <c r="C34" s="1734"/>
      <c r="D34" s="1734"/>
      <c r="E34" s="1734"/>
      <c r="F34" s="1734"/>
      <c r="G34" s="1734"/>
      <c r="H34" s="1734"/>
      <c r="I34" s="1734"/>
      <c r="J34" s="1734"/>
      <c r="K34" s="1734"/>
      <c r="L34" s="1735"/>
      <c r="M34" s="1734"/>
      <c r="N34" s="1734"/>
      <c r="O34" s="1734"/>
      <c r="S34" s="684"/>
      <c r="T34" s="684"/>
      <c r="U34" s="1854"/>
      <c r="V34" s="687"/>
      <c r="W34" s="2001"/>
      <c r="X34" s="2001"/>
      <c r="Y34" s="2001"/>
      <c r="Z34" s="2001"/>
      <c r="AA34" s="2001"/>
      <c r="AB34" s="687"/>
      <c r="AC34" s="687"/>
      <c r="AD34" s="687"/>
      <c r="AE34" s="687"/>
      <c r="AF34" s="639" t="s">
        <v>425</v>
      </c>
      <c r="AG34" s="687"/>
      <c r="AH34" s="2001"/>
      <c r="AI34" s="2001"/>
      <c r="AJ34" s="2001"/>
      <c r="AK34" s="2001"/>
      <c r="AL34" s="2001"/>
      <c r="AM34" s="687"/>
      <c r="AN34" s="687"/>
      <c r="AO34" s="687"/>
      <c r="AP34" s="687"/>
      <c r="AQ34" s="639" t="s">
        <v>425</v>
      </c>
      <c r="AT34" s="729"/>
      <c r="AU34" s="729"/>
      <c r="AV34" s="729"/>
      <c r="AW34" s="729"/>
      <c r="AX34" s="729"/>
    </row>
    <row customHeight="1" ht="14.25">
      <c r="Q35" s="737"/>
      <c r="R35" s="737"/>
      <c r="S35" s="1641"/>
      <c r="T35" s="724"/>
      <c r="U35" s="1609"/>
      <c r="V35" s="2544"/>
      <c r="W35" s="2544"/>
      <c r="X35" s="2544"/>
      <c r="Y35" s="2544"/>
      <c r="Z35" s="2544"/>
      <c r="AA35" s="2544"/>
      <c r="AB35" s="2544"/>
      <c r="AC35" s="2544"/>
      <c r="AD35" s="2544"/>
      <c r="AE35" s="2544"/>
      <c r="AF35" s="2544"/>
      <c r="AG35" s="2544"/>
      <c r="AH35" s="2544"/>
      <c r="AI35" s="2544"/>
      <c r="AJ35" s="2544"/>
      <c r="AK35" s="2544"/>
      <c r="AL35" s="2544"/>
      <c r="AM35" s="2544"/>
      <c r="AN35" s="2544"/>
      <c r="AO35" s="2544"/>
      <c r="AP35" s="2544"/>
      <c r="AQ35" s="2544"/>
    </row>
    <row customHeight="1" ht="14.25">
      <c r="Q36" s="737"/>
      <c r="R36" s="737"/>
      <c r="S36" s="2392" t="s">
        <v>300</v>
      </c>
      <c r="T36" s="2392"/>
      <c r="U36" s="2392"/>
      <c r="V36" s="2392"/>
      <c r="W36" s="2392"/>
      <c r="X36" s="2392"/>
      <c r="Y36" s="2392"/>
      <c r="Z36" s="2392"/>
      <c r="AA36" s="2392"/>
      <c r="AB36" s="2392"/>
      <c r="AC36" s="2392"/>
      <c r="AD36" s="2392"/>
      <c r="AE36" s="2392"/>
      <c r="AF36" s="2392"/>
      <c r="AG36" s="2392"/>
      <c r="AH36" s="2392"/>
      <c r="AI36" s="2392"/>
      <c r="AJ36" s="2392"/>
      <c r="AK36" s="2392"/>
      <c r="AL36" s="2392"/>
      <c r="AM36" s="2392"/>
      <c r="AN36" s="2392"/>
      <c r="AO36" s="2392"/>
      <c r="AP36" s="2392"/>
      <c r="AQ36" s="2392"/>
      <c r="AR36" s="2392"/>
      <c r="AS36" s="2392" t="s">
        <v>301</v>
      </c>
    </row>
    <row customHeight="1" ht="14.25">
      <c r="Q37" s="737"/>
      <c r="R37" s="737"/>
      <c r="S37" s="2545" t="s">
        <v>85</v>
      </c>
      <c r="T37" s="2482" t="s">
        <v>426</v>
      </c>
      <c r="U37" s="662"/>
      <c r="V37" s="2546" t="s">
        <v>427</v>
      </c>
      <c r="W37" s="2547"/>
      <c r="X37" s="2547"/>
      <c r="Y37" s="2547"/>
      <c r="Z37" s="2547"/>
      <c r="AA37" s="2547"/>
      <c r="AB37" s="2547"/>
      <c r="AC37" s="2547"/>
      <c r="AD37" s="2547"/>
      <c r="AE37" s="2548"/>
      <c r="AF37" s="2549" t="s">
        <v>428</v>
      </c>
      <c r="AG37" s="2546" t="s">
        <v>427</v>
      </c>
      <c r="AH37" s="2547"/>
      <c r="AI37" s="2547"/>
      <c r="AJ37" s="2547"/>
      <c r="AK37" s="2547"/>
      <c r="AL37" s="2547"/>
      <c r="AM37" s="2547"/>
      <c r="AN37" s="2547"/>
      <c r="AO37" s="2547"/>
      <c r="AP37" s="2548"/>
      <c r="AQ37" s="2549" t="s">
        <v>429</v>
      </c>
      <c r="AR37" s="2552" t="s">
        <v>430</v>
      </c>
      <c r="AS37" s="2392"/>
    </row>
    <row s="19274" customFormat="1" customHeight="1" ht="18.75">
      <c r="A38" s="1732"/>
      <c r="B38" s="1732"/>
      <c r="C38" s="1732"/>
      <c r="D38" s="1732"/>
      <c r="E38" s="1732"/>
      <c r="F38" s="1732"/>
      <c r="G38" s="1732"/>
      <c r="H38" s="1732"/>
      <c r="I38" s="1732"/>
      <c r="J38" s="1732"/>
      <c r="K38" s="1732"/>
      <c r="L38" s="2348"/>
      <c r="M38" s="1728"/>
      <c r="N38" s="1728"/>
      <c r="O38" s="1728"/>
      <c r="P38" s="2349"/>
      <c r="Q38" s="737"/>
      <c r="R38" s="737"/>
      <c r="S38" s="2545"/>
      <c r="T38" s="2482"/>
      <c r="U38" s="1393"/>
      <c r="V38" s="2632" t="s">
        <v>531</v>
      </c>
      <c r="W38" s="2631" t="s">
        <v>532</v>
      </c>
      <c r="X38" s="2631"/>
      <c r="Y38" s="2631"/>
      <c r="Z38" s="2631" t="s">
        <v>533</v>
      </c>
      <c r="AA38" s="2631"/>
      <c r="AB38" s="2631"/>
      <c r="AC38" s="2566" t="s">
        <v>434</v>
      </c>
      <c r="AD38" s="2584"/>
      <c r="AE38" s="2585"/>
      <c r="AF38" s="2550"/>
      <c r="AG38" s="2632" t="s">
        <v>531</v>
      </c>
      <c r="AH38" s="2631" t="s">
        <v>532</v>
      </c>
      <c r="AI38" s="2631"/>
      <c r="AJ38" s="2631"/>
      <c r="AK38" s="2631" t="s">
        <v>533</v>
      </c>
      <c r="AL38" s="2631"/>
      <c r="AM38" s="2631"/>
      <c r="AN38" s="2566" t="s">
        <v>434</v>
      </c>
      <c r="AO38" s="2584"/>
      <c r="AP38" s="2585"/>
      <c r="AQ38" s="2550"/>
      <c r="AR38" s="2553"/>
      <c r="AS38" s="2392"/>
      <c r="AT38" s="2002"/>
      <c r="AU38" s="2002"/>
      <c r="AV38" s="2002"/>
      <c r="AW38" s="2002"/>
      <c r="AX38" s="2002"/>
    </row>
    <row customHeight="1" ht="18.75">
      <c r="Q39" s="737"/>
      <c r="R39" s="737"/>
      <c r="S39" s="2545"/>
      <c r="T39" s="2482"/>
      <c r="U39" s="1393"/>
      <c r="V39" s="2632"/>
      <c r="W39" s="2631" t="s">
        <v>534</v>
      </c>
      <c r="X39" s="2631" t="s">
        <v>535</v>
      </c>
      <c r="Y39" s="2631"/>
      <c r="Z39" s="2631" t="s">
        <v>536</v>
      </c>
      <c r="AA39" s="2631" t="s">
        <v>535</v>
      </c>
      <c r="AB39" s="2631"/>
      <c r="AC39" s="2567"/>
      <c r="AD39" s="2586"/>
      <c r="AE39" s="2587"/>
      <c r="AF39" s="2550"/>
      <c r="AG39" s="2632"/>
      <c r="AH39" s="2631" t="s">
        <v>534</v>
      </c>
      <c r="AI39" s="2631" t="s">
        <v>535</v>
      </c>
      <c r="AJ39" s="2631"/>
      <c r="AK39" s="2631" t="s">
        <v>536</v>
      </c>
      <c r="AL39" s="2631" t="s">
        <v>535</v>
      </c>
      <c r="AM39" s="2631"/>
      <c r="AN39" s="2567"/>
      <c r="AO39" s="2586"/>
      <c r="AP39" s="2587"/>
      <c r="AQ39" s="2550"/>
      <c r="AR39" s="2553"/>
      <c r="AS39" s="2392"/>
    </row>
    <row customHeight="1" ht="59.25">
      <c r="A40" s="1736"/>
      <c r="B40" s="1736" t="s">
        <v>132</v>
      </c>
      <c r="C40" s="1736" t="s">
        <v>133</v>
      </c>
      <c r="D40" s="1736" t="s">
        <v>134</v>
      </c>
      <c r="E40" s="1730" t="s">
        <v>435</v>
      </c>
      <c r="F40" s="1730" t="s">
        <v>436</v>
      </c>
      <c r="G40" s="1730" t="s">
        <v>437</v>
      </c>
      <c r="H40" s="1730"/>
      <c r="I40" s="1730" t="s">
        <v>488</v>
      </c>
      <c r="J40" s="1730" t="s">
        <v>440</v>
      </c>
      <c r="K40" s="1730" t="s">
        <v>489</v>
      </c>
      <c r="L40" s="1730" t="s">
        <v>416</v>
      </c>
      <c r="Q40" s="737"/>
      <c r="R40" s="737"/>
      <c r="S40" s="2545"/>
      <c r="T40" s="2482"/>
      <c r="U40" s="663"/>
      <c r="V40" s="2632"/>
      <c r="W40" s="2631"/>
      <c r="X40" s="2351" t="s">
        <v>537</v>
      </c>
      <c r="Y40" s="2351" t="s">
        <v>538</v>
      </c>
      <c r="Z40" s="2631"/>
      <c r="AA40" s="2351" t="s">
        <v>539</v>
      </c>
      <c r="AB40" s="2351" t="s">
        <v>540</v>
      </c>
      <c r="AC40" s="1855" t="s">
        <v>444</v>
      </c>
      <c r="AD40" s="2541" t="s">
        <v>445</v>
      </c>
      <c r="AE40" s="2542"/>
      <c r="AF40" s="2551"/>
      <c r="AG40" s="2632"/>
      <c r="AH40" s="2631"/>
      <c r="AI40" s="2351" t="s">
        <v>537</v>
      </c>
      <c r="AJ40" s="2351" t="s">
        <v>538</v>
      </c>
      <c r="AK40" s="2631"/>
      <c r="AL40" s="2351" t="s">
        <v>539</v>
      </c>
      <c r="AM40" s="2351" t="s">
        <v>540</v>
      </c>
      <c r="AN40" s="1855" t="s">
        <v>444</v>
      </c>
      <c r="AO40" s="2541" t="s">
        <v>445</v>
      </c>
      <c r="AP40" s="2542"/>
      <c r="AQ40" s="2551"/>
      <c r="AR40" s="2554"/>
      <c r="AS40" s="2392"/>
    </row>
    <row s="18977" customFormat="1" customHeight="1" ht="11.25" hidden="1">
      <c r="A41" s="1736"/>
      <c r="B41" s="1736"/>
      <c r="C41" s="1736"/>
      <c r="D41" s="1736"/>
      <c r="E41" s="1736"/>
      <c r="F41" s="1736"/>
      <c r="G41" s="1736"/>
      <c r="H41" s="1736"/>
      <c r="I41" s="1736"/>
      <c r="J41" s="1736"/>
      <c r="K41" s="1736"/>
      <c r="L41" s="1730"/>
      <c r="M41" s="1728"/>
      <c r="N41" s="1728"/>
      <c r="O41" s="1728"/>
      <c r="P41" s="1611"/>
      <c r="Q41" s="1612"/>
      <c r="R41" s="1619">
        <v>1</v>
      </c>
      <c r="S41" s="1643" t="s">
        <v>106</v>
      </c>
      <c r="T41" s="1620" t="s">
        <v>107</v>
      </c>
      <c r="U41" s="1610" t="str">
        <f>OFFSET(U41,0,-1)</f>
        <v>2</v>
      </c>
      <c r="V41" s="1848">
        <f>OFFSET(V41,0,-1)+1</f>
        <v>3</v>
      </c>
      <c r="W41" s="2347"/>
      <c r="X41" s="2347"/>
      <c r="Y41" s="2347"/>
      <c r="Z41" s="2347"/>
      <c r="AA41" s="2347"/>
      <c r="AB41" s="1848">
        <f>OFFSET(AB41,0,-1)+1</f>
        <v>1</v>
      </c>
      <c r="AC41" s="1848">
        <f>OFFSET(AC41,0,-1)+1</f>
        <v>2</v>
      </c>
      <c r="AD41" s="2543">
        <f>OFFSET(AD41,0,-1)+1</f>
        <v>3</v>
      </c>
      <c r="AE41" s="2543"/>
      <c r="AF41" s="1848">
        <f>OFFSET(AF41,0,-2)+1</f>
        <v>4</v>
      </c>
      <c r="AG41" s="1848">
        <f>OFFSET(AG41,0,-1)+1</f>
        <v>5</v>
      </c>
      <c r="AH41" s="2347"/>
      <c r="AI41" s="2347"/>
      <c r="AJ41" s="2347"/>
      <c r="AK41" s="2347"/>
      <c r="AL41" s="2347"/>
      <c r="AM41" s="1848">
        <f>OFFSET(AM41,0,-1)+1</f>
        <v>1</v>
      </c>
      <c r="AN41" s="1848">
        <f>OFFSET(AN41,0,-1)+1</f>
        <v>2</v>
      </c>
      <c r="AO41" s="2543">
        <f>OFFSET(AO41,0,-1)+1</f>
        <v>3</v>
      </c>
      <c r="AP41" s="2543"/>
      <c r="AQ41" s="1848">
        <f>OFFSET(AQ41,0,-2)+1</f>
        <v>4</v>
      </c>
      <c r="AR41" s="1610">
        <f>OFFSET(AR41,0,-1)</f>
        <v>4</v>
      </c>
      <c r="AS41" s="1848">
        <f>OFFSET(AS41,0,-1)+1</f>
        <v>5</v>
      </c>
      <c r="AT41" s="872"/>
      <c r="AU41" s="872"/>
      <c r="AV41" s="872"/>
      <c r="AW41" s="872"/>
      <c r="AX41" s="872"/>
    </row>
    <row customHeight="1" ht="23.25">
      <c r="A42" s="1729" t="s">
        <v>256</v>
      </c>
      <c r="B42" s="1729"/>
      <c r="C42" s="1729"/>
      <c r="D42" s="1729"/>
      <c r="E42" s="2527">
        <v>1</v>
      </c>
      <c r="F42" s="1729"/>
      <c r="G42" s="1729"/>
      <c r="H42" s="1729"/>
      <c r="I42" s="1729"/>
      <c r="J42" s="1729"/>
      <c r="K42" s="1729"/>
      <c r="L42" s="1730"/>
      <c r="M42" s="1731"/>
      <c r="N42" s="1731"/>
      <c r="O42" s="1731"/>
      <c r="P42" s="722"/>
      <c r="Q42" s="721"/>
      <c r="R42" s="716"/>
      <c r="S42" s="1859">
        <f>INDEX(PT_DIFFERENTIATION_NUM_NTAR,MATCH(A42,PT_DIFFERENTIATION_NTAR_ID,0))</f>
        <v>0</v>
      </c>
      <c r="T42" s="659" t="s">
        <v>120</v>
      </c>
      <c r="U42" s="661"/>
      <c r="V42" s="2521"/>
      <c r="W42" s="2522"/>
      <c r="X42" s="2522"/>
      <c r="Y42" s="2522"/>
      <c r="Z42" s="2522"/>
      <c r="AA42" s="2522"/>
      <c r="AB42" s="2522"/>
      <c r="AC42" s="2522"/>
      <c r="AD42" s="2522"/>
      <c r="AE42" s="2522"/>
      <c r="AF42" s="2523"/>
      <c r="AG42" s="2521" t="str">
        <f>INDEX(PT_DIFFERENTIATION_NTAR,MATCH(A42,PT_DIFFERENTIATION_NTAR_ID,0))</f>
        <v/>
      </c>
      <c r="AH42" s="2522"/>
      <c r="AI42" s="2522"/>
      <c r="AJ42" s="2522"/>
      <c r="AK42" s="2522"/>
      <c r="AL42" s="2522"/>
      <c r="AM42" s="2522"/>
      <c r="AN42" s="2522"/>
      <c r="AO42" s="2522"/>
      <c r="AP42" s="2522"/>
      <c r="AQ42" s="2522"/>
      <c r="AR42" s="2523"/>
      <c r="AS42" s="16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861"/>
      <c r="AV42" s="861" t="str">
        <f>IF(T42="","",T42)</f>
        <v>Наименование тарифа</v>
      </c>
      <c r="AW42" s="861"/>
      <c r="AX42" s="861"/>
    </row>
    <row customHeight="1" ht="23.25">
      <c r="A43" s="1729" t="s">
        <v>256</v>
      </c>
      <c r="B43" s="1729" t="s">
        <v>257</v>
      </c>
      <c r="C43" s="1729"/>
      <c r="D43" s="1729"/>
      <c r="E43" s="2528"/>
      <c r="F43" s="2527">
        <v>1</v>
      </c>
      <c r="G43" s="1729"/>
      <c r="H43" s="1729"/>
      <c r="I43" s="1729"/>
      <c r="J43" s="1729"/>
      <c r="K43" s="1729"/>
      <c r="L43" s="1730"/>
      <c r="M43" s="1731"/>
      <c r="N43" s="1731"/>
      <c r="O43" s="1731"/>
      <c r="P43" s="1853"/>
      <c r="Q43" s="713"/>
      <c r="R43" s="714"/>
      <c r="S43" s="1859" t="str">
        <f>INDEX(PT_DIFFERENTIATION_NUM_TER,MATCH(B43,PT_DIFFERENTIATION_TER_ID,0))</f>
        <v>.</v>
      </c>
      <c r="T43" s="669" t="s">
        <v>397</v>
      </c>
      <c r="U43" s="661"/>
      <c r="V43" s="2521"/>
      <c r="W43" s="2522"/>
      <c r="X43" s="2522"/>
      <c r="Y43" s="2522"/>
      <c r="Z43" s="2522"/>
      <c r="AA43" s="2522"/>
      <c r="AB43" s="2522"/>
      <c r="AC43" s="2522"/>
      <c r="AD43" s="2522"/>
      <c r="AE43" s="2522"/>
      <c r="AF43" s="2523"/>
      <c r="AG43" s="2521" t="str">
        <f>INDEX(PT_DIFFERENTIATION_TER,MATCH(B43,PT_DIFFERENTIATION_TER_ID,0))</f>
        <v/>
      </c>
      <c r="AH43" s="2522"/>
      <c r="AI43" s="2522"/>
      <c r="AJ43" s="2522"/>
      <c r="AK43" s="2522"/>
      <c r="AL43" s="2522"/>
      <c r="AM43" s="2522"/>
      <c r="AN43" s="2522"/>
      <c r="AO43" s="2522"/>
      <c r="AP43" s="2522"/>
      <c r="AQ43" s="2522"/>
      <c r="AR43" s="2523"/>
      <c r="AS43" s="1623" t="s">
        <v>398</v>
      </c>
      <c r="AU43" s="861"/>
      <c r="AV43" s="861" t="str">
        <f>IF(T43="","",T43)</f>
        <v>Территория действия тарифа</v>
      </c>
      <c r="AW43" s="861"/>
      <c r="AX43" s="861"/>
    </row>
    <row customHeight="1" ht="23.25">
      <c r="A44" s="1729" t="s">
        <v>256</v>
      </c>
      <c r="B44" s="1729" t="s">
        <v>257</v>
      </c>
      <c r="C44" s="1729" t="s">
        <v>258</v>
      </c>
      <c r="D44" s="1729"/>
      <c r="E44" s="2528"/>
      <c r="F44" s="2528"/>
      <c r="G44" s="2527">
        <v>1</v>
      </c>
      <c r="H44" s="1729"/>
      <c r="I44" s="1729"/>
      <c r="J44" s="1729"/>
      <c r="K44" s="1729"/>
      <c r="L44" s="1730"/>
      <c r="M44" s="1731"/>
      <c r="N44" s="1731"/>
      <c r="O44" s="1731"/>
      <c r="P44" s="715"/>
      <c r="Q44" s="713"/>
      <c r="R44" s="714"/>
      <c r="S44" s="1859" t="str">
        <f>INDEX(PT_DIFFERENTIATION_NUM_CS,MATCH(C44,PT_DIFFERENTIATION_CS_ID,0))</f>
        <v>..</v>
      </c>
      <c r="T44" s="670" t="s">
        <v>528</v>
      </c>
      <c r="U44" s="661"/>
      <c r="V44" s="2521"/>
      <c r="W44" s="2522"/>
      <c r="X44" s="2522"/>
      <c r="Y44" s="2522"/>
      <c r="Z44" s="2522"/>
      <c r="AA44" s="2522"/>
      <c r="AB44" s="2522"/>
      <c r="AC44" s="2522"/>
      <c r="AD44" s="2522"/>
      <c r="AE44" s="2522"/>
      <c r="AF44" s="2523"/>
      <c r="AG44" s="2521" t="str">
        <f>INDEX(PT_DIFFERENTIATION_CS,MATCH(C44,PT_DIFFERENTIATION_CS_ID,0))</f>
        <v/>
      </c>
      <c r="AH44" s="2522"/>
      <c r="AI44" s="2522"/>
      <c r="AJ44" s="2522"/>
      <c r="AK44" s="2522"/>
      <c r="AL44" s="2522"/>
      <c r="AM44" s="2522"/>
      <c r="AN44" s="2522"/>
      <c r="AO44" s="2522"/>
      <c r="AP44" s="2522"/>
      <c r="AQ44" s="2522"/>
      <c r="AR44" s="2523"/>
      <c r="AS44" s="1623" t="s">
        <v>529</v>
      </c>
      <c r="AU44" s="861"/>
      <c r="AV44" s="861" t="str">
        <f>IF(T44="","",T44)</f>
        <v>Наименование централизованной системы горячего водоснабжения</v>
      </c>
      <c r="AW44" s="861"/>
      <c r="AX44" s="861"/>
    </row>
    <row customHeight="1" ht="23.25">
      <c r="A45" s="1729" t="s">
        <v>256</v>
      </c>
      <c r="B45" s="1729" t="s">
        <v>257</v>
      </c>
      <c r="C45" s="1729" t="s">
        <v>258</v>
      </c>
      <c r="D45" s="1729" t="s">
        <v>543</v>
      </c>
      <c r="E45" s="2528"/>
      <c r="F45" s="2528"/>
      <c r="G45" s="2528"/>
      <c r="H45" s="2528"/>
      <c r="I45" s="2529" t="str">
        <f>S44&amp;".1"</f>
        <v>...1</v>
      </c>
      <c r="J45" s="1729"/>
      <c r="K45" s="1729"/>
      <c r="L45" s="1730"/>
      <c r="P45" s="2531">
        <v>1</v>
      </c>
      <c r="Q45" s="1847"/>
      <c r="R45" s="717"/>
      <c r="S45" s="1859" t="str">
        <f>$I45</f>
        <v>...1</v>
      </c>
      <c r="T45" s="646" t="s">
        <v>481</v>
      </c>
      <c r="U45" s="661"/>
      <c r="V45" s="2614"/>
      <c r="W45" s="2615"/>
      <c r="X45" s="2615"/>
      <c r="Y45" s="2615"/>
      <c r="Z45" s="2615"/>
      <c r="AA45" s="2615"/>
      <c r="AB45" s="2615"/>
      <c r="AC45" s="2615"/>
      <c r="AD45" s="2615"/>
      <c r="AE45" s="2615"/>
      <c r="AF45" s="2616"/>
      <c r="AG45" s="2617"/>
      <c r="AH45" s="2618"/>
      <c r="AI45" s="2618"/>
      <c r="AJ45" s="2618"/>
      <c r="AK45" s="2618"/>
      <c r="AL45" s="2618"/>
      <c r="AM45" s="2618"/>
      <c r="AN45" s="2618"/>
      <c r="AO45" s="2618"/>
      <c r="AP45" s="2618"/>
      <c r="AQ45" s="2618"/>
      <c r="AR45" s="2619"/>
      <c r="AS45" s="1623" t="s">
        <v>482</v>
      </c>
      <c r="AU45" s="861"/>
      <c r="AV45" s="861" t="str">
        <f>IF(T45="","",T45)</f>
        <v>Наименование признака дифференциации</v>
      </c>
      <c r="AW45" s="861"/>
      <c r="AX45" s="861"/>
    </row>
    <row customHeight="1" ht="23.25">
      <c r="A46" s="1729" t="s">
        <v>256</v>
      </c>
      <c r="B46" s="1729" t="s">
        <v>257</v>
      </c>
      <c r="C46" s="1729" t="s">
        <v>258</v>
      </c>
      <c r="D46" s="1729" t="s">
        <v>543</v>
      </c>
      <c r="E46" s="2528"/>
      <c r="F46" s="2528"/>
      <c r="G46" s="2528"/>
      <c r="H46" s="2528"/>
      <c r="I46" s="2530"/>
      <c r="J46" s="2529" t="str">
        <f>I45&amp;".1"</f>
        <v>...1.1</v>
      </c>
      <c r="K46" s="1729"/>
      <c r="L46" s="1730" t="s">
        <v>406</v>
      </c>
      <c r="P46" s="2531"/>
      <c r="Q46" s="2531">
        <v>1</v>
      </c>
      <c r="R46" s="718"/>
      <c r="S46" s="1859" t="str">
        <f>$J46</f>
        <v>...1.1</v>
      </c>
      <c r="T46" s="647" t="s">
        <v>407</v>
      </c>
      <c r="U46" s="661"/>
      <c r="V46" s="2515"/>
      <c r="W46" s="2516"/>
      <c r="X46" s="2516"/>
      <c r="Y46" s="2516"/>
      <c r="Z46" s="2516"/>
      <c r="AA46" s="2516"/>
      <c r="AB46" s="2516"/>
      <c r="AC46" s="2516"/>
      <c r="AD46" s="2516"/>
      <c r="AE46" s="2516"/>
      <c r="AF46" s="2517"/>
      <c r="AG46" s="2515"/>
      <c r="AH46" s="2516"/>
      <c r="AI46" s="2516"/>
      <c r="AJ46" s="2516"/>
      <c r="AK46" s="2516"/>
      <c r="AL46" s="2516"/>
      <c r="AM46" s="2516"/>
      <c r="AN46" s="2516"/>
      <c r="AO46" s="2516"/>
      <c r="AP46" s="2516"/>
      <c r="AQ46" s="2516"/>
      <c r="AR46" s="2517"/>
      <c r="AS46" s="1673" t="s">
        <v>483</v>
      </c>
      <c r="AU46" s="861"/>
      <c r="AV46" s="861" t="str">
        <f>IF(T46="","",T46)</f>
        <v>Группа потребителей</v>
      </c>
      <c r="AW46" s="861"/>
      <c r="AX46" s="861"/>
    </row>
    <row customHeight="1" ht="23.25">
      <c r="A47" s="1729" t="s">
        <v>256</v>
      </c>
      <c r="B47" s="1729" t="s">
        <v>257</v>
      </c>
      <c r="C47" s="1729" t="s">
        <v>258</v>
      </c>
      <c r="D47" s="1729" t="s">
        <v>543</v>
      </c>
      <c r="E47" s="2528"/>
      <c r="F47" s="2528"/>
      <c r="G47" s="2528"/>
      <c r="H47" s="2528"/>
      <c r="I47" s="2530"/>
      <c r="J47" s="2530"/>
      <c r="K47" s="2529" t="str">
        <f>J46&amp;".1"</f>
        <v>...1.1.1</v>
      </c>
      <c r="L47" s="1730"/>
      <c r="P47" s="2531"/>
      <c r="Q47" s="2531"/>
      <c r="R47" s="718">
        <v>1</v>
      </c>
      <c r="S47" s="1859" t="str">
        <f>$K47</f>
        <v>...1.1.1</v>
      </c>
      <c r="T47" s="1803"/>
      <c r="U47" s="661"/>
      <c r="V47" s="1726"/>
      <c r="W47" s="1726"/>
      <c r="X47" s="1726"/>
      <c r="Y47" s="1726"/>
      <c r="Z47" s="1726"/>
      <c r="AA47" s="1726"/>
      <c r="AB47" s="1727"/>
      <c r="AC47" s="2525"/>
      <c r="AD47" s="2524" t="s">
        <v>59</v>
      </c>
      <c r="AE47" s="2525"/>
      <c r="AF47" s="2524" t="s">
        <v>59</v>
      </c>
      <c r="AG47" s="1112"/>
      <c r="AH47" s="1112"/>
      <c r="AI47" s="1112"/>
      <c r="AJ47" s="1112"/>
      <c r="AK47" s="1112"/>
      <c r="AL47" s="1112"/>
      <c r="AM47" s="1622"/>
      <c r="AN47" s="2532"/>
      <c r="AO47" s="2402" t="s">
        <v>59</v>
      </c>
      <c r="AP47" s="2534"/>
      <c r="AQ47" s="2402" t="s">
        <v>54</v>
      </c>
      <c r="AR47" s="1804"/>
      <c r="AS47" s="262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872">
        <f>STRCHECKDATE(V48:AR48)</f>
      </c>
      <c r="AU47" s="861"/>
      <c r="AV47" s="861" t="str">
        <f>IF(T47="","",T47)</f>
        <v/>
      </c>
      <c r="AW47" s="861"/>
      <c r="AX47" s="861"/>
    </row>
    <row customHeight="1" ht="0">
      <c r="A48" s="1729" t="s">
        <v>256</v>
      </c>
      <c r="B48" s="1729" t="s">
        <v>257</v>
      </c>
      <c r="C48" s="1729" t="s">
        <v>258</v>
      </c>
      <c r="D48" s="1729" t="s">
        <v>543</v>
      </c>
      <c r="E48" s="2528"/>
      <c r="F48" s="2528"/>
      <c r="G48" s="2528"/>
      <c r="H48" s="2528"/>
      <c r="I48" s="2530"/>
      <c r="J48" s="2530"/>
      <c r="K48" s="2529"/>
      <c r="L48" s="1730"/>
      <c r="P48" s="2531"/>
      <c r="Q48" s="2531"/>
      <c r="R48" s="718"/>
      <c r="S48" s="1856"/>
      <c r="T48" s="661"/>
      <c r="U48" s="661"/>
      <c r="V48" s="1726"/>
      <c r="W48" s="1726"/>
      <c r="X48" s="1726"/>
      <c r="Y48" s="1726"/>
      <c r="Z48" s="1726"/>
      <c r="AA48" s="1726"/>
      <c r="AB48" s="689" t="str">
        <f>AC47&amp;"-"&amp;AE47</f>
        <v>-</v>
      </c>
      <c r="AC48" s="2524"/>
      <c r="AD48" s="2524"/>
      <c r="AE48" s="2524"/>
      <c r="AF48" s="2524"/>
      <c r="AG48" s="686"/>
      <c r="AH48" s="686"/>
      <c r="AI48" s="686"/>
      <c r="AJ48" s="686"/>
      <c r="AK48" s="686"/>
      <c r="AL48" s="686"/>
      <c r="AM48" s="689" t="str">
        <f>AN47&amp;"-"&amp;AP47</f>
        <v>-</v>
      </c>
      <c r="AN48" s="2533"/>
      <c r="AO48" s="2402"/>
      <c r="AP48" s="2535"/>
      <c r="AQ48" s="2402"/>
      <c r="AR48" s="1805"/>
      <c r="AS48" s="2620"/>
      <c r="AU48" s="861"/>
      <c r="AV48" s="861" t="str">
        <f>IF(T48="","",T48)</f>
        <v/>
      </c>
      <c r="AW48" s="861"/>
      <c r="AX48" s="861"/>
    </row>
    <row customHeight="1" ht="21">
      <c r="A49" s="1729" t="s">
        <v>256</v>
      </c>
      <c r="B49" s="1729" t="s">
        <v>257</v>
      </c>
      <c r="C49" s="1729" t="s">
        <v>258</v>
      </c>
      <c r="D49" s="1729" t="s">
        <v>543</v>
      </c>
      <c r="E49" s="2528"/>
      <c r="F49" s="2528"/>
      <c r="G49" s="2528"/>
      <c r="H49" s="2528"/>
      <c r="I49" s="2530"/>
      <c r="J49" s="2529"/>
      <c r="K49" s="1729"/>
      <c r="L49" s="1730"/>
      <c r="P49" s="2531"/>
      <c r="Q49" s="2531"/>
      <c r="R49" s="717"/>
      <c r="S49" s="1644"/>
      <c r="T49" s="648" t="s">
        <v>484</v>
      </c>
      <c r="U49" s="728"/>
      <c r="V49" s="728"/>
      <c r="W49" s="961"/>
      <c r="X49" s="961"/>
      <c r="Y49" s="961"/>
      <c r="Z49" s="961"/>
      <c r="AA49" s="961"/>
      <c r="AB49" s="728"/>
      <c r="AC49" s="728"/>
      <c r="AD49" s="728"/>
      <c r="AE49" s="728"/>
      <c r="AF49" s="728"/>
      <c r="AG49" s="728"/>
      <c r="AH49" s="961"/>
      <c r="AI49" s="961"/>
      <c r="AJ49" s="961"/>
      <c r="AK49" s="961"/>
      <c r="AL49" s="961"/>
      <c r="AM49" s="728"/>
      <c r="AN49" s="728"/>
      <c r="AO49" s="728"/>
      <c r="AP49" s="728"/>
      <c r="AQ49" s="728"/>
      <c r="AR49" s="728"/>
      <c r="AS49" s="1623" t="s">
        <v>485</v>
      </c>
      <c r="AU49" s="861"/>
      <c r="AV49" s="861" t="str">
        <f>IF(T49="","",T49)</f>
        <v>Добавить значение признака дифференциации</v>
      </c>
      <c r="AW49" s="861"/>
      <c r="AX49" s="861"/>
    </row>
    <row customHeight="1" ht="21">
      <c r="A50" s="1729" t="s">
        <v>256</v>
      </c>
      <c r="B50" s="1729" t="s">
        <v>257</v>
      </c>
      <c r="C50" s="1729" t="s">
        <v>258</v>
      </c>
      <c r="D50" s="1729" t="s">
        <v>543</v>
      </c>
      <c r="E50" s="2528"/>
      <c r="F50" s="2528"/>
      <c r="G50" s="2528"/>
      <c r="H50" s="2528"/>
      <c r="I50" s="2529"/>
      <c r="J50" s="1729"/>
      <c r="K50" s="1729"/>
      <c r="L50" s="1730"/>
      <c r="P50" s="2531"/>
      <c r="Q50" s="1847"/>
      <c r="R50" s="717"/>
      <c r="S50" s="1644"/>
      <c r="T50" s="726" t="s">
        <v>412</v>
      </c>
      <c r="U50" s="728"/>
      <c r="V50" s="728"/>
      <c r="W50" s="961"/>
      <c r="X50" s="961"/>
      <c r="Y50" s="961"/>
      <c r="Z50" s="961"/>
      <c r="AA50" s="961"/>
      <c r="AB50" s="728"/>
      <c r="AC50" s="728"/>
      <c r="AD50" s="728"/>
      <c r="AE50" s="728"/>
      <c r="AF50" s="727"/>
      <c r="AG50" s="728"/>
      <c r="AH50" s="961"/>
      <c r="AI50" s="961"/>
      <c r="AJ50" s="961"/>
      <c r="AK50" s="961"/>
      <c r="AL50" s="961"/>
      <c r="AM50" s="728"/>
      <c r="AN50" s="728"/>
      <c r="AO50" s="728"/>
      <c r="AP50" s="728"/>
      <c r="AQ50" s="727"/>
      <c r="AR50" s="728"/>
      <c r="AS50" s="1806"/>
      <c r="AU50" s="861"/>
      <c r="AV50" s="861" t="str">
        <f>IF(T50="","",T50)</f>
        <v>Добавить группу потребителей</v>
      </c>
      <c r="AW50" s="861"/>
      <c r="AX50" s="861"/>
    </row>
    <row customHeight="1" ht="21">
      <c r="A51" s="1729" t="s">
        <v>256</v>
      </c>
      <c r="B51" s="1729" t="s">
        <v>257</v>
      </c>
      <c r="C51" s="1729" t="s">
        <v>258</v>
      </c>
      <c r="D51" s="1729" t="s">
        <v>543</v>
      </c>
      <c r="E51" s="2528"/>
      <c r="F51" s="2528"/>
      <c r="G51" s="2528"/>
      <c r="H51" s="2527"/>
      <c r="I51" s="1729"/>
      <c r="J51" s="1729"/>
      <c r="K51" s="1729"/>
      <c r="L51" s="1730"/>
      <c r="M51" s="1731"/>
      <c r="N51" s="1731"/>
      <c r="O51" s="898"/>
      <c r="P51" s="721"/>
      <c r="Q51" s="736"/>
      <c r="R51" s="716"/>
      <c r="S51" s="1644"/>
      <c r="T51" s="733" t="s">
        <v>486</v>
      </c>
      <c r="U51" s="728"/>
      <c r="V51" s="728"/>
      <c r="W51" s="961"/>
      <c r="X51" s="961"/>
      <c r="Y51" s="961"/>
      <c r="Z51" s="961"/>
      <c r="AA51" s="961"/>
      <c r="AB51" s="728"/>
      <c r="AC51" s="728"/>
      <c r="AD51" s="728"/>
      <c r="AE51" s="728"/>
      <c r="AF51" s="727"/>
      <c r="AG51" s="728"/>
      <c r="AH51" s="961"/>
      <c r="AI51" s="961"/>
      <c r="AJ51" s="961"/>
      <c r="AK51" s="961"/>
      <c r="AL51" s="961"/>
      <c r="AM51" s="728"/>
      <c r="AN51" s="728"/>
      <c r="AO51" s="728"/>
      <c r="AP51" s="728"/>
      <c r="AQ51" s="727"/>
      <c r="AR51" s="728"/>
      <c r="AS51" s="664"/>
      <c r="AU51" s="861"/>
      <c r="AV51" s="861" t="str">
        <f>IF(T51="","",T51)</f>
        <v>Добавить наименование признака дифференциации</v>
      </c>
      <c r="AW51" s="861"/>
      <c r="AX51" s="861"/>
    </row>
    <row s="19127" customFormat="1" customHeight="1" ht="0">
      <c r="A52" s="1709" t="s">
        <v>256</v>
      </c>
      <c r="B52" s="1709" t="s">
        <v>257</v>
      </c>
      <c r="C52" s="1680"/>
      <c r="D52" s="1680"/>
      <c r="E52" s="2528"/>
      <c r="F52" s="2527"/>
      <c r="G52" s="1680"/>
      <c r="H52" s="1680"/>
      <c r="I52" s="1680"/>
      <c r="J52" s="1680"/>
      <c r="K52" s="1680"/>
      <c r="L52" s="1860"/>
      <c r="M52" s="1687"/>
      <c r="N52" s="1687"/>
      <c r="P52" s="1682"/>
      <c r="Q52" s="1683"/>
      <c r="R52" s="1682"/>
      <c r="S52" s="1688"/>
      <c r="T52" s="1691" t="s">
        <v>251</v>
      </c>
      <c r="U52" s="1690"/>
      <c r="V52" s="1690"/>
      <c r="W52" s="1690"/>
      <c r="X52" s="1690"/>
      <c r="Y52" s="1690"/>
      <c r="Z52" s="1690"/>
      <c r="AA52" s="1690"/>
      <c r="AB52" s="1690"/>
      <c r="AC52" s="1690"/>
      <c r="AD52" s="1690"/>
      <c r="AE52" s="1690"/>
      <c r="AF52" s="1690"/>
      <c r="AG52" s="1690"/>
      <c r="AH52" s="1690"/>
      <c r="AI52" s="1690"/>
      <c r="AJ52" s="1690"/>
      <c r="AK52" s="1690"/>
      <c r="AL52" s="1690"/>
      <c r="AM52" s="1690"/>
      <c r="AN52" s="1690"/>
      <c r="AO52" s="1690"/>
      <c r="AP52" s="1690"/>
      <c r="AQ52" s="1690"/>
      <c r="AR52" s="1690"/>
      <c r="AS52" s="1690"/>
      <c r="AU52" s="1150"/>
      <c r="AV52" s="1150" t="str">
        <f>IF(T52="","",T52)</f>
        <v>Добавить централизованную систему для дифференциации</v>
      </c>
      <c r="AW52" s="1150"/>
      <c r="AX52" s="1150"/>
    </row>
    <row s="19219" customFormat="1" customHeight="1" ht="0">
      <c r="A53" s="1709" t="s">
        <v>256</v>
      </c>
      <c r="B53" s="1709"/>
      <c r="C53" s="1709"/>
      <c r="D53" s="1709"/>
      <c r="E53" s="2527"/>
      <c r="F53" s="1709"/>
      <c r="G53" s="1709"/>
      <c r="H53" s="1709"/>
      <c r="I53" s="1709"/>
      <c r="J53" s="1709"/>
      <c r="K53" s="1709"/>
      <c r="L53" s="1712"/>
      <c r="M53" s="1687"/>
      <c r="N53" s="1687"/>
      <c r="O53" s="879"/>
      <c r="P53" s="741"/>
      <c r="Q53" s="1710"/>
      <c r="R53" s="741"/>
      <c r="S53" s="1688"/>
      <c r="T53" s="1691" t="s">
        <v>252</v>
      </c>
      <c r="U53" s="1690"/>
      <c r="V53" s="1690"/>
      <c r="W53" s="1690"/>
      <c r="X53" s="1690"/>
      <c r="Y53" s="1690"/>
      <c r="Z53" s="1690"/>
      <c r="AA53" s="1690"/>
      <c r="AB53" s="1690"/>
      <c r="AC53" s="1690"/>
      <c r="AD53" s="1690"/>
      <c r="AE53" s="1690"/>
      <c r="AF53" s="1690"/>
      <c r="AG53" s="1690"/>
      <c r="AH53" s="1690"/>
      <c r="AI53" s="1690"/>
      <c r="AJ53" s="1690"/>
      <c r="AK53" s="1690"/>
      <c r="AL53" s="1690"/>
      <c r="AM53" s="1690"/>
      <c r="AN53" s="1690"/>
      <c r="AO53" s="1690"/>
      <c r="AP53" s="1690"/>
      <c r="AQ53" s="1690"/>
      <c r="AR53" s="1690"/>
      <c r="AS53" s="1690"/>
      <c r="AU53" s="861"/>
      <c r="AV53" s="861" t="str">
        <f>IF(T53="","",T53)</f>
        <v>Добавить территорию для дифференциации</v>
      </c>
      <c r="AW53" s="861"/>
      <c r="AX53" s="861"/>
    </row>
    <row s="19127" customFormat="1" customHeight="1" ht="0">
      <c r="A54" s="1680"/>
      <c r="B54" s="1680"/>
      <c r="C54" s="1680"/>
      <c r="D54" s="1680"/>
      <c r="E54" s="1709"/>
      <c r="F54" s="1680"/>
      <c r="G54" s="1680"/>
      <c r="H54" s="1680"/>
      <c r="I54" s="1680"/>
      <c r="J54" s="1680"/>
      <c r="K54" s="1680"/>
      <c r="L54" s="1860"/>
      <c r="M54" s="1687"/>
      <c r="N54" s="1687"/>
      <c r="P54" s="1682"/>
      <c r="Q54" s="1683"/>
      <c r="R54" s="1682"/>
      <c r="S54" s="1688"/>
      <c r="T54" s="1691" t="s">
        <v>253</v>
      </c>
      <c r="U54" s="1690"/>
      <c r="V54" s="1690"/>
      <c r="W54" s="1690"/>
      <c r="X54" s="1690"/>
      <c r="Y54" s="1690"/>
      <c r="Z54" s="1690"/>
      <c r="AA54" s="1690"/>
      <c r="AB54" s="1690"/>
      <c r="AC54" s="1690"/>
      <c r="AD54" s="1690"/>
      <c r="AE54" s="1690"/>
      <c r="AF54" s="1690"/>
      <c r="AG54" s="1690"/>
      <c r="AH54" s="1690"/>
      <c r="AI54" s="1690"/>
      <c r="AJ54" s="1690"/>
      <c r="AK54" s="1690"/>
      <c r="AL54" s="1690"/>
      <c r="AM54" s="1690"/>
      <c r="AN54" s="1690"/>
      <c r="AO54" s="1690"/>
      <c r="AP54" s="1690"/>
      <c r="AQ54" s="1690"/>
      <c r="AR54" s="1690"/>
      <c r="AS54" s="1690"/>
      <c r="AU54" s="1150"/>
      <c r="AV54" s="1150" t="str">
        <f>IF(T54="","",T54)</f>
        <v>Добавить наименование тарифа</v>
      </c>
      <c r="AW54" s="1150"/>
      <c r="AX54" s="1150"/>
    </row>
    <row customHeight="1" ht="11.25">
      <c r="M55" s="1523"/>
      <c r="N55" s="1523"/>
      <c r="O55" s="898"/>
      <c r="P55" s="1518"/>
      <c r="Q55" s="1518"/>
      <c r="R55" s="1518"/>
      <c r="S55" s="1518"/>
      <c r="AT55" s="1518"/>
      <c r="AU55" s="1518"/>
      <c r="AV55" s="1518"/>
      <c r="AW55" s="1518"/>
      <c r="AX55" s="1518"/>
    </row>
    <row customHeight="1" ht="14.25">
      <c r="O56" s="898"/>
      <c r="S56" s="1618"/>
      <c r="T56" s="2526"/>
      <c r="U56" s="2526"/>
      <c r="V56" s="2526"/>
      <c r="W56" s="2526"/>
      <c r="X56" s="2526"/>
      <c r="Y56" s="2526"/>
      <c r="Z56" s="2526"/>
      <c r="AA56" s="2526"/>
      <c r="AB56" s="2526"/>
      <c r="AC56" s="2526"/>
      <c r="AD56" s="2526"/>
      <c r="AE56" s="2526"/>
      <c r="AF56" s="2526"/>
      <c r="AG56" s="2526"/>
      <c r="AH56" s="2526"/>
      <c r="AI56" s="2526"/>
      <c r="AJ56" s="2526"/>
      <c r="AK56" s="2526"/>
      <c r="AL56" s="2526"/>
      <c r="AM56" s="2526"/>
      <c r="AN56" s="2526"/>
      <c r="AO56" s="2526"/>
      <c r="AP56" s="2526"/>
      <c r="AQ56" s="2526"/>
      <c r="AR56" s="2526"/>
      <c r="AS56" s="2526"/>
    </row>
    <row customHeight="1" ht="14.25">
      <c r="O57" s="898"/>
    </row>
    <row customHeight="1" ht="14.25">
      <c r="O58" s="898"/>
      <c r="S58" s="1618"/>
      <c r="T58" s="2526"/>
      <c r="U58" s="2526"/>
      <c r="V58" s="2526"/>
      <c r="W58" s="2526"/>
      <c r="X58" s="2526"/>
      <c r="Y58" s="2526"/>
      <c r="Z58" s="2526"/>
      <c r="AA58" s="2526"/>
      <c r="AB58" s="2526"/>
      <c r="AC58" s="2526"/>
      <c r="AD58" s="2526"/>
      <c r="AE58" s="2526"/>
      <c r="AF58" s="2526"/>
      <c r="AG58" s="2526"/>
      <c r="AH58" s="2526"/>
      <c r="AI58" s="2526"/>
      <c r="AJ58" s="2526"/>
      <c r="AK58" s="2526"/>
      <c r="AL58" s="2526"/>
      <c r="AM58" s="2526"/>
      <c r="AN58" s="2526"/>
      <c r="AO58" s="2526"/>
      <c r="AP58" s="2526"/>
      <c r="AQ58" s="2526"/>
      <c r="AR58" s="2526"/>
      <c r="AS58" s="2526"/>
    </row>
  </sheetData>
  <sheetProtection formatColumns="0" formatRows="0" autoFilter="0" sort="0" insertRows="0" insertColumns="1" deleteRows="0" deleteColumns="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F09853-66B2-9674-C631-97F862E8EF25}" mc:Ignorable="x14ac xr xr2 xr3">
  <sheetPr>
    <tabColor theme="6" tint="0.4"/>
  </sheetPr>
  <dimension ref="A1:BH117"/>
  <sheetViews>
    <sheetView topLeftCell="A1" showGridLines="0" zoomScale="120" workbookViewId="0">
      <selection activeCell="AV117" sqref="AV117"/>
    </sheetView>
  </sheetViews>
  <sheetFormatPr defaultColWidth="10.57421875" customHeight="1" defaultRowHeight="14.25"/>
  <cols>
    <col min="1" max="1" style="19146" width="11.57421875" hidden="1" customWidth="1"/>
    <col min="2" max="2" style="19146" width="11.00390625" hidden="1" customWidth="1"/>
    <col min="3" max="3" style="19146" width="10.57421875" hidden="1"/>
    <col min="4" max="4" style="19146" width="12.8515625" hidden="1" customWidth="1"/>
    <col min="5" max="5" style="19146" width="10.00390625" hidden="1" customWidth="1"/>
    <col min="6" max="6" style="19146" width="8.7109375" hidden="1" customWidth="1"/>
    <col min="7" max="7" style="19146" width="7.57421875" hidden="1" customWidth="1"/>
    <col min="8" max="8" style="19146" width="11.421875" hidden="1" customWidth="1"/>
    <col min="9" max="9" style="19146" width="12.00390625" hidden="1" customWidth="1"/>
    <col min="10" max="10" style="19146" width="9.8515625" hidden="1" customWidth="1"/>
    <col min="11" max="11" style="19146" width="11.421875" hidden="1" customWidth="1"/>
    <col min="12" max="12" style="19497" width="19.140625" hidden="1" customWidth="1"/>
    <col min="13" max="14" style="19228" width="12.28125" hidden="1" customWidth="1"/>
    <col min="15" max="15" style="19228" width="23.421875" hidden="1" customWidth="1"/>
    <col min="16" max="16" style="19228" width="3.7109375" hidden="1" customWidth="1"/>
    <col min="17" max="17" style="19401" width="3.7109375" hidden="1" customWidth="1"/>
    <col min="18" max="18" style="19230" width="3.7109375" customWidth="1"/>
    <col min="19" max="19" style="19231" width="12.7109375" customWidth="1"/>
    <col min="20" max="20" style="19232" width="32.00390625" customWidth="1"/>
    <col min="21" max="21" style="19232" width="0.140625" customWidth="1"/>
    <col min="22" max="25" style="19232" width="21.7109375" hidden="1" customWidth="1"/>
    <col min="26" max="26" style="19232" width="11.7109375" hidden="1" customWidth="1"/>
    <col min="27" max="27" style="19232" width="3.7109375" hidden="1" customWidth="1"/>
    <col min="28" max="28" style="19232" width="11.7109375" hidden="1" customWidth="1"/>
    <col min="29" max="29" style="19232" width="8.57421875" hidden="1" customWidth="1"/>
    <col min="30" max="32" style="19232" width="3.7109375" customWidth="1"/>
    <col min="33" max="33" style="19232" width="24.7109375" customWidth="1"/>
    <col min="34" max="36" style="19232" width="3.7109375" customWidth="1"/>
    <col min="37" max="37" style="19232" width="24.7109375" customWidth="1"/>
    <col min="38" max="40" style="19232" width="3.7109375" customWidth="1"/>
    <col min="41" max="41" style="19232" width="18.8515625" customWidth="1"/>
    <col min="42" max="44" style="19232" width="3.7109375" customWidth="1"/>
    <col min="45" max="45" style="19232" width="31.7109375" customWidth="1"/>
    <col min="46" max="49" style="19232" width="21.7109375" customWidth="1"/>
    <col min="50" max="50" style="19232" width="11.7109375" customWidth="1"/>
    <col min="51" max="51" style="19232" width="3.7109375" customWidth="1"/>
    <col min="52" max="52" style="19232" width="11.7109375" customWidth="1"/>
    <col min="53" max="53" style="19232" width="8.57421875" hidden="1" customWidth="1"/>
    <col min="54" max="54" style="19232" width="4.7109375" customWidth="1"/>
    <col min="55" max="55" style="19232" width="115.7109375" customWidth="1"/>
    <col min="56" max="57" style="19219" width="10.57421875"/>
    <col min="58" max="58" style="19219" width="11.140625" customWidth="1"/>
    <col min="59" max="60" style="19219" width="10.57421875"/>
  </cols>
  <sheetData>
    <row customHeight="1" ht="14.25" hidden="1">
      <c r="W1" s="688"/>
      <c r="Y1" s="688"/>
      <c r="Z1" s="688"/>
      <c r="AW1" s="688"/>
      <c r="AX1" s="688"/>
    </row>
    <row customHeight="1" ht="21" hidden="1">
      <c r="A2" s="1729"/>
      <c r="B2" s="1729"/>
      <c r="C2" s="1729"/>
      <c r="D2" s="1729"/>
      <c r="E2" s="2527">
        <v>1</v>
      </c>
      <c r="F2" s="1729"/>
      <c r="G2" s="1729"/>
      <c r="H2" s="1729"/>
      <c r="I2" s="1729"/>
      <c r="J2" s="1729"/>
      <c r="K2" s="1729"/>
      <c r="L2" s="1730"/>
      <c r="M2" s="1731"/>
      <c r="N2" s="1731"/>
      <c r="O2" s="1731"/>
      <c r="P2" s="1775"/>
      <c r="Q2" s="1234"/>
      <c r="R2" s="716"/>
      <c r="S2" s="1859">
        <f>INDEX(PT_DIFFERENTIATION_NUM_NTAR,MATCH(A2,PT_DIFFERENTIATION_NTAR_ID,0))</f>
      </c>
      <c r="T2" s="659" t="s">
        <v>120</v>
      </c>
      <c r="U2" s="661"/>
      <c r="V2" s="2522"/>
      <c r="W2" s="2522"/>
      <c r="X2" s="2522"/>
      <c r="Y2" s="2522"/>
      <c r="Z2" s="2522"/>
      <c r="AA2" s="2522"/>
      <c r="AB2" s="2522"/>
      <c r="AC2" s="2523"/>
      <c r="AD2" s="2521">
        <f>INDEX(PT_DIFFERENTIATION_NTAR,MATCH(A2,PT_DIFFERENTIATION_NTAR_ID,0))</f>
      </c>
      <c r="AE2" s="2522"/>
      <c r="AF2" s="2522"/>
      <c r="AG2" s="2522"/>
      <c r="AH2" s="2522"/>
      <c r="AI2" s="2522"/>
      <c r="AJ2" s="2522"/>
      <c r="AK2" s="2522"/>
      <c r="AL2" s="2522"/>
      <c r="AM2" s="2522"/>
      <c r="AN2" s="2522"/>
      <c r="AO2" s="2522"/>
      <c r="AP2" s="2522"/>
      <c r="AQ2" s="2522"/>
      <c r="AR2" s="2522"/>
      <c r="AS2" s="2522"/>
      <c r="AT2" s="2522"/>
      <c r="AU2" s="2522"/>
      <c r="AV2" s="2522"/>
      <c r="AW2" s="2522"/>
      <c r="AX2" s="2522"/>
      <c r="AY2" s="2522"/>
      <c r="AZ2" s="2522"/>
      <c r="BA2" s="2522"/>
      <c r="BB2" s="2523"/>
      <c r="BC2" s="16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861"/>
      <c r="BF2" s="861" t="str">
        <f>IF(T2="","",T2)</f>
        <v>Наименование тарифа</v>
      </c>
      <c r="BG2" s="861"/>
      <c r="BH2" s="861"/>
    </row>
    <row customHeight="1" ht="21" hidden="1">
      <c r="A3" s="1729"/>
      <c r="B3" s="1729"/>
      <c r="C3" s="1729"/>
      <c r="D3" s="1729"/>
      <c r="E3" s="2528"/>
      <c r="F3" s="2527">
        <v>1</v>
      </c>
      <c r="G3" s="1729"/>
      <c r="H3" s="1729"/>
      <c r="I3" s="1729"/>
      <c r="J3" s="1729"/>
      <c r="K3" s="1729"/>
      <c r="L3" s="1730"/>
      <c r="M3" s="1731"/>
      <c r="N3" s="1731"/>
      <c r="O3" s="1731"/>
      <c r="P3" s="1776"/>
      <c r="Q3" s="1777"/>
      <c r="R3" s="714"/>
      <c r="S3" s="1859">
        <f>INDEX(PT_DIFFERENTIATION_NUM_TER,MATCH(B3,PT_DIFFERENTIATION_TER_ID,0))</f>
      </c>
      <c r="T3" s="669" t="s">
        <v>397</v>
      </c>
      <c r="U3" s="661"/>
      <c r="V3" s="2522"/>
      <c r="W3" s="2522"/>
      <c r="X3" s="2522"/>
      <c r="Y3" s="2522"/>
      <c r="Z3" s="2522"/>
      <c r="AA3" s="2522"/>
      <c r="AB3" s="2522"/>
      <c r="AC3" s="2523"/>
      <c r="AD3" s="2521">
        <f>INDEX(PT_DIFFERENTIATION_TER,MATCH(B3,PT_DIFFERENTIATION_TER_ID,0))</f>
      </c>
      <c r="AE3" s="2522"/>
      <c r="AF3" s="2522"/>
      <c r="AG3" s="2522"/>
      <c r="AH3" s="2522"/>
      <c r="AI3" s="2522"/>
      <c r="AJ3" s="2522"/>
      <c r="AK3" s="2522"/>
      <c r="AL3" s="2522"/>
      <c r="AM3" s="2522"/>
      <c r="AN3" s="2522"/>
      <c r="AO3" s="2522"/>
      <c r="AP3" s="2522"/>
      <c r="AQ3" s="2522"/>
      <c r="AR3" s="2522"/>
      <c r="AS3" s="2522"/>
      <c r="AT3" s="2522"/>
      <c r="AU3" s="2522"/>
      <c r="AV3" s="2522"/>
      <c r="AW3" s="2522"/>
      <c r="AX3" s="2522"/>
      <c r="AY3" s="2522"/>
      <c r="AZ3" s="2522"/>
      <c r="BA3" s="2522"/>
      <c r="BB3" s="2523"/>
      <c r="BC3" s="1623" t="s">
        <v>398</v>
      </c>
      <c r="BE3" s="861"/>
      <c r="BF3" s="861" t="str">
        <f>IF(T3="","",T3)</f>
        <v>Территория действия тарифа</v>
      </c>
      <c r="BG3" s="861"/>
      <c r="BH3" s="861"/>
    </row>
    <row customHeight="1" ht="33.75" hidden="1">
      <c r="A4" s="1729"/>
      <c r="B4" s="1729"/>
      <c r="C4" s="1729"/>
      <c r="D4" s="1729"/>
      <c r="E4" s="2528"/>
      <c r="F4" s="2528"/>
      <c r="G4" s="2527">
        <v>1</v>
      </c>
      <c r="H4" s="1729"/>
      <c r="I4" s="1729"/>
      <c r="J4" s="1729"/>
      <c r="K4" s="1729"/>
      <c r="L4" s="1730"/>
      <c r="M4" s="1731"/>
      <c r="N4" s="1731"/>
      <c r="O4" s="1731"/>
      <c r="P4" s="1778"/>
      <c r="Q4" s="1777"/>
      <c r="R4" s="714"/>
      <c r="S4" s="1859">
        <f>INDEX(PT_DIFFERENTIATION_NUM_CS,MATCH(C4,PT_DIFFERENTIATION_CS_ID,0))</f>
      </c>
      <c r="T4" s="670" t="s">
        <v>528</v>
      </c>
      <c r="U4" s="661"/>
      <c r="V4" s="2522"/>
      <c r="W4" s="2522"/>
      <c r="X4" s="2522"/>
      <c r="Y4" s="2522"/>
      <c r="Z4" s="2522"/>
      <c r="AA4" s="2522"/>
      <c r="AB4" s="2522"/>
      <c r="AC4" s="2523"/>
      <c r="AD4" s="2521">
        <f>INDEX(PT_DIFFERENTIATION_CS,MATCH(C4,PT_DIFFERENTIATION_CS_ID,0))</f>
      </c>
      <c r="AE4" s="2522"/>
      <c r="AF4" s="2522"/>
      <c r="AG4" s="2522"/>
      <c r="AH4" s="2522"/>
      <c r="AI4" s="2522"/>
      <c r="AJ4" s="2522"/>
      <c r="AK4" s="2522"/>
      <c r="AL4" s="2522"/>
      <c r="AM4" s="2522"/>
      <c r="AN4" s="2522"/>
      <c r="AO4" s="2522"/>
      <c r="AP4" s="2522"/>
      <c r="AQ4" s="2522"/>
      <c r="AR4" s="2522"/>
      <c r="AS4" s="2522"/>
      <c r="AT4" s="2522"/>
      <c r="AU4" s="2522"/>
      <c r="AV4" s="2522"/>
      <c r="AW4" s="2522"/>
      <c r="AX4" s="2522"/>
      <c r="AY4" s="2522"/>
      <c r="AZ4" s="2522"/>
      <c r="BA4" s="2522"/>
      <c r="BB4" s="2523"/>
      <c r="BC4" s="1623" t="s">
        <v>529</v>
      </c>
      <c r="BE4" s="861"/>
      <c r="BF4" s="861" t="str">
        <f>IF(T4="","",T4)</f>
        <v>Наименование централизованной системы горячего водоснабжения</v>
      </c>
      <c r="BG4" s="861"/>
      <c r="BH4" s="861"/>
    </row>
    <row s="19219" customFormat="1" customHeight="1" ht="14.25" hidden="1">
      <c r="A5" s="1709"/>
      <c r="B5" s="1709"/>
      <c r="C5" s="1709"/>
      <c r="D5" s="1709"/>
      <c r="E5" s="2528"/>
      <c r="F5" s="2528"/>
      <c r="G5" s="2528"/>
      <c r="H5" s="2527">
        <v>1</v>
      </c>
      <c r="I5" s="1709"/>
      <c r="J5" s="1709"/>
      <c r="K5" s="1709"/>
      <c r="L5" s="1712"/>
      <c r="M5" s="1681"/>
      <c r="N5" s="1681"/>
      <c r="O5" s="1681"/>
      <c r="P5" s="1863"/>
      <c r="Q5" s="1864"/>
      <c r="R5" s="718"/>
      <c r="S5" s="1404"/>
      <c r="T5" s="1865"/>
      <c r="U5" s="1750"/>
      <c r="V5" s="2570"/>
      <c r="W5" s="2570"/>
      <c r="X5" s="2570"/>
      <c r="Y5" s="2570"/>
      <c r="Z5" s="2570"/>
      <c r="AA5" s="2570"/>
      <c r="AB5" s="2570"/>
      <c r="AC5" s="2571"/>
      <c r="AD5" s="2569"/>
      <c r="AE5" s="2570"/>
      <c r="AF5" s="2570"/>
      <c r="AG5" s="2570"/>
      <c r="AH5" s="2570"/>
      <c r="AI5" s="2570"/>
      <c r="AJ5" s="2570"/>
      <c r="AK5" s="2570"/>
      <c r="AL5" s="2570"/>
      <c r="AM5" s="2570"/>
      <c r="AN5" s="2570"/>
      <c r="AO5" s="2570"/>
      <c r="AP5" s="2570"/>
      <c r="AQ5" s="2570"/>
      <c r="AR5" s="2570"/>
      <c r="AS5" s="2570"/>
      <c r="AT5" s="2570"/>
      <c r="AU5" s="2570"/>
      <c r="AV5" s="2570"/>
      <c r="AW5" s="2570"/>
      <c r="AX5" s="2570"/>
      <c r="AY5" s="2570"/>
      <c r="AZ5" s="2570"/>
      <c r="BA5" s="2570"/>
      <c r="BB5" s="2571"/>
      <c r="BC5" s="1751" t="s">
        <v>402</v>
      </c>
      <c r="BE5" s="861"/>
      <c r="BF5" s="861" t="str">
        <f>IF(T5="","",T5)</f>
        <v/>
      </c>
      <c r="BG5" s="861"/>
      <c r="BH5" s="861"/>
    </row>
    <row s="19219" customFormat="1" customHeight="1" ht="14.25" hidden="1">
      <c r="A6" s="1709"/>
      <c r="B6" s="1709"/>
      <c r="C6" s="1709"/>
      <c r="D6" s="1709"/>
      <c r="E6" s="2528"/>
      <c r="F6" s="2528"/>
      <c r="G6" s="2528"/>
      <c r="H6" s="2528"/>
      <c r="I6" s="2529" t="str">
        <f>S5&amp;".1"</f>
        <v>.1</v>
      </c>
      <c r="J6" s="1709"/>
      <c r="K6" s="1709"/>
      <c r="L6" s="1712" t="s">
        <v>403</v>
      </c>
      <c r="M6" s="871"/>
      <c r="N6" s="871"/>
      <c r="O6" s="871"/>
      <c r="P6" s="2531">
        <v>1</v>
      </c>
      <c r="Q6" s="1847"/>
      <c r="R6" s="717"/>
      <c r="S6" s="1404"/>
      <c r="T6" s="1749"/>
      <c r="U6" s="1750"/>
      <c r="V6" s="2570"/>
      <c r="W6" s="2570"/>
      <c r="X6" s="2570"/>
      <c r="Y6" s="2570"/>
      <c r="Z6" s="2570"/>
      <c r="AA6" s="2570"/>
      <c r="AB6" s="2570"/>
      <c r="AC6" s="2571"/>
      <c r="AD6" s="2569"/>
      <c r="AE6" s="2570"/>
      <c r="AF6" s="2570"/>
      <c r="AG6" s="2570"/>
      <c r="AH6" s="2570"/>
      <c r="AI6" s="2570"/>
      <c r="AJ6" s="2570"/>
      <c r="AK6" s="2570"/>
      <c r="AL6" s="2570"/>
      <c r="AM6" s="2570"/>
      <c r="AN6" s="2570"/>
      <c r="AO6" s="2570"/>
      <c r="AP6" s="2570"/>
      <c r="AQ6" s="2570"/>
      <c r="AR6" s="2570"/>
      <c r="AS6" s="2570"/>
      <c r="AT6" s="2570"/>
      <c r="AU6" s="2570"/>
      <c r="AV6" s="2570"/>
      <c r="AW6" s="2570"/>
      <c r="AX6" s="2570"/>
      <c r="AY6" s="2570"/>
      <c r="AZ6" s="2570"/>
      <c r="BA6" s="2570"/>
      <c r="BB6" s="2571"/>
      <c r="BC6" s="1751"/>
      <c r="BE6" s="861"/>
      <c r="BF6" s="861" t="str">
        <f>IF(T6="","",T6)</f>
        <v/>
      </c>
      <c r="BG6" s="861"/>
      <c r="BH6" s="861"/>
    </row>
    <row s="19219" customFormat="1" customHeight="1" ht="14.25" hidden="1">
      <c r="A7" s="1709"/>
      <c r="B7" s="1709"/>
      <c r="C7" s="1709"/>
      <c r="D7" s="1709"/>
      <c r="E7" s="2528"/>
      <c r="F7" s="2528"/>
      <c r="G7" s="2528"/>
      <c r="H7" s="2528"/>
      <c r="I7" s="2530"/>
      <c r="J7" s="2529" t="str">
        <f>S5&amp;".1"</f>
        <v>.1</v>
      </c>
      <c r="K7" s="1709"/>
      <c r="L7" s="1712"/>
      <c r="M7" s="871"/>
      <c r="N7" s="871"/>
      <c r="O7" s="871"/>
      <c r="P7" s="2531"/>
      <c r="Q7" s="2531">
        <v>1</v>
      </c>
      <c r="R7" s="718"/>
      <c r="S7" s="1404"/>
      <c r="T7" s="1765"/>
      <c r="U7" s="1750"/>
      <c r="V7" s="2570"/>
      <c r="W7" s="2570"/>
      <c r="X7" s="2570"/>
      <c r="Y7" s="2570"/>
      <c r="Z7" s="2570"/>
      <c r="AA7" s="2570"/>
      <c r="AB7" s="2570"/>
      <c r="AC7" s="2571"/>
      <c r="AD7" s="2569"/>
      <c r="AE7" s="2570"/>
      <c r="AF7" s="2570"/>
      <c r="AG7" s="2570"/>
      <c r="AH7" s="2570"/>
      <c r="AI7" s="2570"/>
      <c r="AJ7" s="2570"/>
      <c r="AK7" s="2570"/>
      <c r="AL7" s="2570"/>
      <c r="AM7" s="2570"/>
      <c r="AN7" s="2570"/>
      <c r="AO7" s="2570"/>
      <c r="AP7" s="2570"/>
      <c r="AQ7" s="2570"/>
      <c r="AR7" s="2570"/>
      <c r="AS7" s="2570"/>
      <c r="AT7" s="2570"/>
      <c r="AU7" s="2570"/>
      <c r="AV7" s="2570"/>
      <c r="AW7" s="2570"/>
      <c r="AX7" s="2570"/>
      <c r="AY7" s="2570"/>
      <c r="AZ7" s="2570"/>
      <c r="BA7" s="2570"/>
      <c r="BB7" s="2571"/>
      <c r="BC7" s="1751"/>
      <c r="BE7" s="861"/>
      <c r="BF7" s="861" t="str">
        <f>IF(T7="","",T7)</f>
        <v/>
      </c>
      <c r="BG7" s="861"/>
      <c r="BH7" s="861"/>
    </row>
    <row customHeight="1" ht="11.25" hidden="1">
      <c r="A8" s="1729"/>
      <c r="B8" s="1729"/>
      <c r="C8" s="1729"/>
      <c r="D8" s="1729"/>
      <c r="E8" s="2528"/>
      <c r="F8" s="2528"/>
      <c r="G8" s="2528"/>
      <c r="H8" s="2528"/>
      <c r="I8" s="2530"/>
      <c r="J8" s="2530"/>
      <c r="K8" s="2529">
        <f>S4&amp;".1"</f>
      </c>
      <c r="L8" s="1730"/>
      <c r="P8" s="2531"/>
      <c r="Q8" s="2531"/>
      <c r="R8" s="2607">
        <v>1</v>
      </c>
      <c r="S8" s="2604">
        <f>$K8</f>
      </c>
      <c r="T8" s="2624"/>
      <c r="U8" s="661"/>
      <c r="V8" s="1112"/>
      <c r="W8" s="1622"/>
      <c r="X8" s="1112"/>
      <c r="Y8" s="1622"/>
      <c r="Z8" s="2100"/>
      <c r="AA8" s="1835" t="s">
        <v>59</v>
      </c>
      <c r="AB8" s="2100"/>
      <c r="AC8" s="1835" t="s">
        <v>59</v>
      </c>
      <c r="AD8" s="2465" t="s">
        <v>59</v>
      </c>
      <c r="AE8" s="2600"/>
      <c r="AF8" s="2478">
        <v>1</v>
      </c>
      <c r="AG8" s="2623"/>
      <c r="AH8" s="2402" t="s">
        <v>59</v>
      </c>
      <c r="AI8" s="2600"/>
      <c r="AJ8" s="2478">
        <v>1</v>
      </c>
      <c r="AK8" s="2622" t="s">
        <v>24</v>
      </c>
      <c r="AL8" s="2402" t="s">
        <v>59</v>
      </c>
      <c r="AM8" s="2450"/>
      <c r="AN8" s="2478">
        <v>1</v>
      </c>
      <c r="AO8" s="2627"/>
      <c r="AP8" s="2628" t="s">
        <v>59</v>
      </c>
      <c r="AQ8" s="672"/>
      <c r="AR8" s="1852">
        <v>1</v>
      </c>
      <c r="AS8" s="1858" t="s">
        <v>24</v>
      </c>
      <c r="AT8" s="1112"/>
      <c r="AU8" s="1622"/>
      <c r="AV8" s="1112"/>
      <c r="AW8" s="1622"/>
      <c r="AX8" s="2100"/>
      <c r="AY8" s="1835" t="s">
        <v>59</v>
      </c>
      <c r="AZ8" s="2100"/>
      <c r="BA8" s="1835" t="s">
        <v>59</v>
      </c>
      <c r="BB8" s="1714"/>
      <c r="BC8" s="2557" t="s">
        <v>499</v>
      </c>
      <c r="BE8" s="861"/>
      <c r="BF8" s="861" t="str">
        <f>IF(T8="","",T8)</f>
        <v/>
      </c>
      <c r="BG8" s="861"/>
      <c r="BH8" s="861"/>
    </row>
    <row customHeight="1" ht="11.25" hidden="1">
      <c r="A9" s="1729"/>
      <c r="B9" s="1729"/>
      <c r="C9" s="1729"/>
      <c r="D9" s="1729"/>
      <c r="E9" s="2528"/>
      <c r="F9" s="2528"/>
      <c r="G9" s="2528"/>
      <c r="H9" s="2528"/>
      <c r="I9" s="2530"/>
      <c r="J9" s="2530"/>
      <c r="K9" s="2529"/>
      <c r="L9" s="1730"/>
      <c r="P9" s="2531"/>
      <c r="Q9" s="2531"/>
      <c r="R9" s="2607"/>
      <c r="S9" s="2605"/>
      <c r="T9" s="2625"/>
      <c r="U9" s="661"/>
      <c r="V9" s="1759"/>
      <c r="W9" s="1862"/>
      <c r="X9" s="1759"/>
      <c r="Y9" s="1862"/>
      <c r="Z9" s="1759"/>
      <c r="AA9" s="1759"/>
      <c r="AB9" s="1759"/>
      <c r="AC9" s="1759"/>
      <c r="AD9" s="2466"/>
      <c r="AE9" s="2600"/>
      <c r="AF9" s="2478"/>
      <c r="AG9" s="2623"/>
      <c r="AH9" s="2402"/>
      <c r="AI9" s="2600"/>
      <c r="AJ9" s="2478"/>
      <c r="AK9" s="2622"/>
      <c r="AL9" s="2402"/>
      <c r="AM9" s="2458"/>
      <c r="AN9" s="2478"/>
      <c r="AO9" s="2627"/>
      <c r="AP9" s="2629"/>
      <c r="AQ9" s="677"/>
      <c r="AR9" s="777"/>
      <c r="AS9" s="777" t="s">
        <v>500</v>
      </c>
      <c r="AT9" s="1759"/>
      <c r="AU9" s="1862"/>
      <c r="AV9" s="1759"/>
      <c r="AW9" s="1862"/>
      <c r="AX9" s="1759"/>
      <c r="AY9" s="1759"/>
      <c r="AZ9" s="1759"/>
      <c r="BA9" s="1759"/>
      <c r="BB9" s="1763"/>
      <c r="BC9" s="2558"/>
      <c r="BE9" s="861"/>
      <c r="BF9" s="861"/>
      <c r="BG9" s="861"/>
      <c r="BH9" s="861"/>
    </row>
    <row customHeight="1" ht="11.25" hidden="1">
      <c r="A10" s="1729"/>
      <c r="B10" s="1729"/>
      <c r="C10" s="1729"/>
      <c r="D10" s="1729"/>
      <c r="E10" s="2528"/>
      <c r="F10" s="2528"/>
      <c r="G10" s="2528"/>
      <c r="H10" s="2528"/>
      <c r="I10" s="2530"/>
      <c r="J10" s="2530"/>
      <c r="K10" s="2529"/>
      <c r="L10" s="1730"/>
      <c r="P10" s="2531"/>
      <c r="Q10" s="2531"/>
      <c r="R10" s="2607"/>
      <c r="S10" s="2605"/>
      <c r="T10" s="2625"/>
      <c r="U10" s="661"/>
      <c r="V10" s="1759"/>
      <c r="W10" s="1862"/>
      <c r="X10" s="1759"/>
      <c r="Y10" s="1862"/>
      <c r="Z10" s="1759"/>
      <c r="AA10" s="1759"/>
      <c r="AB10" s="1759"/>
      <c r="AC10" s="1759"/>
      <c r="AD10" s="2466"/>
      <c r="AE10" s="2600"/>
      <c r="AF10" s="2478"/>
      <c r="AG10" s="2623"/>
      <c r="AH10" s="2402"/>
      <c r="AI10" s="2600"/>
      <c r="AJ10" s="2478"/>
      <c r="AK10" s="2622"/>
      <c r="AL10" s="2402"/>
      <c r="AM10" s="677"/>
      <c r="AN10" s="1866"/>
      <c r="AO10" s="1866" t="s">
        <v>501</v>
      </c>
      <c r="AP10" s="777"/>
      <c r="AQ10" s="777"/>
      <c r="AR10" s="777"/>
      <c r="AS10" s="1759"/>
      <c r="AT10" s="1759"/>
      <c r="AU10" s="1862"/>
      <c r="AV10" s="1759"/>
      <c r="AW10" s="1862"/>
      <c r="AX10" s="1759"/>
      <c r="AY10" s="1759"/>
      <c r="AZ10" s="1759"/>
      <c r="BA10" s="1759"/>
      <c r="BB10" s="1763"/>
      <c r="BC10" s="2558"/>
      <c r="BE10" s="861"/>
      <c r="BF10" s="861"/>
      <c r="BG10" s="861"/>
      <c r="BH10" s="861"/>
    </row>
    <row customHeight="1" ht="11.25" hidden="1">
      <c r="A11" s="1729"/>
      <c r="B11" s="1729"/>
      <c r="C11" s="1729"/>
      <c r="D11" s="1729"/>
      <c r="E11" s="2528"/>
      <c r="F11" s="2528"/>
      <c r="G11" s="2528"/>
      <c r="H11" s="2528"/>
      <c r="I11" s="2530"/>
      <c r="J11" s="2530"/>
      <c r="K11" s="2529"/>
      <c r="L11" s="1730"/>
      <c r="P11" s="2531"/>
      <c r="Q11" s="2531"/>
      <c r="R11" s="2607"/>
      <c r="S11" s="2605"/>
      <c r="T11" s="2625"/>
      <c r="U11" s="661"/>
      <c r="V11" s="1759"/>
      <c r="W11" s="1862"/>
      <c r="X11" s="1759"/>
      <c r="Y11" s="1862"/>
      <c r="Z11" s="1759"/>
      <c r="AA11" s="1759"/>
      <c r="AB11" s="1759"/>
      <c r="AC11" s="1759"/>
      <c r="AD11" s="2466"/>
      <c r="AE11" s="2600"/>
      <c r="AF11" s="2478"/>
      <c r="AG11" s="2623"/>
      <c r="AH11" s="2402"/>
      <c r="AI11" s="655"/>
      <c r="AJ11" s="776"/>
      <c r="AK11" s="674" t="s">
        <v>502</v>
      </c>
      <c r="AL11" s="1759"/>
      <c r="AM11" s="1759"/>
      <c r="AN11" s="1759"/>
      <c r="AO11" s="1759"/>
      <c r="AP11" s="1759"/>
      <c r="AQ11" s="1759"/>
      <c r="AR11" s="1759"/>
      <c r="AS11" s="1759"/>
      <c r="AT11" s="1759"/>
      <c r="AU11" s="1862"/>
      <c r="AV11" s="1759"/>
      <c r="AW11" s="1862"/>
      <c r="AX11" s="1759"/>
      <c r="AY11" s="1759"/>
      <c r="AZ11" s="1759"/>
      <c r="BA11" s="1759"/>
      <c r="BB11" s="1763"/>
      <c r="BC11" s="2558"/>
      <c r="BE11" s="861"/>
      <c r="BF11" s="861"/>
      <c r="BG11" s="861"/>
      <c r="BH11" s="861"/>
    </row>
    <row customHeight="1" ht="11.25" hidden="1">
      <c r="A12" s="1729"/>
      <c r="B12" s="1729"/>
      <c r="C12" s="1729"/>
      <c r="D12" s="1729"/>
      <c r="E12" s="2528"/>
      <c r="F12" s="2528"/>
      <c r="G12" s="2528"/>
      <c r="H12" s="2528"/>
      <c r="I12" s="2530"/>
      <c r="J12" s="2530"/>
      <c r="K12" s="2529"/>
      <c r="L12" s="1730"/>
      <c r="P12" s="2531"/>
      <c r="Q12" s="2531"/>
      <c r="R12" s="2607"/>
      <c r="S12" s="2606"/>
      <c r="T12" s="2626"/>
      <c r="U12" s="661"/>
      <c r="V12" s="1759"/>
      <c r="W12" s="1760" t="str">
        <f>Z8&amp;"-"&amp;AB8</f>
        <v>-</v>
      </c>
      <c r="X12" s="1759"/>
      <c r="Y12" s="1760" t="str">
        <f>AB8&amp;"-"&amp;AD8</f>
        <v>-да</v>
      </c>
      <c r="Z12" s="1759"/>
      <c r="AA12" s="1759"/>
      <c r="AB12" s="1759"/>
      <c r="AC12" s="1759"/>
      <c r="AD12" s="2407"/>
      <c r="AE12" s="673"/>
      <c r="AF12" s="675"/>
      <c r="AG12" s="777" t="s">
        <v>503</v>
      </c>
      <c r="AH12" s="1759"/>
      <c r="AI12" s="1759"/>
      <c r="AJ12" s="1759"/>
      <c r="AK12" s="1759"/>
      <c r="AL12" s="1759"/>
      <c r="AM12" s="1759"/>
      <c r="AN12" s="1759"/>
      <c r="AO12" s="1759"/>
      <c r="AP12" s="1759"/>
      <c r="AQ12" s="1759"/>
      <c r="AR12" s="1759"/>
      <c r="AS12" s="1759"/>
      <c r="AT12" s="1759"/>
      <c r="AU12" s="1760" t="str">
        <f>AX8&amp;"-"&amp;AZ8</f>
        <v>-</v>
      </c>
      <c r="AV12" s="1759"/>
      <c r="AW12" s="1760" t="str">
        <f>AZ8&amp;"-"&amp;BB8</f>
        <v>-</v>
      </c>
      <c r="AX12" s="1759"/>
      <c r="AY12" s="1759"/>
      <c r="AZ12" s="1759"/>
      <c r="BA12" s="1759"/>
      <c r="BB12" s="1762" t="str">
        <f>BE8&amp;"-"&amp;BG8</f>
        <v>-</v>
      </c>
      <c r="BC12" s="2558"/>
      <c r="BE12" s="861"/>
      <c r="BF12" s="861" t="str">
        <f>IF(T12="","",T12)</f>
        <v/>
      </c>
      <c r="BG12" s="861"/>
      <c r="BH12" s="861"/>
    </row>
    <row customHeight="1" ht="11.25" hidden="1">
      <c r="A13" s="1729"/>
      <c r="B13" s="1729"/>
      <c r="C13" s="1729"/>
      <c r="D13" s="1729"/>
      <c r="E13" s="2528"/>
      <c r="F13" s="2528"/>
      <c r="G13" s="2528"/>
      <c r="H13" s="2528"/>
      <c r="I13" s="2530"/>
      <c r="J13" s="2529"/>
      <c r="K13" s="1729"/>
      <c r="L13" s="1730"/>
      <c r="P13" s="2531"/>
      <c r="Q13" s="2531"/>
      <c r="R13" s="717"/>
      <c r="S13" s="1644"/>
      <c r="T13" s="648" t="s">
        <v>465</v>
      </c>
      <c r="U13" s="728"/>
      <c r="V13" s="728"/>
      <c r="W13" s="728"/>
      <c r="X13" s="728"/>
      <c r="Y13" s="728"/>
      <c r="Z13" s="728"/>
      <c r="AA13" s="728"/>
      <c r="AB13" s="728"/>
      <c r="AC13" s="728"/>
      <c r="AD13" s="1871"/>
      <c r="AE13" s="728"/>
      <c r="AF13" s="728"/>
      <c r="AG13" s="728"/>
      <c r="AH13" s="728"/>
      <c r="AI13" s="728"/>
      <c r="AJ13" s="728"/>
      <c r="AK13" s="728"/>
      <c r="AL13" s="728"/>
      <c r="AM13" s="728"/>
      <c r="AN13" s="728"/>
      <c r="AO13" s="728"/>
      <c r="AP13" s="728"/>
      <c r="AQ13" s="728"/>
      <c r="AR13" s="728"/>
      <c r="AS13" s="728"/>
      <c r="AT13" s="728"/>
      <c r="AU13" s="728"/>
      <c r="AV13" s="728"/>
      <c r="AW13" s="728"/>
      <c r="AX13" s="728"/>
      <c r="AY13" s="728"/>
      <c r="AZ13" s="728"/>
      <c r="BA13" s="728"/>
      <c r="BB13" s="685"/>
      <c r="BC13" s="2559"/>
      <c r="BE13" s="861"/>
      <c r="BF13" s="861" t="str">
        <f>IF(T13="","",T13)</f>
        <v>Добавить строку</v>
      </c>
      <c r="BG13" s="861"/>
      <c r="BH13" s="861"/>
    </row>
    <row s="19219" customFormat="1" customHeight="1" ht="14.25" hidden="1">
      <c r="A14" s="1709"/>
      <c r="B14" s="1709"/>
      <c r="C14" s="1709"/>
      <c r="D14" s="1709"/>
      <c r="E14" s="2528"/>
      <c r="F14" s="2528"/>
      <c r="G14" s="2528"/>
      <c r="H14" s="2528"/>
      <c r="I14" s="2529"/>
      <c r="J14" s="1709"/>
      <c r="K14" s="1709"/>
      <c r="L14" s="1712"/>
      <c r="M14" s="871"/>
      <c r="N14" s="871"/>
      <c r="O14" s="871"/>
      <c r="P14" s="2531"/>
      <c r="Q14" s="1847"/>
      <c r="R14" s="717"/>
      <c r="S14" s="1752"/>
      <c r="T14" s="1753"/>
      <c r="U14" s="1754"/>
      <c r="V14" s="1754"/>
      <c r="W14" s="1754"/>
      <c r="X14" s="1754"/>
      <c r="Y14" s="1754"/>
      <c r="Z14" s="1754"/>
      <c r="AA14" s="1754"/>
      <c r="AB14" s="1754"/>
      <c r="AC14" s="1754"/>
      <c r="AD14" s="1754"/>
      <c r="AE14" s="1754"/>
      <c r="AF14" s="1754"/>
      <c r="AG14" s="1754"/>
      <c r="AH14" s="1754"/>
      <c r="AI14" s="1754"/>
      <c r="AJ14" s="1754"/>
      <c r="AK14" s="1754"/>
      <c r="AL14" s="1754"/>
      <c r="AM14" s="1754"/>
      <c r="AN14" s="1754"/>
      <c r="AO14" s="1754"/>
      <c r="AP14" s="1754"/>
      <c r="AQ14" s="1754"/>
      <c r="AR14" s="1754"/>
      <c r="AS14" s="1754"/>
      <c r="AT14" s="1754"/>
      <c r="AU14" s="1754"/>
      <c r="AV14" s="1754"/>
      <c r="AW14" s="1754"/>
      <c r="AX14" s="1754"/>
      <c r="AY14" s="1754"/>
      <c r="AZ14" s="1754"/>
      <c r="BA14" s="1754"/>
      <c r="BB14" s="1754"/>
      <c r="BC14" s="1755"/>
      <c r="BE14" s="861"/>
      <c r="BF14" s="861" t="str">
        <f>IF(T14="","",T14)</f>
        <v/>
      </c>
      <c r="BG14" s="861"/>
      <c r="BH14" s="861"/>
    </row>
    <row s="19219" customFormat="1" customHeight="1" ht="14.25" hidden="1">
      <c r="A15" s="1709"/>
      <c r="B15" s="1709"/>
      <c r="C15" s="1709"/>
      <c r="D15" s="1709"/>
      <c r="E15" s="2528"/>
      <c r="F15" s="2528"/>
      <c r="G15" s="2528"/>
      <c r="H15" s="2527"/>
      <c r="I15" s="1709"/>
      <c r="J15" s="1709"/>
      <c r="K15" s="1709"/>
      <c r="L15" s="1712"/>
      <c r="M15" s="1681"/>
      <c r="N15" s="1681"/>
      <c r="O15" s="879"/>
      <c r="P15" s="741"/>
      <c r="Q15" s="1710"/>
      <c r="R15" s="1767"/>
      <c r="S15" s="1752"/>
      <c r="T15" s="1753"/>
      <c r="U15" s="1754"/>
      <c r="V15" s="1754"/>
      <c r="W15" s="1754"/>
      <c r="X15" s="1754"/>
      <c r="Y15" s="1754"/>
      <c r="Z15" s="1754"/>
      <c r="AA15" s="1754"/>
      <c r="AB15" s="1754"/>
      <c r="AC15" s="1754"/>
      <c r="AD15" s="1754"/>
      <c r="AE15" s="1754"/>
      <c r="AF15" s="1754"/>
      <c r="AG15" s="1754"/>
      <c r="AH15" s="1754"/>
      <c r="AI15" s="1754"/>
      <c r="AJ15" s="1754"/>
      <c r="AK15" s="1754"/>
      <c r="AL15" s="1754"/>
      <c r="AM15" s="1754"/>
      <c r="AN15" s="1754"/>
      <c r="AO15" s="1754"/>
      <c r="AP15" s="1754"/>
      <c r="AQ15" s="1754"/>
      <c r="AR15" s="1754"/>
      <c r="AS15" s="1754"/>
      <c r="AT15" s="1754"/>
      <c r="AU15" s="1754"/>
      <c r="AV15" s="1754"/>
      <c r="AW15" s="1754"/>
      <c r="AX15" s="1754"/>
      <c r="AY15" s="1754"/>
      <c r="AZ15" s="1754"/>
      <c r="BA15" s="1754"/>
      <c r="BB15" s="1754"/>
      <c r="BC15" s="1755"/>
      <c r="BE15" s="861"/>
      <c r="BF15" s="861" t="str">
        <f>IF(T15="","",T15)</f>
        <v/>
      </c>
      <c r="BG15" s="861"/>
      <c r="BH15" s="861"/>
    </row>
    <row s="19127" customFormat="1" customHeight="1" ht="14.25" hidden="1">
      <c r="A16" s="1709"/>
      <c r="B16" s="1709"/>
      <c r="C16" s="1709"/>
      <c r="D16" s="1680"/>
      <c r="E16" s="2528"/>
      <c r="F16" s="2528"/>
      <c r="G16" s="2527"/>
      <c r="H16" s="1680"/>
      <c r="I16" s="1680"/>
      <c r="J16" s="1680"/>
      <c r="K16" s="1680"/>
      <c r="L16" s="1860"/>
      <c r="M16" s="1681"/>
      <c r="N16" s="1681"/>
      <c r="P16" s="1682"/>
      <c r="Q16" s="1683"/>
      <c r="R16" s="1682"/>
      <c r="S16" s="1688"/>
      <c r="T16" s="1691"/>
      <c r="U16" s="1690"/>
      <c r="V16" s="1690"/>
      <c r="W16" s="1690"/>
      <c r="X16" s="1690"/>
      <c r="Y16" s="1690"/>
      <c r="Z16" s="1690"/>
      <c r="AA16" s="1690"/>
      <c r="AB16" s="1690"/>
      <c r="AC16" s="1690"/>
      <c r="AD16" s="1690"/>
      <c r="AE16" s="1690"/>
      <c r="AF16" s="1690"/>
      <c r="AG16" s="1690"/>
      <c r="AH16" s="1690"/>
      <c r="AI16" s="1690"/>
      <c r="AJ16" s="1690"/>
      <c r="AK16" s="1690"/>
      <c r="AL16" s="1690"/>
      <c r="AM16" s="1690"/>
      <c r="AN16" s="1690"/>
      <c r="AO16" s="1690"/>
      <c r="AP16" s="1690"/>
      <c r="AQ16" s="1690"/>
      <c r="AR16" s="1690"/>
      <c r="AS16" s="1690"/>
      <c r="AT16" s="1690"/>
      <c r="AU16" s="1690"/>
      <c r="AV16" s="1690"/>
      <c r="AW16" s="1690"/>
      <c r="AX16" s="1690"/>
      <c r="AY16" s="1690"/>
      <c r="AZ16" s="1690"/>
      <c r="BA16" s="1690"/>
      <c r="BB16" s="1690"/>
      <c r="BC16" s="1690"/>
      <c r="BE16" s="1150"/>
      <c r="BF16" s="1150" t="str">
        <f>IF(T16="","",T16)</f>
        <v/>
      </c>
      <c r="BG16" s="1150"/>
      <c r="BH16" s="1150"/>
    </row>
    <row s="19127" customFormat="1" customHeight="1" ht="14.25" hidden="1">
      <c r="A17" s="1709"/>
      <c r="B17" s="1709"/>
      <c r="C17" s="1680"/>
      <c r="D17" s="1680"/>
      <c r="E17" s="2528"/>
      <c r="F17" s="2527"/>
      <c r="G17" s="1680"/>
      <c r="H17" s="1680"/>
      <c r="I17" s="1680"/>
      <c r="J17" s="1680"/>
      <c r="K17" s="1680"/>
      <c r="L17" s="1860"/>
      <c r="M17" s="1687"/>
      <c r="N17" s="1687"/>
      <c r="P17" s="1682"/>
      <c r="Q17" s="1683"/>
      <c r="R17" s="1682"/>
      <c r="S17" s="1688"/>
      <c r="T17" s="1691" t="s">
        <v>251</v>
      </c>
      <c r="U17" s="1690"/>
      <c r="V17" s="1690"/>
      <c r="W17" s="1690"/>
      <c r="X17" s="1690"/>
      <c r="Y17" s="1690"/>
      <c r="Z17" s="1690"/>
      <c r="AA17" s="1690"/>
      <c r="AB17" s="1690"/>
      <c r="AC17" s="1690"/>
      <c r="AD17" s="1690"/>
      <c r="AE17" s="1690"/>
      <c r="AF17" s="1690"/>
      <c r="AG17" s="1690"/>
      <c r="AH17" s="1690"/>
      <c r="AI17" s="1690"/>
      <c r="AJ17" s="1690"/>
      <c r="AK17" s="1690"/>
      <c r="AL17" s="1690"/>
      <c r="AM17" s="1690"/>
      <c r="AN17" s="1690"/>
      <c r="AO17" s="1690"/>
      <c r="AP17" s="1690"/>
      <c r="AQ17" s="1690"/>
      <c r="AR17" s="1690"/>
      <c r="AS17" s="1690"/>
      <c r="AT17" s="1690"/>
      <c r="AU17" s="1690"/>
      <c r="AV17" s="1690"/>
      <c r="AW17" s="1690"/>
      <c r="AX17" s="1690"/>
      <c r="AY17" s="1690"/>
      <c r="AZ17" s="1690"/>
      <c r="BA17" s="1690"/>
      <c r="BB17" s="1690"/>
      <c r="BC17" s="1690"/>
      <c r="BE17" s="1150"/>
      <c r="BF17" s="1150" t="str">
        <f>IF(T17="","",T17)</f>
        <v>Добавить централизованную систему для дифференциации</v>
      </c>
      <c r="BG17" s="1150"/>
      <c r="BH17" s="1150"/>
    </row>
    <row s="19219" customFormat="1" customHeight="1" ht="14.25" hidden="1">
      <c r="A18" s="1709"/>
      <c r="B18" s="1709"/>
      <c r="C18" s="1709"/>
      <c r="D18" s="1709"/>
      <c r="E18" s="2527"/>
      <c r="F18" s="1709"/>
      <c r="G18" s="1709"/>
      <c r="H18" s="1709"/>
      <c r="I18" s="1709"/>
      <c r="J18" s="1709"/>
      <c r="K18" s="1709"/>
      <c r="L18" s="1712"/>
      <c r="M18" s="1687"/>
      <c r="N18" s="1687"/>
      <c r="O18" s="879"/>
      <c r="P18" s="741"/>
      <c r="Q18" s="1710"/>
      <c r="R18" s="741"/>
      <c r="S18" s="1688"/>
      <c r="T18" s="1691" t="s">
        <v>252</v>
      </c>
      <c r="U18" s="1690"/>
      <c r="V18" s="1690"/>
      <c r="W18" s="1690"/>
      <c r="X18" s="1690"/>
      <c r="Y18" s="1690"/>
      <c r="Z18" s="1690"/>
      <c r="AA18" s="1690"/>
      <c r="AB18" s="1690"/>
      <c r="AC18" s="1690"/>
      <c r="AD18" s="1690"/>
      <c r="AE18" s="1690"/>
      <c r="AF18" s="1690"/>
      <c r="AG18" s="1690"/>
      <c r="AH18" s="1690"/>
      <c r="AI18" s="1690"/>
      <c r="AJ18" s="1690"/>
      <c r="AK18" s="1690"/>
      <c r="AL18" s="1690"/>
      <c r="AM18" s="1690"/>
      <c r="AN18" s="1690"/>
      <c r="AO18" s="1690"/>
      <c r="AP18" s="1690"/>
      <c r="AQ18" s="1690"/>
      <c r="AR18" s="1690"/>
      <c r="AS18" s="1690"/>
      <c r="AT18" s="1690"/>
      <c r="AU18" s="1690"/>
      <c r="AV18" s="1690"/>
      <c r="AW18" s="1690"/>
      <c r="AX18" s="1690"/>
      <c r="AY18" s="1690"/>
      <c r="AZ18" s="1690"/>
      <c r="BA18" s="1690"/>
      <c r="BB18" s="1690"/>
      <c r="BC18" s="1690"/>
      <c r="BE18" s="861"/>
      <c r="BF18" s="861" t="str">
        <f>IF(T18="","",T18)</f>
        <v>Добавить территорию для дифференциации</v>
      </c>
      <c r="BG18" s="861"/>
      <c r="BH18" s="861"/>
    </row>
    <row customHeight="1" ht="14.25" hidden="1">
      <c r="AC19" s="688"/>
      <c r="BA19" s="688"/>
    </row>
    <row customHeight="1" ht="14.25" hidden="1">
      <c r="AD20" s="1690" t="s">
        <v>54</v>
      </c>
      <c r="AE20" s="1867"/>
      <c r="AF20" s="909">
        <v>1</v>
      </c>
      <c r="AG20" s="1868"/>
      <c r="AH20" s="1690" t="s">
        <v>54</v>
      </c>
      <c r="AI20" s="1867"/>
      <c r="AJ20" s="909">
        <v>1</v>
      </c>
      <c r="AK20" s="1868"/>
      <c r="AL20" s="1690" t="s">
        <v>54</v>
      </c>
      <c r="AM20" s="1869"/>
      <c r="AN20" s="909">
        <v>1</v>
      </c>
      <c r="AO20" s="1870"/>
      <c r="AP20" s="1690" t="s">
        <v>54</v>
      </c>
      <c r="AQ20" s="1869"/>
      <c r="AR20" s="909">
        <v>1</v>
      </c>
      <c r="AS20" s="1870"/>
      <c r="AT20" s="686"/>
      <c r="AU20" s="745"/>
      <c r="AV20" s="686"/>
      <c r="AW20" s="745"/>
      <c r="AX20" s="2102"/>
      <c r="AY20" s="1851" t="s">
        <v>59</v>
      </c>
      <c r="AZ20" s="2102"/>
      <c r="BA20" s="1851" t="s">
        <v>59</v>
      </c>
    </row>
    <row customHeight="1" ht="14.25" hidden="1">
      <c r="BD21" s="857"/>
      <c r="BE21" s="857"/>
      <c r="BF21" s="857"/>
      <c r="BG21" s="857"/>
      <c r="BH21" s="857"/>
    </row>
    <row customHeight="1" ht="14.25" hidden="1">
      <c r="O22" s="1733" t="s">
        <v>415</v>
      </c>
      <c r="Z22" s="1711"/>
      <c r="AB22" s="1711"/>
      <c r="AC22" s="688"/>
      <c r="AX22" s="1711"/>
      <c r="AZ22" s="1711"/>
      <c r="BA22" s="688"/>
      <c r="BD22" s="857"/>
      <c r="BE22" s="857"/>
      <c r="BF22" s="857"/>
      <c r="BG22" s="857"/>
      <c r="BH22" s="857"/>
    </row>
    <row customHeight="1" ht="14.25" hidden="1">
      <c r="AC23" s="688"/>
      <c r="BA23" s="688"/>
      <c r="BD23" s="857"/>
      <c r="BE23" s="857"/>
      <c r="BF23" s="857"/>
      <c r="BG23" s="857"/>
      <c r="BH23" s="857"/>
    </row>
    <row s="19375" customFormat="1" customHeight="1" ht="14.25" hidden="1">
      <c r="M24" s="1874"/>
      <c r="N24" s="1874"/>
      <c r="O24" s="1875" t="s">
        <v>416</v>
      </c>
      <c r="P24" s="1874"/>
      <c r="Q24" s="1876"/>
      <c r="R24" s="1876"/>
      <c r="AA24" s="1873" t="s">
        <v>418</v>
      </c>
      <c r="AC24" s="1873" t="s">
        <v>419</v>
      </c>
      <c r="AD24" s="1873" t="s">
        <v>466</v>
      </c>
      <c r="AH24" s="1873" t="s">
        <v>466</v>
      </c>
      <c r="AK24" s="1873" t="s">
        <v>504</v>
      </c>
      <c r="AL24" s="1873" t="s">
        <v>466</v>
      </c>
      <c r="AP24" s="1873" t="s">
        <v>466</v>
      </c>
      <c r="AY24" s="1873" t="s">
        <v>418</v>
      </c>
      <c r="BA24" s="1873" t="s">
        <v>419</v>
      </c>
      <c r="BD24" s="1877"/>
      <c r="BE24" s="1877"/>
      <c r="BF24" s="1877"/>
      <c r="BG24" s="1877"/>
      <c r="BH24" s="1877"/>
    </row>
    <row customHeight="1" ht="14.25" hidden="1">
      <c r="O25" s="1730"/>
      <c r="BD25" s="857"/>
      <c r="BE25" s="857"/>
      <c r="BF25" s="857"/>
      <c r="BG25" s="857"/>
      <c r="BH25" s="857"/>
    </row>
    <row customHeight="1" ht="14.25" hidden="1">
      <c r="O26" s="1730"/>
      <c r="BD26" s="857"/>
      <c r="BE26" s="857"/>
      <c r="BF26" s="857"/>
      <c r="BG26" s="857"/>
      <c r="BH26" s="857"/>
    </row>
    <row customHeight="1" ht="14.25">
      <c r="Q27" s="652"/>
      <c r="R27" s="737"/>
      <c r="S27" s="1641"/>
      <c r="T27" s="724"/>
      <c r="U27" s="724"/>
      <c r="V27" s="870"/>
      <c r="W27" s="870"/>
      <c r="X27" s="870"/>
      <c r="Y27" s="870"/>
      <c r="Z27" s="870"/>
      <c r="AA27" s="870"/>
      <c r="AB27" s="870"/>
      <c r="AC27" s="870"/>
      <c r="AD27" s="870"/>
      <c r="AE27" s="870"/>
      <c r="AF27" s="870"/>
      <c r="AG27" s="870"/>
      <c r="AH27" s="870"/>
      <c r="AI27" s="870"/>
      <c r="AJ27" s="870"/>
      <c r="AK27" s="870"/>
      <c r="AL27" s="870"/>
      <c r="AM27" s="870"/>
      <c r="AN27" s="870"/>
      <c r="AO27" s="870"/>
      <c r="AP27" s="870"/>
      <c r="AQ27" s="870"/>
      <c r="AR27" s="870"/>
      <c r="AS27" s="870"/>
      <c r="AT27" s="870"/>
      <c r="AU27" s="870"/>
      <c r="AV27" s="870"/>
      <c r="AW27" s="870"/>
      <c r="AX27" s="870"/>
      <c r="AY27" s="870"/>
      <c r="AZ27" s="870"/>
      <c r="BA27" s="870"/>
    </row>
    <row customHeight="1" ht="14.25">
      <c r="Q28" s="652"/>
      <c r="R28" s="737"/>
      <c r="S28" s="256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560"/>
      <c r="U28" s="2560"/>
      <c r="V28" s="2560"/>
      <c r="W28" s="2560"/>
      <c r="X28" s="2560"/>
      <c r="Y28" s="2560"/>
      <c r="Z28" s="2560"/>
      <c r="AA28" s="2560"/>
      <c r="AB28" s="2560"/>
      <c r="AC28" s="2560"/>
      <c r="AD28" s="2560"/>
      <c r="AE28" s="2560"/>
      <c r="AF28" s="2560"/>
      <c r="AG28" s="2560"/>
      <c r="AH28" s="2560"/>
      <c r="AI28" s="2560"/>
      <c r="AJ28" s="2560"/>
      <c r="AK28" s="2560"/>
      <c r="AL28" s="2560"/>
      <c r="AM28" s="2560"/>
      <c r="AN28" s="2560"/>
      <c r="AO28" s="2560"/>
      <c r="AP28" s="2560"/>
      <c r="AQ28" s="2560"/>
      <c r="AR28" s="2560"/>
      <c r="AS28" s="2560"/>
      <c r="AT28" s="2560"/>
      <c r="AU28" s="2560"/>
      <c r="AV28" s="2560"/>
      <c r="AW28" s="2560"/>
      <c r="AX28" s="2560"/>
      <c r="AY28" s="2560"/>
      <c r="AZ28" s="2560"/>
      <c r="BA28" s="1608"/>
    </row>
    <row customHeight="1" ht="14.25">
      <c r="Q29" s="652"/>
      <c r="R29" s="737"/>
      <c r="S29" s="2561" t="str">
        <f>IF(org=0,"Не определено",org)</f>
        <v>Филиал "Шатурская ГРЭС" ПАО "Юнипро"</v>
      </c>
      <c r="T29" s="2561"/>
      <c r="U29" s="2561"/>
      <c r="V29" s="2561"/>
      <c r="W29" s="2561"/>
      <c r="X29" s="2561"/>
      <c r="Y29" s="2561"/>
      <c r="Z29" s="2561"/>
      <c r="AA29" s="2561"/>
      <c r="AB29" s="2561"/>
      <c r="AC29" s="2561"/>
      <c r="AD29" s="2561"/>
      <c r="AE29" s="2561"/>
      <c r="AF29" s="2561"/>
      <c r="AG29" s="2561"/>
      <c r="AH29" s="2561"/>
      <c r="AI29" s="2561"/>
      <c r="AJ29" s="2561"/>
      <c r="AK29" s="2561"/>
      <c r="AL29" s="2561"/>
      <c r="AM29" s="2561"/>
      <c r="AN29" s="2561"/>
      <c r="AO29" s="2561"/>
      <c r="AP29" s="2561"/>
      <c r="AQ29" s="2561"/>
      <c r="AR29" s="2561"/>
      <c r="AS29" s="2561"/>
      <c r="AT29" s="2561"/>
      <c r="AU29" s="2561"/>
      <c r="AV29" s="2561"/>
      <c r="AW29" s="2561"/>
      <c r="AX29" s="2561"/>
      <c r="AY29" s="2561"/>
      <c r="AZ29" s="2561"/>
      <c r="BA29" s="1608"/>
    </row>
    <row customHeight="1" ht="14.25">
      <c r="Q30" s="652"/>
      <c r="R30" s="737"/>
      <c r="S30" s="1641"/>
      <c r="T30" s="724"/>
      <c r="U30" s="724"/>
      <c r="V30" s="683"/>
      <c r="W30" s="683"/>
      <c r="X30" s="683"/>
      <c r="Y30" s="683"/>
      <c r="Z30" s="683"/>
      <c r="AA30" s="683"/>
      <c r="AB30" s="683"/>
      <c r="AC30" s="683"/>
      <c r="AD30" s="683"/>
      <c r="AE30" s="683"/>
      <c r="AF30" s="683"/>
      <c r="AG30" s="683"/>
      <c r="AH30" s="683"/>
      <c r="AI30" s="683"/>
      <c r="AJ30" s="683"/>
      <c r="AK30" s="683"/>
      <c r="AL30" s="683"/>
      <c r="AM30" s="683"/>
      <c r="AN30" s="683"/>
      <c r="AO30" s="683"/>
      <c r="AP30" s="683"/>
      <c r="AQ30" s="683"/>
      <c r="AR30" s="683"/>
      <c r="AS30" s="683"/>
      <c r="AT30" s="683"/>
      <c r="AU30" s="683"/>
      <c r="AV30" s="683"/>
      <c r="AW30" s="683"/>
      <c r="AX30" s="683"/>
      <c r="AY30" s="683"/>
      <c r="AZ30" s="683"/>
      <c r="BA30" s="683"/>
      <c r="BB30" s="870"/>
    </row>
    <row s="19160" customFormat="1" customHeight="1" ht="25.5">
      <c r="A31" s="1734"/>
      <c r="B31" s="1734"/>
      <c r="C31" s="1734"/>
      <c r="D31" s="1734"/>
      <c r="E31" s="1734"/>
      <c r="F31" s="1734"/>
      <c r="G31" s="1734"/>
      <c r="H31" s="1734"/>
      <c r="I31" s="1734"/>
      <c r="J31" s="1734"/>
      <c r="K31" s="1734"/>
      <c r="L31" s="1735"/>
      <c r="M31" s="1734"/>
      <c r="N31" s="1734"/>
      <c r="O31" s="1734"/>
      <c r="P31" s="1734"/>
      <c r="Q31" s="1734"/>
      <c r="S31" s="2518" t="s">
        <v>38</v>
      </c>
      <c r="T31" s="2518"/>
      <c r="U31" s="1738"/>
      <c r="V31" s="2520" t="str">
        <f>IF(TITLE_NAME_OR_PR_CHANGE="",IF(TITLE_NAME_OR_PR="","",TITLE_NAME_OR_PR),TITLE_NAME_OR_PR_CHANGE)</f>
        <v>Комитет по ценам и тарифам по Московской области</v>
      </c>
      <c r="W31" s="2520"/>
      <c r="X31" s="2520"/>
      <c r="Y31" s="2520"/>
      <c r="Z31" s="2520"/>
      <c r="AA31" s="2520"/>
      <c r="AB31" s="2520"/>
      <c r="AC31" s="687"/>
      <c r="AD31" s="2520" t="str">
        <f>IF(TITLE_NAME_OR_PR_CHANGE="",IF(TITLE_NAME_OR_PR="","",TITLE_NAME_OR_PR),TITLE_NAME_OR_PR_CHANGE)</f>
        <v>Комитет по ценам и тарифам по Московской области</v>
      </c>
      <c r="AE31" s="2520"/>
      <c r="AF31" s="2520"/>
      <c r="AG31" s="2520"/>
      <c r="AH31" s="2520"/>
      <c r="AI31" s="2520"/>
      <c r="AJ31" s="2520"/>
      <c r="AK31" s="2520"/>
      <c r="AL31" s="2520"/>
      <c r="AM31" s="2520"/>
      <c r="AN31" s="2520"/>
      <c r="AO31" s="2520"/>
      <c r="AP31" s="2520"/>
      <c r="AQ31" s="2520"/>
      <c r="AR31" s="2520"/>
      <c r="AS31" s="2520"/>
      <c r="AT31" s="2520"/>
      <c r="AU31" s="2520"/>
      <c r="AV31" s="2520"/>
      <c r="AW31" s="2520"/>
      <c r="AX31" s="2520"/>
      <c r="AY31" s="2520"/>
      <c r="AZ31" s="2520"/>
      <c r="BA31" s="687"/>
      <c r="BB31" s="687"/>
      <c r="BC31" s="641"/>
      <c r="BD31" s="729"/>
      <c r="BE31" s="729"/>
      <c r="BF31" s="729"/>
      <c r="BG31" s="729"/>
      <c r="BH31" s="729"/>
    </row>
    <row s="19160" customFormat="1" customHeight="1" ht="18.75">
      <c r="A32" s="1734"/>
      <c r="B32" s="1734"/>
      <c r="C32" s="1734"/>
      <c r="D32" s="1734"/>
      <c r="E32" s="1734"/>
      <c r="F32" s="1734"/>
      <c r="G32" s="1734"/>
      <c r="H32" s="1734"/>
      <c r="I32" s="1734"/>
      <c r="J32" s="1734"/>
      <c r="K32" s="1734"/>
      <c r="L32" s="1735"/>
      <c r="M32" s="1734"/>
      <c r="N32" s="1734"/>
      <c r="O32" s="1734"/>
      <c r="P32" s="1734"/>
      <c r="Q32" s="1734"/>
      <c r="S32" s="2518" t="s">
        <v>421</v>
      </c>
      <c r="T32" s="2518"/>
      <c r="U32" s="1738"/>
      <c r="V32" s="2519" t="str">
        <f>IF(TITLE_DATE_PR_CHANGE="",IF(TITLE_DATE_PR="","",TITLE_DATE_PR),TITLE_DATE_PR_CHANGE)</f>
        <v>45280.70914351852</v>
      </c>
      <c r="W32" s="2519"/>
      <c r="X32" s="2519"/>
      <c r="Y32" s="2519"/>
      <c r="Z32" s="2519"/>
      <c r="AA32" s="2519"/>
      <c r="AB32" s="2519"/>
      <c r="AC32" s="687"/>
      <c r="AD32" s="2519" t="str">
        <f>IF(TITLE_DATE_PR_CHANGE="",IF(TITLE_DATE_PR="","",TITLE_DATE_PR),TITLE_DATE_PR_CHANGE)</f>
        <v>45280.70914351852</v>
      </c>
      <c r="AE32" s="2519"/>
      <c r="AF32" s="2519"/>
      <c r="AG32" s="2519"/>
      <c r="AH32" s="2519"/>
      <c r="AI32" s="2519"/>
      <c r="AJ32" s="2519"/>
      <c r="AK32" s="2519"/>
      <c r="AL32" s="2519"/>
      <c r="AM32" s="2519"/>
      <c r="AN32" s="2519"/>
      <c r="AO32" s="2519"/>
      <c r="AP32" s="2519"/>
      <c r="AQ32" s="2519"/>
      <c r="AR32" s="2519"/>
      <c r="AS32" s="2519"/>
      <c r="AT32" s="2519"/>
      <c r="AU32" s="2519"/>
      <c r="AV32" s="2519"/>
      <c r="AW32" s="2519"/>
      <c r="AX32" s="2519"/>
      <c r="AY32" s="2519"/>
      <c r="AZ32" s="2519"/>
      <c r="BA32" s="687"/>
      <c r="BB32" s="687"/>
      <c r="BC32" s="641"/>
      <c r="BD32" s="729"/>
      <c r="BE32" s="729"/>
      <c r="BF32" s="729"/>
      <c r="BG32" s="729"/>
      <c r="BH32" s="729"/>
    </row>
    <row s="19160" customFormat="1" customHeight="1" ht="18.75">
      <c r="A33" s="1734"/>
      <c r="B33" s="1734"/>
      <c r="C33" s="1734"/>
      <c r="D33" s="1734"/>
      <c r="E33" s="1734"/>
      <c r="F33" s="1734"/>
      <c r="G33" s="1734"/>
      <c r="H33" s="1734"/>
      <c r="I33" s="1734"/>
      <c r="J33" s="1734"/>
      <c r="K33" s="1734"/>
      <c r="L33" s="1735"/>
      <c r="M33" s="1734"/>
      <c r="N33" s="1734"/>
      <c r="O33" s="1734"/>
      <c r="P33" s="1734"/>
      <c r="Q33" s="1734"/>
      <c r="S33" s="2518" t="s">
        <v>422</v>
      </c>
      <c r="T33" s="2518"/>
      <c r="U33" s="1738"/>
      <c r="V33" s="2520" t="str">
        <f>IF(TITLE_NUMBER_PR_CHANGE="",IF(TITLE_NUMBER_PR="","",TITLE_NUMBER_PR),TITLE_NUMBER_PR_CHANGE)</f>
        <v>317-Р</v>
      </c>
      <c r="W33" s="2520"/>
      <c r="X33" s="2520"/>
      <c r="Y33" s="2520"/>
      <c r="Z33" s="2520"/>
      <c r="AA33" s="2520"/>
      <c r="AB33" s="2520"/>
      <c r="AC33" s="687"/>
      <c r="AD33" s="2520" t="str">
        <f>IF(TITLE_NUMBER_PR_CHANGE="",IF(TITLE_NUMBER_PR="","",TITLE_NUMBER_PR),TITLE_NUMBER_PR_CHANGE)</f>
        <v>317-Р</v>
      </c>
      <c r="AE33" s="2520"/>
      <c r="AF33" s="2520"/>
      <c r="AG33" s="2520"/>
      <c r="AH33" s="2520"/>
      <c r="AI33" s="2520"/>
      <c r="AJ33" s="2520"/>
      <c r="AK33" s="2520"/>
      <c r="AL33" s="2520"/>
      <c r="AM33" s="2520"/>
      <c r="AN33" s="2520"/>
      <c r="AO33" s="2520"/>
      <c r="AP33" s="2520"/>
      <c r="AQ33" s="2520"/>
      <c r="AR33" s="2520"/>
      <c r="AS33" s="2520"/>
      <c r="AT33" s="2520"/>
      <c r="AU33" s="2520"/>
      <c r="AV33" s="2520"/>
      <c r="AW33" s="2520"/>
      <c r="AX33" s="2520"/>
      <c r="AY33" s="2520"/>
      <c r="AZ33" s="2520"/>
      <c r="BA33" s="687"/>
      <c r="BB33" s="687"/>
      <c r="BC33" s="641"/>
      <c r="BD33" s="729"/>
      <c r="BE33" s="729"/>
      <c r="BF33" s="729"/>
      <c r="BG33" s="729"/>
      <c r="BH33" s="729"/>
    </row>
    <row s="19160" customFormat="1" customHeight="1" ht="18.75">
      <c r="A34" s="1734"/>
      <c r="B34" s="1734"/>
      <c r="C34" s="1734"/>
      <c r="D34" s="1734"/>
      <c r="E34" s="1734"/>
      <c r="F34" s="1734"/>
      <c r="G34" s="1734"/>
      <c r="H34" s="1734"/>
      <c r="I34" s="1734"/>
      <c r="J34" s="1734"/>
      <c r="K34" s="1734"/>
      <c r="L34" s="1735"/>
      <c r="M34" s="1734"/>
      <c r="N34" s="1734"/>
      <c r="O34" s="1734"/>
      <c r="P34" s="1734"/>
      <c r="Q34" s="1734"/>
      <c r="S34" s="2518" t="s">
        <v>40</v>
      </c>
      <c r="T34" s="2518"/>
      <c r="U34" s="1738"/>
      <c r="V34"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4" s="2520"/>
      <c r="X34" s="2520"/>
      <c r="Y34" s="2520"/>
      <c r="Z34" s="2520"/>
      <c r="AA34" s="2520"/>
      <c r="AB34" s="2520"/>
      <c r="AC34" s="687"/>
      <c r="AD34"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4" s="2520"/>
      <c r="AF34" s="2520"/>
      <c r="AG34" s="2520"/>
      <c r="AH34" s="2520"/>
      <c r="AI34" s="2520"/>
      <c r="AJ34" s="2520"/>
      <c r="AK34" s="2520"/>
      <c r="AL34" s="2520"/>
      <c r="AM34" s="2520"/>
      <c r="AN34" s="2520"/>
      <c r="AO34" s="2520"/>
      <c r="AP34" s="2520"/>
      <c r="AQ34" s="2520"/>
      <c r="AR34" s="2520"/>
      <c r="AS34" s="2520"/>
      <c r="AT34" s="2520"/>
      <c r="AU34" s="2520"/>
      <c r="AV34" s="2520"/>
      <c r="AW34" s="2520"/>
      <c r="AX34" s="2520"/>
      <c r="AY34" s="2520"/>
      <c r="AZ34" s="2520"/>
      <c r="BA34" s="687"/>
      <c r="BB34" s="687"/>
      <c r="BC34" s="641"/>
      <c r="BD34" s="729"/>
      <c r="BE34" s="729"/>
      <c r="BF34" s="729"/>
      <c r="BG34" s="729"/>
      <c r="BH34" s="729"/>
    </row>
    <row customHeight="1" ht="14.25" hidden="1">
      <c r="Q35" s="652"/>
      <c r="R35" s="737"/>
      <c r="S35" s="1641"/>
      <c r="T35" s="724"/>
      <c r="U35" s="724"/>
      <c r="V35" s="683"/>
      <c r="W35" s="683"/>
      <c r="X35" s="683"/>
      <c r="Y35" s="683"/>
      <c r="Z35" s="683"/>
      <c r="AA35" s="683"/>
      <c r="AB35" s="683"/>
      <c r="AC35" s="683"/>
      <c r="AD35" s="683"/>
      <c r="AE35" s="683"/>
      <c r="AF35" s="683"/>
      <c r="AG35" s="683"/>
      <c r="AH35" s="683"/>
      <c r="AI35" s="683"/>
      <c r="AJ35" s="683"/>
      <c r="AK35" s="683"/>
      <c r="AL35" s="683"/>
      <c r="AM35" s="683"/>
      <c r="AN35" s="683"/>
      <c r="AO35" s="683"/>
      <c r="AP35" s="683"/>
      <c r="AQ35" s="683"/>
      <c r="AR35" s="683"/>
      <c r="AS35" s="683"/>
      <c r="AT35" s="683"/>
      <c r="AU35" s="683"/>
      <c r="AV35" s="683"/>
      <c r="AW35" s="683"/>
      <c r="AX35" s="683"/>
      <c r="AY35" s="683"/>
      <c r="AZ35" s="683"/>
      <c r="BA35" s="683"/>
      <c r="BB35" s="870"/>
    </row>
    <row s="19160" customFormat="1" customHeight="1" ht="18.75" hidden="1">
      <c r="A36" s="1734"/>
      <c r="B36" s="1734"/>
      <c r="C36" s="1734"/>
      <c r="D36" s="1734"/>
      <c r="E36" s="1734"/>
      <c r="F36" s="1734"/>
      <c r="G36" s="1734"/>
      <c r="H36" s="1734"/>
      <c r="I36" s="1734"/>
      <c r="J36" s="1734"/>
      <c r="K36" s="1734"/>
      <c r="L36" s="1735"/>
      <c r="M36" s="1734"/>
      <c r="N36" s="1734"/>
      <c r="O36" s="1734"/>
      <c r="P36" s="1734"/>
      <c r="Q36" s="1734"/>
      <c r="S36" s="2518" t="s">
        <v>421</v>
      </c>
      <c r="T36" s="2518"/>
      <c r="U36" s="1738"/>
      <c r="V36" s="2519" t="str">
        <f>IF(TITLE_DATE_PR_CHANGE="",IF(TITLE_DATE_PR="","",TITLE_DATE_PR),TITLE_DATE_PR_CHANGE)</f>
        <v>45280.70914351852</v>
      </c>
      <c r="W36" s="2519"/>
      <c r="X36" s="2519"/>
      <c r="Y36" s="2519"/>
      <c r="Z36" s="2519"/>
      <c r="AA36" s="2519"/>
      <c r="AB36" s="2519"/>
      <c r="AC36" s="687"/>
      <c r="AD36" s="2519" t="str">
        <f>IF(TITLE_DATE_PR_CHANGE="",IF(TITLE_DATE_PR="","",TITLE_DATE_PR),TITLE_DATE_PR_CHANGE)</f>
        <v>45280.70914351852</v>
      </c>
      <c r="AE36" s="2519"/>
      <c r="AF36" s="2519"/>
      <c r="AG36" s="2519"/>
      <c r="AH36" s="2519"/>
      <c r="AI36" s="2519"/>
      <c r="AJ36" s="2519"/>
      <c r="AK36" s="2519"/>
      <c r="AL36" s="2519"/>
      <c r="AM36" s="2519"/>
      <c r="AN36" s="2519"/>
      <c r="AO36" s="2519"/>
      <c r="AP36" s="2519"/>
      <c r="AQ36" s="2519"/>
      <c r="AR36" s="2519"/>
      <c r="AS36" s="2519"/>
      <c r="AT36" s="2519"/>
      <c r="AU36" s="2519"/>
      <c r="AV36" s="2519"/>
      <c r="AW36" s="2519"/>
      <c r="AX36" s="2519"/>
      <c r="AY36" s="2519"/>
      <c r="AZ36" s="2519"/>
      <c r="BA36" s="687"/>
      <c r="BB36" s="687"/>
      <c r="BC36" s="641"/>
      <c r="BD36" s="729"/>
      <c r="BE36" s="729"/>
      <c r="BF36" s="729"/>
      <c r="BG36" s="729"/>
      <c r="BH36" s="729"/>
    </row>
    <row s="19160" customFormat="1" customHeight="1" ht="18.75" hidden="1">
      <c r="A37" s="1734"/>
      <c r="B37" s="1734"/>
      <c r="C37" s="1734"/>
      <c r="D37" s="1734"/>
      <c r="E37" s="1734"/>
      <c r="F37" s="1734"/>
      <c r="G37" s="1734"/>
      <c r="H37" s="1734"/>
      <c r="I37" s="1734"/>
      <c r="J37" s="1734"/>
      <c r="K37" s="1734"/>
      <c r="L37" s="1735"/>
      <c r="M37" s="1734"/>
      <c r="N37" s="1734"/>
      <c r="O37" s="1734"/>
      <c r="P37" s="1734"/>
      <c r="Q37" s="1734"/>
      <c r="S37" s="2518" t="s">
        <v>422</v>
      </c>
      <c r="T37" s="2518"/>
      <c r="U37" s="1738"/>
      <c r="V37" s="2520" t="str">
        <f>IF(TITLE_NUMBER_PR_CHANGE="",IF(TITLE_NUMBER_PR="","",TITLE_NUMBER_PR),TITLE_NUMBER_PR_CHANGE)</f>
        <v>317-Р</v>
      </c>
      <c r="W37" s="2520"/>
      <c r="X37" s="2520"/>
      <c r="Y37" s="2520"/>
      <c r="Z37" s="2520"/>
      <c r="AA37" s="2520"/>
      <c r="AB37" s="2520"/>
      <c r="AC37" s="687"/>
      <c r="AD37" s="2520" t="str">
        <f>IF(TITLE_NUMBER_PR_CHANGE="",IF(TITLE_NUMBER_PR="","",TITLE_NUMBER_PR),TITLE_NUMBER_PR_CHANGE)</f>
        <v>317-Р</v>
      </c>
      <c r="AE37" s="2520"/>
      <c r="AF37" s="2520"/>
      <c r="AG37" s="2520"/>
      <c r="AH37" s="2520"/>
      <c r="AI37" s="2520"/>
      <c r="AJ37" s="2520"/>
      <c r="AK37" s="2520"/>
      <c r="AL37" s="2520"/>
      <c r="AM37" s="2520"/>
      <c r="AN37" s="2520"/>
      <c r="AO37" s="2520"/>
      <c r="AP37" s="2520"/>
      <c r="AQ37" s="2520"/>
      <c r="AR37" s="2520"/>
      <c r="AS37" s="2520"/>
      <c r="AT37" s="2520"/>
      <c r="AU37" s="2520"/>
      <c r="AV37" s="2520"/>
      <c r="AW37" s="2520"/>
      <c r="AX37" s="2520"/>
      <c r="AY37" s="2520"/>
      <c r="AZ37" s="2520"/>
      <c r="BA37" s="687"/>
      <c r="BB37" s="687"/>
      <c r="BC37" s="641"/>
      <c r="BD37" s="729"/>
      <c r="BE37" s="729"/>
      <c r="BF37" s="729"/>
      <c r="BG37" s="729"/>
      <c r="BH37" s="729"/>
    </row>
    <row s="19160" customFormat="1" customHeight="1" ht="0">
      <c r="A38" s="1734"/>
      <c r="B38" s="1734"/>
      <c r="C38" s="1734"/>
      <c r="D38" s="1734"/>
      <c r="E38" s="1734"/>
      <c r="F38" s="1734"/>
      <c r="G38" s="1734"/>
      <c r="H38" s="1734"/>
      <c r="I38" s="1734"/>
      <c r="J38" s="1734"/>
      <c r="K38" s="1734"/>
      <c r="L38" s="1735"/>
      <c r="M38" s="1734"/>
      <c r="N38" s="1734"/>
      <c r="O38" s="1734"/>
      <c r="P38" s="1734"/>
      <c r="Q38" s="1734"/>
      <c r="S38" s="684"/>
      <c r="T38" s="684"/>
      <c r="U38" s="1854"/>
      <c r="V38" s="687"/>
      <c r="W38" s="687"/>
      <c r="X38" s="687"/>
      <c r="Y38" s="687"/>
      <c r="Z38" s="687"/>
      <c r="AA38" s="687"/>
      <c r="AB38" s="687"/>
      <c r="AC38" s="639" t="s">
        <v>425</v>
      </c>
      <c r="AD38" s="687"/>
      <c r="AE38" s="687"/>
      <c r="AF38" s="687"/>
      <c r="AG38" s="687"/>
      <c r="AH38" s="687"/>
      <c r="AI38" s="687"/>
      <c r="AJ38" s="687"/>
      <c r="AK38" s="687"/>
      <c r="AL38" s="687"/>
      <c r="AM38" s="687"/>
      <c r="AN38" s="687"/>
      <c r="AO38" s="687"/>
      <c r="AP38" s="687"/>
      <c r="AQ38" s="687"/>
      <c r="AR38" s="687"/>
      <c r="AS38" s="687"/>
      <c r="AT38" s="687"/>
      <c r="AU38" s="687"/>
      <c r="AV38" s="687"/>
      <c r="AW38" s="687"/>
      <c r="AX38" s="687"/>
      <c r="AY38" s="687"/>
      <c r="AZ38" s="687"/>
      <c r="BA38" s="639" t="s">
        <v>425</v>
      </c>
      <c r="BD38" s="729"/>
      <c r="BE38" s="729"/>
      <c r="BF38" s="729"/>
      <c r="BG38" s="729"/>
      <c r="BH38" s="729"/>
    </row>
    <row customHeight="1" ht="14.25">
      <c r="Q39" s="652"/>
      <c r="R39" s="737"/>
      <c r="S39" s="1641"/>
      <c r="T39" s="724"/>
      <c r="U39" s="1609"/>
      <c r="V39" s="2544"/>
      <c r="W39" s="2544"/>
      <c r="X39" s="2544"/>
      <c r="Y39" s="2544"/>
      <c r="Z39" s="2544"/>
      <c r="AA39" s="2544"/>
      <c r="AB39" s="2544"/>
      <c r="AC39" s="2544"/>
      <c r="AD39" s="2544"/>
      <c r="AE39" s="2544"/>
      <c r="AF39" s="2544"/>
      <c r="AG39" s="2544"/>
      <c r="AH39" s="2544"/>
      <c r="AI39" s="2544"/>
      <c r="AJ39" s="2544"/>
      <c r="AK39" s="2544"/>
      <c r="AL39" s="2544"/>
      <c r="AM39" s="2544"/>
      <c r="AN39" s="2544"/>
      <c r="AO39" s="2544"/>
      <c r="AP39" s="2544"/>
      <c r="AQ39" s="2544"/>
      <c r="AR39" s="2544"/>
      <c r="AS39" s="2544"/>
      <c r="AT39" s="2544"/>
      <c r="AU39" s="2544"/>
      <c r="AV39" s="2544"/>
      <c r="AW39" s="2544"/>
      <c r="AX39" s="2544"/>
      <c r="AY39" s="2544"/>
      <c r="AZ39" s="2544"/>
      <c r="BA39" s="2544"/>
    </row>
    <row customHeight="1" ht="14.25">
      <c r="Q40" s="652"/>
      <c r="R40" s="737"/>
      <c r="S40" s="2392" t="s">
        <v>300</v>
      </c>
      <c r="T40" s="2392"/>
      <c r="U40" s="2392"/>
      <c r="V40" s="2392"/>
      <c r="W40" s="2392"/>
      <c r="X40" s="2392"/>
      <c r="Y40" s="2392"/>
      <c r="Z40" s="2392"/>
      <c r="AA40" s="2392"/>
      <c r="AB40" s="2392"/>
      <c r="AC40" s="2392"/>
      <c r="AD40" s="2392"/>
      <c r="AE40" s="2392"/>
      <c r="AF40" s="2392"/>
      <c r="AG40" s="2392"/>
      <c r="AH40" s="2392"/>
      <c r="AI40" s="2392"/>
      <c r="AJ40" s="2392"/>
      <c r="AK40" s="2392"/>
      <c r="AL40" s="2392"/>
      <c r="AM40" s="2392"/>
      <c r="AN40" s="2392"/>
      <c r="AO40" s="2392"/>
      <c r="AP40" s="2392"/>
      <c r="AQ40" s="2392"/>
      <c r="AR40" s="2392"/>
      <c r="AS40" s="2392"/>
      <c r="AT40" s="2392"/>
      <c r="AU40" s="2392"/>
      <c r="AV40" s="2392"/>
      <c r="AW40" s="2392"/>
      <c r="AX40" s="2392"/>
      <c r="AY40" s="2392"/>
      <c r="AZ40" s="2392"/>
      <c r="BA40" s="2392"/>
      <c r="BB40" s="2392"/>
      <c r="BC40" s="2392" t="s">
        <v>301</v>
      </c>
    </row>
    <row customHeight="1" ht="14.25">
      <c r="Q41" s="652"/>
      <c r="R41" s="737"/>
      <c r="S41" s="2545" t="s">
        <v>85</v>
      </c>
      <c r="T41" s="2482" t="s">
        <v>505</v>
      </c>
      <c r="U41" s="662"/>
      <c r="V41" s="2546" t="s">
        <v>427</v>
      </c>
      <c r="W41" s="2547"/>
      <c r="X41" s="2547"/>
      <c r="Y41" s="2547"/>
      <c r="Z41" s="2547"/>
      <c r="AA41" s="2547"/>
      <c r="AB41" s="2548"/>
      <c r="AC41" s="2549" t="s">
        <v>428</v>
      </c>
      <c r="AD41" s="2593" t="s">
        <v>506</v>
      </c>
      <c r="AE41" s="2568"/>
      <c r="AF41" s="2568"/>
      <c r="AG41" s="2594"/>
      <c r="AH41" s="2593" t="s">
        <v>507</v>
      </c>
      <c r="AI41" s="2568"/>
      <c r="AJ41" s="2568"/>
      <c r="AK41" s="2594"/>
      <c r="AL41" s="2593" t="s">
        <v>508</v>
      </c>
      <c r="AM41" s="2568"/>
      <c r="AN41" s="2568"/>
      <c r="AO41" s="2594"/>
      <c r="AP41" s="2593" t="s">
        <v>509</v>
      </c>
      <c r="AQ41" s="2568"/>
      <c r="AR41" s="2568"/>
      <c r="AS41" s="2594"/>
      <c r="AT41" s="2546" t="s">
        <v>427</v>
      </c>
      <c r="AU41" s="2547"/>
      <c r="AV41" s="2547"/>
      <c r="AW41" s="2547"/>
      <c r="AX41" s="2547"/>
      <c r="AY41" s="2547"/>
      <c r="AZ41" s="2548"/>
      <c r="BA41" s="2549" t="s">
        <v>428</v>
      </c>
      <c r="BB41" s="2552" t="s">
        <v>430</v>
      </c>
      <c r="BC41" s="2392"/>
    </row>
    <row customHeight="1" ht="33.75">
      <c r="Q42" s="652"/>
      <c r="R42" s="737"/>
      <c r="S42" s="2545"/>
      <c r="T42" s="2482"/>
      <c r="U42" s="1393"/>
      <c r="V42" s="2450" t="s">
        <v>510</v>
      </c>
      <c r="W42" s="2451"/>
      <c r="X42" s="2450" t="s">
        <v>511</v>
      </c>
      <c r="Y42" s="2451"/>
      <c r="Z42" s="2566" t="s">
        <v>512</v>
      </c>
      <c r="AA42" s="2584"/>
      <c r="AB42" s="2585"/>
      <c r="AC42" s="2550"/>
      <c r="AD42" s="2595"/>
      <c r="AE42" s="2596"/>
      <c r="AF42" s="2596"/>
      <c r="AG42" s="2608"/>
      <c r="AH42" s="2595"/>
      <c r="AI42" s="2596"/>
      <c r="AJ42" s="2596"/>
      <c r="AK42" s="2608"/>
      <c r="AL42" s="2595"/>
      <c r="AM42" s="2596"/>
      <c r="AN42" s="2596"/>
      <c r="AO42" s="2608"/>
      <c r="AP42" s="2595"/>
      <c r="AQ42" s="2596"/>
      <c r="AR42" s="2596"/>
      <c r="AS42" s="2608"/>
      <c r="AT42" s="2450" t="s">
        <v>510</v>
      </c>
      <c r="AU42" s="2451"/>
      <c r="AV42" s="2450" t="s">
        <v>511</v>
      </c>
      <c r="AW42" s="2451"/>
      <c r="AX42" s="2566" t="s">
        <v>512</v>
      </c>
      <c r="AY42" s="2584"/>
      <c r="AZ42" s="2585"/>
      <c r="BA42" s="2550"/>
      <c r="BB42" s="2553"/>
      <c r="BC42" s="2392"/>
    </row>
    <row customHeight="1" ht="14.25">
      <c r="Q43" s="652"/>
      <c r="R43" s="737"/>
      <c r="S43" s="2545"/>
      <c r="T43" s="2482"/>
      <c r="U43" s="1393"/>
      <c r="V43" s="2458"/>
      <c r="W43" s="2459"/>
      <c r="X43" s="2458"/>
      <c r="Y43" s="2459"/>
      <c r="Z43" s="2567"/>
      <c r="AA43" s="2586"/>
      <c r="AB43" s="2587"/>
      <c r="AC43" s="2550"/>
      <c r="AD43" s="2595"/>
      <c r="AE43" s="2596"/>
      <c r="AF43" s="2596"/>
      <c r="AG43" s="2608"/>
      <c r="AH43" s="2595"/>
      <c r="AI43" s="2596"/>
      <c r="AJ43" s="2596"/>
      <c r="AK43" s="2608"/>
      <c r="AL43" s="2595"/>
      <c r="AM43" s="2596"/>
      <c r="AN43" s="2596"/>
      <c r="AO43" s="2608"/>
      <c r="AP43" s="2595"/>
      <c r="AQ43" s="2596"/>
      <c r="AR43" s="2596"/>
      <c r="AS43" s="2608"/>
      <c r="AT43" s="2458"/>
      <c r="AU43" s="2459"/>
      <c r="AV43" s="2458"/>
      <c r="AW43" s="2459"/>
      <c r="AX43" s="2567"/>
      <c r="AY43" s="2586"/>
      <c r="AZ43" s="2587"/>
      <c r="BA43" s="2550"/>
      <c r="BB43" s="2553"/>
      <c r="BC43" s="2392"/>
    </row>
    <row customHeight="1" ht="14.25">
      <c r="A44" s="1736"/>
      <c r="B44" s="1736" t="s">
        <v>132</v>
      </c>
      <c r="C44" s="1736" t="s">
        <v>133</v>
      </c>
      <c r="D44" s="1736" t="s">
        <v>134</v>
      </c>
      <c r="E44" s="1730" t="s">
        <v>435</v>
      </c>
      <c r="F44" s="1730" t="s">
        <v>436</v>
      </c>
      <c r="G44" s="1730" t="s">
        <v>437</v>
      </c>
      <c r="H44" s="1730" t="s">
        <v>438</v>
      </c>
      <c r="I44" s="1730" t="s">
        <v>439</v>
      </c>
      <c r="J44" s="1730" t="s">
        <v>440</v>
      </c>
      <c r="K44" s="1730" t="s">
        <v>441</v>
      </c>
      <c r="L44" s="1730" t="s">
        <v>416</v>
      </c>
      <c r="Q44" s="652"/>
      <c r="R44" s="737"/>
      <c r="S44" s="2545"/>
      <c r="T44" s="2482"/>
      <c r="U44" s="663"/>
      <c r="V44" s="1845" t="s">
        <v>476</v>
      </c>
      <c r="W44" s="1845" t="s">
        <v>477</v>
      </c>
      <c r="X44" s="1845" t="s">
        <v>476</v>
      </c>
      <c r="Y44" s="1845" t="s">
        <v>477</v>
      </c>
      <c r="Z44" s="1855" t="s">
        <v>444</v>
      </c>
      <c r="AA44" s="2541" t="s">
        <v>445</v>
      </c>
      <c r="AB44" s="2542"/>
      <c r="AC44" s="2551"/>
      <c r="AD44" s="2597"/>
      <c r="AE44" s="2598"/>
      <c r="AF44" s="2598"/>
      <c r="AG44" s="2599"/>
      <c r="AH44" s="2597"/>
      <c r="AI44" s="2598"/>
      <c r="AJ44" s="2598"/>
      <c r="AK44" s="2599"/>
      <c r="AL44" s="2597"/>
      <c r="AM44" s="2598"/>
      <c r="AN44" s="2598"/>
      <c r="AO44" s="2599"/>
      <c r="AP44" s="2597"/>
      <c r="AQ44" s="2598"/>
      <c r="AR44" s="2598"/>
      <c r="AS44" s="2599"/>
      <c r="AT44" s="1845" t="s">
        <v>476</v>
      </c>
      <c r="AU44" s="1845" t="s">
        <v>477</v>
      </c>
      <c r="AV44" s="1845" t="s">
        <v>476</v>
      </c>
      <c r="AW44" s="1845" t="s">
        <v>477</v>
      </c>
      <c r="AX44" s="1855" t="s">
        <v>444</v>
      </c>
      <c r="AY44" s="2541" t="s">
        <v>445</v>
      </c>
      <c r="AZ44" s="2542"/>
      <c r="BA44" s="2551"/>
      <c r="BB44" s="2554"/>
      <c r="BC44" s="2392"/>
    </row>
    <row s="18977" customFormat="1" customHeight="1" ht="0">
      <c r="A45" s="1736"/>
      <c r="B45" s="1736"/>
      <c r="C45" s="1736"/>
      <c r="D45" s="1736"/>
      <c r="E45" s="1736"/>
      <c r="F45" s="1736"/>
      <c r="G45" s="1736"/>
      <c r="H45" s="1736"/>
      <c r="I45" s="1736"/>
      <c r="J45" s="1736"/>
      <c r="K45" s="1736"/>
      <c r="L45" s="1730"/>
      <c r="M45" s="1728"/>
      <c r="N45" s="1728"/>
      <c r="O45" s="1728"/>
      <c r="P45" s="871"/>
      <c r="Q45" s="1619"/>
      <c r="R45" s="1619">
        <v>1</v>
      </c>
      <c r="S45" s="1643" t="s">
        <v>106</v>
      </c>
      <c r="T45" s="1620" t="s">
        <v>107</v>
      </c>
      <c r="U45" s="1610" t="str">
        <f>OFFSET(U45,0,-1)</f>
        <v>2</v>
      </c>
      <c r="V45" s="1848">
        <f>OFFSET(V45,0,-1)+1</f>
        <v>3</v>
      </c>
      <c r="W45" s="1848">
        <f>OFFSET(W45,0,-1)+1</f>
        <v>4</v>
      </c>
      <c r="X45" s="1848">
        <f>OFFSET(X45,0,-1)+1</f>
        <v>5</v>
      </c>
      <c r="Y45" s="1848">
        <f>OFFSET(Y45,0,-1)+1</f>
        <v>6</v>
      </c>
      <c r="Z45" s="1848">
        <f>OFFSET(Z45,0,-1)+1</f>
        <v>7</v>
      </c>
      <c r="AA45" s="2543">
        <f>OFFSET(AA45,0,-1)+1</f>
        <v>8</v>
      </c>
      <c r="AB45" s="2543"/>
      <c r="AC45" s="1848">
        <f>OFFSET(AC45,0,-2)+1</f>
        <v>9</v>
      </c>
      <c r="AD45" s="1848">
        <f>OFFSET(AD45,0,-1)+1</f>
        <v>10</v>
      </c>
      <c r="AE45" s="1848"/>
      <c r="AF45" s="1848"/>
      <c r="AG45" s="1848"/>
      <c r="AH45" s="1848"/>
      <c r="AI45" s="1848"/>
      <c r="AJ45" s="1848"/>
      <c r="AK45" s="1848"/>
      <c r="AL45" s="1848"/>
      <c r="AM45" s="1848"/>
      <c r="AN45" s="1848"/>
      <c r="AO45" s="1848"/>
      <c r="AP45" s="1848"/>
      <c r="AQ45" s="1848"/>
      <c r="AR45" s="1848"/>
      <c r="AS45" s="1848"/>
      <c r="AT45" s="1848"/>
      <c r="AU45" s="1848"/>
      <c r="AV45" s="1848"/>
      <c r="AW45" s="1848">
        <f>OFFSET(AW45,0,-1)+1</f>
        <v>1</v>
      </c>
      <c r="AX45" s="1848">
        <f>OFFSET(AX45,0,-1)+1</f>
        <v>2</v>
      </c>
      <c r="AY45" s="2543">
        <f>OFFSET(AY45,0,-1)+1</f>
        <v>3</v>
      </c>
      <c r="AZ45" s="2543"/>
      <c r="BA45" s="1848">
        <f>OFFSET(BA45,0,-2)+1</f>
        <v>4</v>
      </c>
      <c r="BB45" s="1610">
        <f>OFFSET(BB45,0,-1)</f>
        <v>4</v>
      </c>
      <c r="BC45" s="1848">
        <f>OFFSET(BC45,0,-1)+1</f>
        <v>5</v>
      </c>
      <c r="BD45" s="872"/>
      <c r="BE45" s="872"/>
      <c r="BF45" s="872"/>
      <c r="BG45" s="872"/>
      <c r="BH45" s="872"/>
    </row>
    <row customHeight="1" ht="21">
      <c r="A46" s="1729" t="s">
        <v>261</v>
      </c>
      <c r="B46" s="1729"/>
      <c r="C46" s="1729"/>
      <c r="D46" s="1729"/>
      <c r="E46" s="2527">
        <v>1</v>
      </c>
      <c r="F46" s="1729"/>
      <c r="G46" s="1729"/>
      <c r="H46" s="1729"/>
      <c r="I46" s="1729"/>
      <c r="J46" s="1729"/>
      <c r="K46" s="1729"/>
      <c r="L46" s="1730"/>
      <c r="M46" s="1731"/>
      <c r="N46" s="1731"/>
      <c r="O46" s="1731"/>
      <c r="P46" s="1775"/>
      <c r="Q46" s="1234"/>
      <c r="R46" s="716"/>
      <c r="S46" s="1859">
        <f>INDEX(PT_DIFFERENTIATION_NUM_NTAR,MATCH(A46,PT_DIFFERENTIATION_NTAR_ID,0))</f>
        <v>0</v>
      </c>
      <c r="T46" s="659" t="s">
        <v>120</v>
      </c>
      <c r="U46" s="661"/>
      <c r="V46" s="2522"/>
      <c r="W46" s="2522"/>
      <c r="X46" s="2522"/>
      <c r="Y46" s="2522"/>
      <c r="Z46" s="2522"/>
      <c r="AA46" s="2522"/>
      <c r="AB46" s="2522"/>
      <c r="AC46" s="2523"/>
      <c r="AD46" s="2521" t="str">
        <f>INDEX(PT_DIFFERENTIATION_NTAR,MATCH(A46,PT_DIFFERENTIATION_NTAR_ID,0))</f>
        <v/>
      </c>
      <c r="AE46" s="2522"/>
      <c r="AF46" s="2522"/>
      <c r="AG46" s="2522"/>
      <c r="AH46" s="2522"/>
      <c r="AI46" s="2522"/>
      <c r="AJ46" s="2522"/>
      <c r="AK46" s="2522"/>
      <c r="AL46" s="2522"/>
      <c r="AM46" s="2522"/>
      <c r="AN46" s="2522"/>
      <c r="AO46" s="2522"/>
      <c r="AP46" s="2522"/>
      <c r="AQ46" s="2522"/>
      <c r="AR46" s="2522"/>
      <c r="AS46" s="2522"/>
      <c r="AT46" s="2522"/>
      <c r="AU46" s="2522"/>
      <c r="AV46" s="2522"/>
      <c r="AW46" s="2522"/>
      <c r="AX46" s="2522"/>
      <c r="AY46" s="2522"/>
      <c r="AZ46" s="2522"/>
      <c r="BA46" s="2522"/>
      <c r="BB46" s="2523"/>
      <c r="BC46" s="16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861"/>
      <c r="BF46" s="861" t="str">
        <f>IF(T46="","",T46)</f>
        <v>Наименование тарифа</v>
      </c>
      <c r="BG46" s="861"/>
      <c r="BH46" s="861"/>
    </row>
    <row customHeight="1" ht="21">
      <c r="A47" s="1729" t="s">
        <v>261</v>
      </c>
      <c r="B47" s="1729" t="s">
        <v>262</v>
      </c>
      <c r="C47" s="1729"/>
      <c r="D47" s="1729"/>
      <c r="E47" s="2528"/>
      <c r="F47" s="2527">
        <v>1</v>
      </c>
      <c r="G47" s="1729"/>
      <c r="H47" s="1729"/>
      <c r="I47" s="1729"/>
      <c r="J47" s="1729"/>
      <c r="K47" s="1729"/>
      <c r="L47" s="1730"/>
      <c r="M47" s="1731"/>
      <c r="N47" s="1731"/>
      <c r="O47" s="1731"/>
      <c r="P47" s="1776"/>
      <c r="Q47" s="1777"/>
      <c r="R47" s="714"/>
      <c r="S47" s="1859" t="str">
        <f>INDEX(PT_DIFFERENTIATION_NUM_TER,MATCH(B47,PT_DIFFERENTIATION_TER_ID,0))</f>
        <v>.</v>
      </c>
      <c r="T47" s="669" t="s">
        <v>397</v>
      </c>
      <c r="U47" s="661"/>
      <c r="V47" s="2522"/>
      <c r="W47" s="2522"/>
      <c r="X47" s="2522"/>
      <c r="Y47" s="2522"/>
      <c r="Z47" s="2522"/>
      <c r="AA47" s="2522"/>
      <c r="AB47" s="2522"/>
      <c r="AC47" s="2523"/>
      <c r="AD47" s="2521" t="str">
        <f>INDEX(PT_DIFFERENTIATION_TER,MATCH(B47,PT_DIFFERENTIATION_TER_ID,0))</f>
        <v/>
      </c>
      <c r="AE47" s="2522"/>
      <c r="AF47" s="2522"/>
      <c r="AG47" s="2522"/>
      <c r="AH47" s="2522"/>
      <c r="AI47" s="2522"/>
      <c r="AJ47" s="2522"/>
      <c r="AK47" s="2522"/>
      <c r="AL47" s="2522"/>
      <c r="AM47" s="2522"/>
      <c r="AN47" s="2522"/>
      <c r="AO47" s="2522"/>
      <c r="AP47" s="2522"/>
      <c r="AQ47" s="2522"/>
      <c r="AR47" s="2522"/>
      <c r="AS47" s="2522"/>
      <c r="AT47" s="2522"/>
      <c r="AU47" s="2522"/>
      <c r="AV47" s="2522"/>
      <c r="AW47" s="2522"/>
      <c r="AX47" s="2522"/>
      <c r="AY47" s="2522"/>
      <c r="AZ47" s="2522"/>
      <c r="BA47" s="2522"/>
      <c r="BB47" s="2523"/>
      <c r="BC47" s="1623" t="s">
        <v>398</v>
      </c>
      <c r="BE47" s="861"/>
      <c r="BF47" s="861" t="str">
        <f>IF(T47="","",T47)</f>
        <v>Территория действия тарифа</v>
      </c>
      <c r="BG47" s="861"/>
      <c r="BH47" s="861"/>
    </row>
    <row customHeight="1" ht="33.75">
      <c r="A48" s="1729" t="s">
        <v>261</v>
      </c>
      <c r="B48" s="1729" t="s">
        <v>262</v>
      </c>
      <c r="C48" s="1729" t="s">
        <v>263</v>
      </c>
      <c r="D48" s="1729"/>
      <c r="E48" s="2528"/>
      <c r="F48" s="2528"/>
      <c r="G48" s="2527">
        <v>1</v>
      </c>
      <c r="H48" s="1729"/>
      <c r="I48" s="1729"/>
      <c r="J48" s="1729"/>
      <c r="K48" s="1729"/>
      <c r="L48" s="1730"/>
      <c r="M48" s="1731"/>
      <c r="N48" s="1731"/>
      <c r="O48" s="1731"/>
      <c r="P48" s="1778"/>
      <c r="Q48" s="1777"/>
      <c r="R48" s="714"/>
      <c r="S48" s="1859" t="str">
        <f>INDEX(PT_DIFFERENTIATION_NUM_CS,MATCH(C48,PT_DIFFERENTIATION_CS_ID,0))</f>
        <v>..</v>
      </c>
      <c r="T48" s="670" t="s">
        <v>528</v>
      </c>
      <c r="U48" s="661"/>
      <c r="V48" s="2522"/>
      <c r="W48" s="2522"/>
      <c r="X48" s="2522"/>
      <c r="Y48" s="2522"/>
      <c r="Z48" s="2522"/>
      <c r="AA48" s="2522"/>
      <c r="AB48" s="2522"/>
      <c r="AC48" s="2523"/>
      <c r="AD48" s="2521" t="str">
        <f>INDEX(PT_DIFFERENTIATION_CS,MATCH(C48,PT_DIFFERENTIATION_CS_ID,0))</f>
        <v/>
      </c>
      <c r="AE48" s="2522"/>
      <c r="AF48" s="2522"/>
      <c r="AG48" s="2522"/>
      <c r="AH48" s="2522"/>
      <c r="AI48" s="2522"/>
      <c r="AJ48" s="2522"/>
      <c r="AK48" s="2522"/>
      <c r="AL48" s="2522"/>
      <c r="AM48" s="2522"/>
      <c r="AN48" s="2522"/>
      <c r="AO48" s="2522"/>
      <c r="AP48" s="2522"/>
      <c r="AQ48" s="2522"/>
      <c r="AR48" s="2522"/>
      <c r="AS48" s="2522"/>
      <c r="AT48" s="2522"/>
      <c r="AU48" s="2522"/>
      <c r="AV48" s="2522"/>
      <c r="AW48" s="2522"/>
      <c r="AX48" s="2522"/>
      <c r="AY48" s="2522"/>
      <c r="AZ48" s="2522"/>
      <c r="BA48" s="2522"/>
      <c r="BB48" s="2523"/>
      <c r="BC48" s="1623" t="s">
        <v>529</v>
      </c>
      <c r="BE48" s="861"/>
      <c r="BF48" s="861" t="str">
        <f>IF(T48="","",T48)</f>
        <v>Наименование централизованной системы горячего водоснабжения</v>
      </c>
      <c r="BG48" s="861"/>
      <c r="BH48" s="861"/>
    </row>
    <row s="19219" customFormat="1" customHeight="1" ht="0">
      <c r="A49" s="1709" t="s">
        <v>261</v>
      </c>
      <c r="B49" s="1709" t="s">
        <v>262</v>
      </c>
      <c r="C49" s="1709" t="s">
        <v>263</v>
      </c>
      <c r="D49" s="1709" t="s">
        <v>544</v>
      </c>
      <c r="E49" s="2528"/>
      <c r="F49" s="2528"/>
      <c r="G49" s="2528"/>
      <c r="H49" s="2527">
        <v>1</v>
      </c>
      <c r="I49" s="1709"/>
      <c r="J49" s="1709"/>
      <c r="K49" s="1709"/>
      <c r="L49" s="1712"/>
      <c r="M49" s="1681"/>
      <c r="N49" s="1681"/>
      <c r="O49" s="1681"/>
      <c r="P49" s="1863"/>
      <c r="Q49" s="1864"/>
      <c r="R49" s="718"/>
      <c r="S49" s="1404"/>
      <c r="T49" s="1865"/>
      <c r="U49" s="1750"/>
      <c r="V49" s="2570"/>
      <c r="W49" s="2570"/>
      <c r="X49" s="2570"/>
      <c r="Y49" s="2570"/>
      <c r="Z49" s="2570"/>
      <c r="AA49" s="2570"/>
      <c r="AB49" s="2570"/>
      <c r="AC49" s="2571"/>
      <c r="AD49" s="2569"/>
      <c r="AE49" s="2570"/>
      <c r="AF49" s="2570"/>
      <c r="AG49" s="2570"/>
      <c r="AH49" s="2570"/>
      <c r="AI49" s="2570"/>
      <c r="AJ49" s="2570"/>
      <c r="AK49" s="2570"/>
      <c r="AL49" s="2570"/>
      <c r="AM49" s="2570"/>
      <c r="AN49" s="2570"/>
      <c r="AO49" s="2570"/>
      <c r="AP49" s="2570"/>
      <c r="AQ49" s="2570"/>
      <c r="AR49" s="2570"/>
      <c r="AS49" s="2570"/>
      <c r="AT49" s="2570"/>
      <c r="AU49" s="2570"/>
      <c r="AV49" s="2570"/>
      <c r="AW49" s="2570"/>
      <c r="AX49" s="2570"/>
      <c r="AY49" s="2570"/>
      <c r="AZ49" s="2570"/>
      <c r="BA49" s="2570"/>
      <c r="BB49" s="2571"/>
      <c r="BC49" s="1751" t="s">
        <v>402</v>
      </c>
      <c r="BE49" s="861"/>
      <c r="BF49" s="861" t="str">
        <f>IF(T49="","",T49)</f>
        <v/>
      </c>
      <c r="BG49" s="861"/>
      <c r="BH49" s="861"/>
    </row>
    <row s="19219" customFormat="1" customHeight="1" ht="0">
      <c r="A50" s="1709" t="s">
        <v>261</v>
      </c>
      <c r="B50" s="1709" t="s">
        <v>262</v>
      </c>
      <c r="C50" s="1709" t="s">
        <v>263</v>
      </c>
      <c r="D50" s="1709" t="s">
        <v>544</v>
      </c>
      <c r="E50" s="2528"/>
      <c r="F50" s="2528"/>
      <c r="G50" s="2528"/>
      <c r="H50" s="2528"/>
      <c r="I50" s="2529" t="str">
        <f>S49&amp;".1"</f>
        <v>.1</v>
      </c>
      <c r="J50" s="1709"/>
      <c r="K50" s="1709"/>
      <c r="L50" s="1712" t="s">
        <v>403</v>
      </c>
      <c r="M50" s="871"/>
      <c r="N50" s="871"/>
      <c r="O50" s="871"/>
      <c r="P50" s="2531">
        <v>1</v>
      </c>
      <c r="Q50" s="1847"/>
      <c r="R50" s="717"/>
      <c r="S50" s="1404"/>
      <c r="T50" s="1749"/>
      <c r="U50" s="1750"/>
      <c r="V50" s="2570"/>
      <c r="W50" s="2570"/>
      <c r="X50" s="2570"/>
      <c r="Y50" s="2570"/>
      <c r="Z50" s="2570"/>
      <c r="AA50" s="2570"/>
      <c r="AB50" s="2570"/>
      <c r="AC50" s="2571"/>
      <c r="AD50" s="2569"/>
      <c r="AE50" s="2570"/>
      <c r="AF50" s="2570"/>
      <c r="AG50" s="2570"/>
      <c r="AH50" s="2570"/>
      <c r="AI50" s="2570"/>
      <c r="AJ50" s="2570"/>
      <c r="AK50" s="2570"/>
      <c r="AL50" s="2570"/>
      <c r="AM50" s="2570"/>
      <c r="AN50" s="2570"/>
      <c r="AO50" s="2570"/>
      <c r="AP50" s="2570"/>
      <c r="AQ50" s="2570"/>
      <c r="AR50" s="2570"/>
      <c r="AS50" s="2570"/>
      <c r="AT50" s="2570"/>
      <c r="AU50" s="2570"/>
      <c r="AV50" s="2570"/>
      <c r="AW50" s="2570"/>
      <c r="AX50" s="2570"/>
      <c r="AY50" s="2570"/>
      <c r="AZ50" s="2570"/>
      <c r="BA50" s="2570"/>
      <c r="BB50" s="2571"/>
      <c r="BC50" s="1751"/>
      <c r="BE50" s="861"/>
      <c r="BF50" s="861" t="str">
        <f>IF(T50="","",T50)</f>
        <v/>
      </c>
      <c r="BG50" s="861"/>
      <c r="BH50" s="861"/>
    </row>
    <row s="19219" customFormat="1" customHeight="1" ht="0">
      <c r="A51" s="1709" t="s">
        <v>261</v>
      </c>
      <c r="B51" s="1709" t="s">
        <v>262</v>
      </c>
      <c r="C51" s="1709" t="s">
        <v>263</v>
      </c>
      <c r="D51" s="1709" t="s">
        <v>544</v>
      </c>
      <c r="E51" s="2528"/>
      <c r="F51" s="2528"/>
      <c r="G51" s="2528"/>
      <c r="H51" s="2528"/>
      <c r="I51" s="2530"/>
      <c r="J51" s="2529" t="str">
        <f>S49&amp;".1"</f>
        <v>.1</v>
      </c>
      <c r="K51" s="1709"/>
      <c r="L51" s="1712"/>
      <c r="M51" s="871"/>
      <c r="N51" s="871"/>
      <c r="O51" s="871"/>
      <c r="P51" s="2531"/>
      <c r="Q51" s="2531">
        <v>1</v>
      </c>
      <c r="R51" s="718"/>
      <c r="S51" s="1404"/>
      <c r="T51" s="1765"/>
      <c r="U51" s="1750"/>
      <c r="V51" s="2570"/>
      <c r="W51" s="2570"/>
      <c r="X51" s="2570"/>
      <c r="Y51" s="2570"/>
      <c r="Z51" s="2570"/>
      <c r="AA51" s="2570"/>
      <c r="AB51" s="2570"/>
      <c r="AC51" s="2571"/>
      <c r="AD51" s="2569"/>
      <c r="AE51" s="2570"/>
      <c r="AF51" s="2570"/>
      <c r="AG51" s="2570"/>
      <c r="AH51" s="2570"/>
      <c r="AI51" s="2570"/>
      <c r="AJ51" s="2570"/>
      <c r="AK51" s="2570"/>
      <c r="AL51" s="2570"/>
      <c r="AM51" s="2570"/>
      <c r="AN51" s="2630"/>
      <c r="AO51" s="2630"/>
      <c r="AP51" s="2570"/>
      <c r="AQ51" s="2570"/>
      <c r="AR51" s="2570"/>
      <c r="AS51" s="2570"/>
      <c r="AT51" s="2570"/>
      <c r="AU51" s="2570"/>
      <c r="AV51" s="2570"/>
      <c r="AW51" s="2570"/>
      <c r="AX51" s="2570"/>
      <c r="AY51" s="2570"/>
      <c r="AZ51" s="2570"/>
      <c r="BA51" s="2570"/>
      <c r="BB51" s="2571"/>
      <c r="BC51" s="1751"/>
      <c r="BE51" s="861"/>
      <c r="BF51" s="861" t="str">
        <f>IF(T51="","",T51)</f>
        <v/>
      </c>
      <c r="BG51" s="861"/>
      <c r="BH51" s="861"/>
    </row>
    <row customHeight="1" ht="11.25">
      <c r="A52" s="1729" t="s">
        <v>261</v>
      </c>
      <c r="B52" s="1729" t="s">
        <v>262</v>
      </c>
      <c r="C52" s="1729" t="s">
        <v>263</v>
      </c>
      <c r="D52" s="1729" t="s">
        <v>544</v>
      </c>
      <c r="E52" s="2528"/>
      <c r="F52" s="2528"/>
      <c r="G52" s="2528"/>
      <c r="H52" s="2528"/>
      <c r="I52" s="2530"/>
      <c r="J52" s="2530"/>
      <c r="K52" s="2529" t="str">
        <f>S48&amp;".1"</f>
        <v>...1</v>
      </c>
      <c r="L52" s="1730"/>
      <c r="P52" s="2531"/>
      <c r="Q52" s="2531"/>
      <c r="R52" s="718">
        <v>1</v>
      </c>
      <c r="S52" s="2604" t="str">
        <f>$K52</f>
        <v>...1</v>
      </c>
      <c r="T52" s="2624"/>
      <c r="U52" s="661"/>
      <c r="V52" s="1112"/>
      <c r="W52" s="1622"/>
      <c r="X52" s="1112"/>
      <c r="Y52" s="1622"/>
      <c r="Z52" s="2100"/>
      <c r="AA52" s="1835" t="s">
        <v>59</v>
      </c>
      <c r="AB52" s="2100"/>
      <c r="AC52" s="1835" t="s">
        <v>59</v>
      </c>
      <c r="AD52" s="2465" t="s">
        <v>54</v>
      </c>
      <c r="AE52" s="2600"/>
      <c r="AF52" s="2478">
        <v>1</v>
      </c>
      <c r="AG52" s="13326" t="s">
        <v>24</v>
      </c>
      <c r="AH52" s="2402" t="s">
        <v>54</v>
      </c>
      <c r="AI52" s="2600"/>
      <c r="AJ52" s="2478">
        <v>1</v>
      </c>
      <c r="AK52" s="9940" t="s">
        <v>24</v>
      </c>
      <c r="AL52" s="2402" t="s">
        <v>54</v>
      </c>
      <c r="AM52" s="2450"/>
      <c r="AN52" s="2478">
        <v>1</v>
      </c>
      <c r="AO52" s="9941" t="s">
        <v>24</v>
      </c>
      <c r="AP52" s="2628" t="s">
        <v>54</v>
      </c>
      <c r="AQ52" s="672"/>
      <c r="AR52" s="1852">
        <v>1</v>
      </c>
      <c r="AS52" s="9942" t="s">
        <v>24</v>
      </c>
      <c r="AT52" s="1112"/>
      <c r="AU52" s="1622"/>
      <c r="AV52" s="1112">
        <f>ROUND(AW52*1.2,2)</f>
        <v>7.07</v>
      </c>
      <c r="AW52" s="1622">
        <v>5.89</v>
      </c>
      <c r="AX52" s="9943">
        <v>45292.40179398148</v>
      </c>
      <c r="AY52" s="1835" t="s">
        <v>59</v>
      </c>
      <c r="AZ52" s="9943">
        <v>45657.40186342593</v>
      </c>
      <c r="BA52" s="1835" t="s">
        <v>59</v>
      </c>
      <c r="BB52" s="1714"/>
      <c r="BC52" s="2557" t="s">
        <v>499</v>
      </c>
      <c r="BE52" s="861"/>
      <c r="BF52" s="861" t="str">
        <f>IF(T52="","",T52)</f>
        <v/>
      </c>
      <c r="BG52" s="861"/>
      <c r="BH52" s="861"/>
    </row>
    <row customHeight="1" ht="11.25">
      <c r="A53" s="1729"/>
      <c r="B53" s="1729"/>
      <c r="C53" s="1729"/>
      <c r="D53" s="1729"/>
      <c r="E53" s="2528"/>
      <c r="F53" s="2528"/>
      <c r="G53" s="2528"/>
      <c r="H53" s="2528"/>
      <c r="I53" s="2530"/>
      <c r="J53" s="2530"/>
      <c r="K53" s="2529"/>
      <c r="L53" s="1730"/>
      <c r="P53" s="2531"/>
      <c r="Q53" s="2531"/>
      <c r="R53" s="718"/>
      <c r="S53" s="2605"/>
      <c r="T53" s="2625"/>
      <c r="U53" s="661"/>
      <c r="V53" s="1759"/>
      <c r="W53" s="1862"/>
      <c r="X53" s="1759"/>
      <c r="Y53" s="1862"/>
      <c r="Z53" s="1759"/>
      <c r="AA53" s="1759"/>
      <c r="AB53" s="1759"/>
      <c r="AC53" s="1759"/>
      <c r="AD53" s="2466"/>
      <c r="AE53" s="2600"/>
      <c r="AF53" s="2478"/>
      <c r="AG53" s="13326" t="s">
        <v>24</v>
      </c>
      <c r="AH53" s="2402"/>
      <c r="AI53" s="2600"/>
      <c r="AJ53" s="2478"/>
      <c r="AK53" s="9940" t="s">
        <v>24</v>
      </c>
      <c r="AL53" s="2402"/>
      <c r="AM53" s="2458"/>
      <c r="AN53" s="2478"/>
      <c r="AO53" s="9941" t="s">
        <v>24</v>
      </c>
      <c r="AP53" s="2629"/>
      <c r="AQ53" s="677"/>
      <c r="AR53" s="777"/>
      <c r="AS53" s="777" t="s">
        <v>500</v>
      </c>
      <c r="AT53" s="1759"/>
      <c r="AU53" s="1862"/>
      <c r="AV53" s="1759"/>
      <c r="AW53" s="1862"/>
      <c r="AX53" s="1759"/>
      <c r="AY53" s="1759"/>
      <c r="AZ53" s="1759"/>
      <c r="BA53" s="1759"/>
      <c r="BB53" s="1763"/>
      <c r="BC53" s="2558"/>
      <c r="BE53" s="861"/>
      <c r="BF53" s="861"/>
      <c r="BG53" s="861"/>
      <c r="BH53" s="861"/>
    </row>
    <row customHeight="1" ht="11.25">
      <c r="A54" s="1729" t="s">
        <v>261</v>
      </c>
      <c r="B54" s="1729"/>
      <c r="C54" s="1729"/>
      <c r="D54" s="1729"/>
      <c r="E54" s="2528"/>
      <c r="F54" s="2528"/>
      <c r="G54" s="2528"/>
      <c r="H54" s="2528"/>
      <c r="I54" s="2530"/>
      <c r="J54" s="2530"/>
      <c r="K54" s="2529"/>
      <c r="L54" s="1730"/>
      <c r="P54" s="2531"/>
      <c r="Q54" s="2531"/>
      <c r="R54" s="718"/>
      <c r="S54" s="2605"/>
      <c r="T54" s="2625"/>
      <c r="U54" s="661"/>
      <c r="V54" s="1759"/>
      <c r="W54" s="1862"/>
      <c r="X54" s="1759"/>
      <c r="Y54" s="1862"/>
      <c r="Z54" s="1759"/>
      <c r="AA54" s="1759"/>
      <c r="AB54" s="1759"/>
      <c r="AC54" s="1759"/>
      <c r="AD54" s="2466"/>
      <c r="AE54" s="2600"/>
      <c r="AF54" s="2478"/>
      <c r="AG54" s="13326" t="s">
        <v>24</v>
      </c>
      <c r="AH54" s="2402"/>
      <c r="AI54" s="2600"/>
      <c r="AJ54" s="2478"/>
      <c r="AK54" s="9940" t="s">
        <v>24</v>
      </c>
      <c r="AL54" s="2402"/>
      <c r="AM54" s="677"/>
      <c r="AN54" s="1866"/>
      <c r="AO54" s="1866" t="s">
        <v>501</v>
      </c>
      <c r="AP54" s="777"/>
      <c r="AQ54" s="777"/>
      <c r="AR54" s="777"/>
      <c r="AS54" s="1759"/>
      <c r="AT54" s="1759"/>
      <c r="AU54" s="1862"/>
      <c r="AV54" s="1759"/>
      <c r="AW54" s="1862"/>
      <c r="AX54" s="1759"/>
      <c r="AY54" s="1759"/>
      <c r="AZ54" s="1759"/>
      <c r="BA54" s="1759"/>
      <c r="BB54" s="1763"/>
      <c r="BC54" s="2558"/>
      <c r="BE54" s="861"/>
      <c r="BF54" s="861"/>
      <c r="BG54" s="861"/>
      <c r="BH54" s="861"/>
    </row>
    <row customHeight="1" ht="11.25">
      <c r="A55" s="1729" t="s">
        <v>261</v>
      </c>
      <c r="B55" s="1729"/>
      <c r="C55" s="1729"/>
      <c r="D55" s="1729"/>
      <c r="E55" s="2528"/>
      <c r="F55" s="2528"/>
      <c r="G55" s="2528"/>
      <c r="H55" s="2528"/>
      <c r="I55" s="2530"/>
      <c r="J55" s="2530"/>
      <c r="K55" s="2529"/>
      <c r="L55" s="1730"/>
      <c r="P55" s="2531"/>
      <c r="Q55" s="2531"/>
      <c r="R55" s="718"/>
      <c r="S55" s="2605"/>
      <c r="T55" s="2625"/>
      <c r="U55" s="661"/>
      <c r="V55" s="1759"/>
      <c r="W55" s="1862"/>
      <c r="X55" s="1759"/>
      <c r="Y55" s="1862"/>
      <c r="Z55" s="1759"/>
      <c r="AA55" s="1759"/>
      <c r="AB55" s="1759"/>
      <c r="AC55" s="1759"/>
      <c r="AD55" s="2466"/>
      <c r="AE55" s="2600"/>
      <c r="AF55" s="2478"/>
      <c r="AG55" s="13326" t="s">
        <v>24</v>
      </c>
      <c r="AH55" s="2402"/>
      <c r="AI55" s="655"/>
      <c r="AJ55" s="776"/>
      <c r="AK55" s="674" t="s">
        <v>502</v>
      </c>
      <c r="AL55" s="1759"/>
      <c r="AM55" s="1759"/>
      <c r="AN55" s="1759"/>
      <c r="AO55" s="1759"/>
      <c r="AP55" s="1759"/>
      <c r="AQ55" s="1759"/>
      <c r="AR55" s="1759"/>
      <c r="AS55" s="1759"/>
      <c r="AT55" s="1759"/>
      <c r="AU55" s="1862"/>
      <c r="AV55" s="1759"/>
      <c r="AW55" s="1862"/>
      <c r="AX55" s="1759"/>
      <c r="AY55" s="1759"/>
      <c r="AZ55" s="1759"/>
      <c r="BA55" s="1759"/>
      <c r="BB55" s="1763"/>
      <c r="BC55" s="2558"/>
      <c r="BE55" s="861"/>
      <c r="BF55" s="861"/>
      <c r="BG55" s="861"/>
      <c r="BH55" s="861"/>
    </row>
    <row customHeight="1" ht="11.25">
      <c r="A56" s="1729" t="s">
        <v>261</v>
      </c>
      <c r="B56" s="1729" t="s">
        <v>262</v>
      </c>
      <c r="C56" s="1729" t="s">
        <v>263</v>
      </c>
      <c r="D56" s="1729" t="s">
        <v>544</v>
      </c>
      <c r="E56" s="2528"/>
      <c r="F56" s="2528"/>
      <c r="G56" s="2528"/>
      <c r="H56" s="2528"/>
      <c r="I56" s="2530"/>
      <c r="J56" s="2530"/>
      <c r="K56" s="2529"/>
      <c r="L56" s="1730"/>
      <c r="P56" s="2531"/>
      <c r="Q56" s="2531"/>
      <c r="R56" s="718"/>
      <c r="S56" s="2606"/>
      <c r="T56" s="2626"/>
      <c r="U56" s="661"/>
      <c r="V56" s="1759"/>
      <c r="W56" s="1760" t="str">
        <f>Z52&amp;"-"&amp;AB52</f>
        <v>-</v>
      </c>
      <c r="X56" s="1759"/>
      <c r="Y56" s="1760" t="str">
        <f>AB52&amp;"-"&amp;AD52</f>
        <v>-нет</v>
      </c>
      <c r="Z56" s="1759"/>
      <c r="AA56" s="1759"/>
      <c r="AB56" s="1759"/>
      <c r="AC56" s="1759"/>
      <c r="AD56" s="2407"/>
      <c r="AE56" s="673"/>
      <c r="AF56" s="675"/>
      <c r="AG56" s="777" t="s">
        <v>503</v>
      </c>
      <c r="AH56" s="1759"/>
      <c r="AI56" s="1759"/>
      <c r="AJ56" s="1759"/>
      <c r="AK56" s="1759"/>
      <c r="AL56" s="1759"/>
      <c r="AM56" s="1759"/>
      <c r="AN56" s="1759"/>
      <c r="AO56" s="1759"/>
      <c r="AP56" s="1759"/>
      <c r="AQ56" s="1759"/>
      <c r="AR56" s="1759"/>
      <c r="AS56" s="1759"/>
      <c r="AT56" s="1759"/>
      <c r="AU56" s="1760" t="str">
        <f>AX52&amp;"-"&amp;AZ52</f>
        <v>45292.40179398148-45657.40186342593</v>
      </c>
      <c r="AV56" s="1759"/>
      <c r="AW56" s="1760" t="str">
        <f>AZ52&amp;"-"&amp;BB52</f>
        <v>45657.40186342593-</v>
      </c>
      <c r="AX56" s="1759"/>
      <c r="AY56" s="1759"/>
      <c r="AZ56" s="1759"/>
      <c r="BA56" s="1759"/>
      <c r="BB56" s="1762" t="str">
        <f>BE52&amp;"-"&amp;BG52</f>
        <v>-</v>
      </c>
      <c r="BC56" s="2558"/>
      <c r="BE56" s="861"/>
      <c r="BF56" s="861" t="str">
        <f>IF(T56="","",T56)</f>
        <v/>
      </c>
      <c r="BG56" s="861"/>
      <c r="BH56" s="861"/>
    </row>
    <row customHeight="1" ht="11.25">
      <c r="A57" s="1729" t="s">
        <v>261</v>
      </c>
      <c r="B57" s="1729" t="s">
        <v>262</v>
      </c>
      <c r="C57" s="1729" t="s">
        <v>263</v>
      </c>
      <c r="D57" s="1729" t="s">
        <v>544</v>
      </c>
      <c r="E57" s="2528"/>
      <c r="F57" s="2528"/>
      <c r="G57" s="2528"/>
      <c r="H57" s="2528"/>
      <c r="I57" s="2530"/>
      <c r="J57" s="2529"/>
      <c r="K57" s="1729"/>
      <c r="L57" s="1730"/>
      <c r="P57" s="2531"/>
      <c r="Q57" s="2531"/>
      <c r="R57" s="717"/>
      <c r="S57" s="1644"/>
      <c r="T57" s="648" t="s">
        <v>465</v>
      </c>
      <c r="U57" s="728"/>
      <c r="V57" s="728"/>
      <c r="W57" s="728"/>
      <c r="X57" s="728"/>
      <c r="Y57" s="728"/>
      <c r="Z57" s="728"/>
      <c r="AA57" s="728"/>
      <c r="AB57" s="728"/>
      <c r="AC57" s="685"/>
      <c r="AD57" s="1871"/>
      <c r="AE57" s="728"/>
      <c r="AF57" s="728"/>
      <c r="AG57" s="728"/>
      <c r="AH57" s="728"/>
      <c r="AI57" s="728"/>
      <c r="AJ57" s="728"/>
      <c r="AK57" s="728"/>
      <c r="AL57" s="728"/>
      <c r="AM57" s="728"/>
      <c r="AN57" s="728"/>
      <c r="AO57" s="728"/>
      <c r="AP57" s="728"/>
      <c r="AQ57" s="728"/>
      <c r="AR57" s="728"/>
      <c r="AS57" s="728"/>
      <c r="AT57" s="728"/>
      <c r="AU57" s="728"/>
      <c r="AV57" s="728"/>
      <c r="AW57" s="728"/>
      <c r="AX57" s="728"/>
      <c r="AY57" s="728"/>
      <c r="AZ57" s="728"/>
      <c r="BA57" s="728"/>
      <c r="BB57" s="685"/>
      <c r="BC57" s="2559"/>
      <c r="BE57" s="861"/>
      <c r="BF57" s="861" t="str">
        <f>IF(T57="","",T57)</f>
        <v>Добавить строку</v>
      </c>
      <c r="BG57" s="861"/>
      <c r="BH57" s="861"/>
    </row>
    <row s="19219" customFormat="1" customHeight="1" ht="0">
      <c r="A58" s="1709" t="s">
        <v>261</v>
      </c>
      <c r="B58" s="1709" t="s">
        <v>262</v>
      </c>
      <c r="C58" s="1709" t="s">
        <v>263</v>
      </c>
      <c r="D58" s="1709" t="s">
        <v>544</v>
      </c>
      <c r="E58" s="2528"/>
      <c r="F58" s="2528"/>
      <c r="G58" s="2528"/>
      <c r="H58" s="2528"/>
      <c r="I58" s="2529"/>
      <c r="J58" s="1709"/>
      <c r="K58" s="1709"/>
      <c r="L58" s="1712"/>
      <c r="M58" s="871"/>
      <c r="N58" s="871"/>
      <c r="O58" s="871"/>
      <c r="P58" s="2531"/>
      <c r="Q58" s="1847"/>
      <c r="R58" s="717"/>
      <c r="S58" s="1752"/>
      <c r="T58" s="1753"/>
      <c r="U58" s="1754"/>
      <c r="V58" s="1754"/>
      <c r="W58" s="1754"/>
      <c r="X58" s="1754"/>
      <c r="Y58" s="1754"/>
      <c r="Z58" s="1754"/>
      <c r="AA58" s="1754"/>
      <c r="AB58" s="1754"/>
      <c r="AC58" s="1754"/>
      <c r="AD58" s="1754"/>
      <c r="AE58" s="1754"/>
      <c r="AF58" s="1754"/>
      <c r="AG58" s="1754"/>
      <c r="AH58" s="1754"/>
      <c r="AI58" s="1754"/>
      <c r="AJ58" s="1754"/>
      <c r="AK58" s="1754"/>
      <c r="AL58" s="1754"/>
      <c r="AM58" s="1754"/>
      <c r="AN58" s="1754"/>
      <c r="AO58" s="1754"/>
      <c r="AP58" s="1754"/>
      <c r="AQ58" s="1754"/>
      <c r="AR58" s="1754"/>
      <c r="AS58" s="1754"/>
      <c r="AT58" s="1754"/>
      <c r="AU58" s="1754"/>
      <c r="AV58" s="1754"/>
      <c r="AW58" s="1754"/>
      <c r="AX58" s="1754"/>
      <c r="AY58" s="1754"/>
      <c r="AZ58" s="1754"/>
      <c r="BA58" s="1754"/>
      <c r="BB58" s="1754"/>
      <c r="BC58" s="1755"/>
      <c r="BE58" s="861"/>
      <c r="BF58" s="861" t="str">
        <f>IF(T58="","",T58)</f>
        <v/>
      </c>
      <c r="BG58" s="861"/>
      <c r="BH58" s="861"/>
    </row>
    <row s="19219" customFormat="1" customHeight="1" ht="0">
      <c r="A59" s="1709" t="s">
        <v>261</v>
      </c>
      <c r="B59" s="1709" t="s">
        <v>262</v>
      </c>
      <c r="C59" s="1709" t="s">
        <v>263</v>
      </c>
      <c r="D59" s="1709" t="s">
        <v>544</v>
      </c>
      <c r="E59" s="2528"/>
      <c r="F59" s="2528"/>
      <c r="G59" s="2528"/>
      <c r="H59" s="2527"/>
      <c r="I59" s="1709"/>
      <c r="J59" s="1709"/>
      <c r="K59" s="1709"/>
      <c r="L59" s="1712"/>
      <c r="M59" s="1681"/>
      <c r="N59" s="1681"/>
      <c r="O59" s="879"/>
      <c r="P59" s="741"/>
      <c r="Q59" s="1710"/>
      <c r="R59" s="1767"/>
      <c r="S59" s="1752"/>
      <c r="T59" s="1753"/>
      <c r="U59" s="1754"/>
      <c r="V59" s="1754"/>
      <c r="W59" s="1754"/>
      <c r="X59" s="1754"/>
      <c r="Y59" s="1754"/>
      <c r="Z59" s="1754"/>
      <c r="AA59" s="1754"/>
      <c r="AB59" s="1754"/>
      <c r="AC59" s="1754"/>
      <c r="AD59" s="1754"/>
      <c r="AE59" s="1754"/>
      <c r="AF59" s="1754"/>
      <c r="AG59" s="1754"/>
      <c r="AH59" s="1754"/>
      <c r="AI59" s="1754"/>
      <c r="AJ59" s="1754"/>
      <c r="AK59" s="1754"/>
      <c r="AL59" s="1754"/>
      <c r="AM59" s="1754"/>
      <c r="AN59" s="1754"/>
      <c r="AO59" s="1754"/>
      <c r="AP59" s="1754"/>
      <c r="AQ59" s="1754"/>
      <c r="AR59" s="1754"/>
      <c r="AS59" s="1754"/>
      <c r="AT59" s="1754"/>
      <c r="AU59" s="1754"/>
      <c r="AV59" s="1754"/>
      <c r="AW59" s="1754"/>
      <c r="AX59" s="1754"/>
      <c r="AY59" s="1754"/>
      <c r="AZ59" s="1754"/>
      <c r="BA59" s="1754"/>
      <c r="BB59" s="1754"/>
      <c r="BC59" s="1755"/>
      <c r="BE59" s="861"/>
      <c r="BF59" s="861" t="str">
        <f>IF(T59="","",T59)</f>
        <v/>
      </c>
      <c r="BG59" s="861"/>
      <c r="BH59" s="861"/>
    </row>
    <row s="19127" customFormat="1" customHeight="1" ht="0">
      <c r="A60" s="1709" t="s">
        <v>261</v>
      </c>
      <c r="B60" s="1709" t="s">
        <v>262</v>
      </c>
      <c r="C60" s="1709" t="s">
        <v>263</v>
      </c>
      <c r="D60" s="1680"/>
      <c r="E60" s="2528"/>
      <c r="F60" s="2528"/>
      <c r="G60" s="2527"/>
      <c r="H60" s="1680"/>
      <c r="I60" s="1680"/>
      <c r="J60" s="1680"/>
      <c r="K60" s="1680"/>
      <c r="L60" s="1860"/>
      <c r="M60" s="1681"/>
      <c r="N60" s="1681"/>
      <c r="P60" s="1682"/>
      <c r="Q60" s="1683"/>
      <c r="R60" s="1682"/>
      <c r="S60" s="1688"/>
      <c r="T60" s="1691"/>
      <c r="U60" s="1690"/>
      <c r="V60" s="1690"/>
      <c r="W60" s="1690"/>
      <c r="X60" s="1690"/>
      <c r="Y60" s="1690"/>
      <c r="Z60" s="1690"/>
      <c r="AA60" s="1690"/>
      <c r="AB60" s="1690"/>
      <c r="AC60" s="1690"/>
      <c r="AD60" s="1690"/>
      <c r="AE60" s="1690"/>
      <c r="AF60" s="1690"/>
      <c r="AG60" s="1690"/>
      <c r="AH60" s="1690"/>
      <c r="AI60" s="1690"/>
      <c r="AJ60" s="1690"/>
      <c r="AK60" s="1690"/>
      <c r="AL60" s="1690"/>
      <c r="AM60" s="1690"/>
      <c r="AN60" s="1690"/>
      <c r="AO60" s="1690"/>
      <c r="AP60" s="1690"/>
      <c r="AQ60" s="1690"/>
      <c r="AR60" s="1690"/>
      <c r="AS60" s="1690"/>
      <c r="AT60" s="1690"/>
      <c r="AU60" s="1690"/>
      <c r="AV60" s="1690"/>
      <c r="AW60" s="1690"/>
      <c r="AX60" s="1690"/>
      <c r="AY60" s="1690"/>
      <c r="AZ60" s="1690"/>
      <c r="BA60" s="1690"/>
      <c r="BB60" s="1690"/>
      <c r="BC60" s="1690"/>
      <c r="BE60" s="1150"/>
      <c r="BF60" s="1150" t="str">
        <f>IF(T60="","",T60)</f>
        <v/>
      </c>
      <c r="BG60" s="1150"/>
      <c r="BH60" s="1150"/>
    </row>
    <row s="19127" customFormat="1" customHeight="1" ht="0">
      <c r="A61" s="1709" t="s">
        <v>261</v>
      </c>
      <c r="B61" s="1709" t="s">
        <v>262</v>
      </c>
      <c r="C61" s="1680"/>
      <c r="D61" s="1680"/>
      <c r="E61" s="2528"/>
      <c r="F61" s="2527"/>
      <c r="G61" s="1680"/>
      <c r="H61" s="1680"/>
      <c r="I61" s="1680"/>
      <c r="J61" s="1680"/>
      <c r="K61" s="1680"/>
      <c r="L61" s="1860"/>
      <c r="M61" s="1687"/>
      <c r="N61" s="1687"/>
      <c r="P61" s="1682"/>
      <c r="Q61" s="1683"/>
      <c r="R61" s="1682"/>
      <c r="S61" s="1688"/>
      <c r="T61" s="1691" t="s">
        <v>251</v>
      </c>
      <c r="U61" s="1690"/>
      <c r="V61" s="1690"/>
      <c r="W61" s="1690"/>
      <c r="X61" s="1690"/>
      <c r="Y61" s="1690"/>
      <c r="Z61" s="1690"/>
      <c r="AA61" s="1690"/>
      <c r="AB61" s="1690"/>
      <c r="AC61" s="1690"/>
      <c r="AD61" s="1690"/>
      <c r="AE61" s="1690"/>
      <c r="AF61" s="1690"/>
      <c r="AG61" s="1690"/>
      <c r="AH61" s="1690"/>
      <c r="AI61" s="1690"/>
      <c r="AJ61" s="1690"/>
      <c r="AK61" s="1690"/>
      <c r="AL61" s="1690"/>
      <c r="AM61" s="1690"/>
      <c r="AN61" s="1690"/>
      <c r="AO61" s="1690"/>
      <c r="AP61" s="1690"/>
      <c r="AQ61" s="1690"/>
      <c r="AR61" s="1690"/>
      <c r="AS61" s="1690"/>
      <c r="AT61" s="1690"/>
      <c r="AU61" s="1690"/>
      <c r="AV61" s="1690"/>
      <c r="AW61" s="1690"/>
      <c r="AX61" s="1690"/>
      <c r="AY61" s="1690"/>
      <c r="AZ61" s="1690"/>
      <c r="BA61" s="1690"/>
      <c r="BB61" s="1690"/>
      <c r="BC61" s="1690"/>
      <c r="BE61" s="1150"/>
      <c r="BF61" s="1150" t="str">
        <f>IF(T61="","",T61)</f>
        <v>Добавить централизованную систему для дифференциации</v>
      </c>
      <c r="BG61" s="1150"/>
      <c r="BH61" s="1150"/>
    </row>
    <row s="19219" customFormat="1" customHeight="1" ht="0">
      <c r="A62" s="1709" t="s">
        <v>261</v>
      </c>
      <c r="B62" s="1709"/>
      <c r="C62" s="1709"/>
      <c r="D62" s="1709"/>
      <c r="E62" s="2527"/>
      <c r="F62" s="1709"/>
      <c r="G62" s="1709"/>
      <c r="H62" s="1709"/>
      <c r="I62" s="1709"/>
      <c r="J62" s="1709"/>
      <c r="K62" s="1709"/>
      <c r="L62" s="1712"/>
      <c r="M62" s="1687"/>
      <c r="N62" s="1687"/>
      <c r="O62" s="879"/>
      <c r="P62" s="741"/>
      <c r="Q62" s="1710"/>
      <c r="R62" s="741"/>
      <c r="S62" s="1688"/>
      <c r="T62" s="1691" t="s">
        <v>252</v>
      </c>
      <c r="U62" s="1690"/>
      <c r="V62" s="1690"/>
      <c r="W62" s="1690"/>
      <c r="X62" s="1690"/>
      <c r="Y62" s="1690"/>
      <c r="Z62" s="1690"/>
      <c r="AA62" s="1690"/>
      <c r="AB62" s="1690"/>
      <c r="AC62" s="1690"/>
      <c r="AD62" s="1690"/>
      <c r="AE62" s="1690"/>
      <c r="AF62" s="1690"/>
      <c r="AG62" s="1690"/>
      <c r="AH62" s="1690"/>
      <c r="AI62" s="1690"/>
      <c r="AJ62" s="1690"/>
      <c r="AK62" s="1690"/>
      <c r="AL62" s="1690"/>
      <c r="AM62" s="1690"/>
      <c r="AN62" s="1690"/>
      <c r="AO62" s="1690"/>
      <c r="AP62" s="1690"/>
      <c r="AQ62" s="1690"/>
      <c r="AR62" s="1690"/>
      <c r="AS62" s="1690"/>
      <c r="AT62" s="1690"/>
      <c r="AU62" s="1690"/>
      <c r="AV62" s="1690"/>
      <c r="AW62" s="1690"/>
      <c r="AX62" s="1690"/>
      <c r="AY62" s="1690"/>
      <c r="AZ62" s="1690"/>
      <c r="BA62" s="1690"/>
      <c r="BB62" s="1690"/>
      <c r="BC62" s="1690"/>
      <c r="BE62" s="861"/>
      <c r="BF62" s="861" t="str">
        <f>IF(T62="","",T62)</f>
        <v>Добавить территорию для дифференциации</v>
      </c>
      <c r="BG62" s="861"/>
      <c r="BH62" s="861"/>
    </row>
    <row s="19127" customFormat="1" customHeight="1" ht="0">
      <c r="A63" s="1680"/>
      <c r="B63" s="1680"/>
      <c r="C63" s="1680"/>
      <c r="D63" s="1680"/>
      <c r="E63" s="1709"/>
      <c r="F63" s="1680"/>
      <c r="G63" s="1680"/>
      <c r="H63" s="1680"/>
      <c r="I63" s="1680"/>
      <c r="J63" s="1680"/>
      <c r="K63" s="1680"/>
      <c r="L63" s="1860"/>
      <c r="M63" s="1687"/>
      <c r="N63" s="1687"/>
      <c r="P63" s="1682"/>
      <c r="Q63" s="1683"/>
      <c r="R63" s="1682"/>
      <c r="S63" s="1688"/>
      <c r="T63" s="1691" t="s">
        <v>253</v>
      </c>
      <c r="U63" s="1690"/>
      <c r="V63" s="1690"/>
      <c r="W63" s="1690"/>
      <c r="X63" s="1690"/>
      <c r="Y63" s="1690"/>
      <c r="Z63" s="1690"/>
      <c r="AA63" s="1690"/>
      <c r="AB63" s="1690"/>
      <c r="AC63" s="1690"/>
      <c r="AD63" s="1690"/>
      <c r="AE63" s="1690"/>
      <c r="AF63" s="1690"/>
      <c r="AG63" s="1690"/>
      <c r="AH63" s="1690"/>
      <c r="AI63" s="1690"/>
      <c r="AJ63" s="1690"/>
      <c r="AK63" s="1690"/>
      <c r="AL63" s="1690"/>
      <c r="AM63" s="1690"/>
      <c r="AN63" s="1690"/>
      <c r="AO63" s="1690"/>
      <c r="AP63" s="1690"/>
      <c r="AQ63" s="1690"/>
      <c r="AR63" s="1690"/>
      <c r="AS63" s="1690"/>
      <c r="AT63" s="1690"/>
      <c r="AU63" s="1690"/>
      <c r="AV63" s="1690"/>
      <c r="AW63" s="1690"/>
      <c r="AX63" s="1690"/>
      <c r="AY63" s="1690"/>
      <c r="AZ63" s="1690"/>
      <c r="BA63" s="1690"/>
      <c r="BB63" s="1690"/>
      <c r="BC63" s="1690"/>
      <c r="BE63" s="1150"/>
      <c r="BF63" s="1150" t="str">
        <f>IF(T63="","",T63)</f>
        <v>Добавить наименование тарифа</v>
      </c>
      <c r="BG63" s="1150"/>
      <c r="BH63" s="1150"/>
    </row>
    <row customHeight="1" ht="11.25">
      <c r="M64" s="1523"/>
      <c r="N64" s="1523"/>
      <c r="O64" s="898"/>
      <c r="P64" s="1523"/>
      <c r="Q64" s="1523"/>
      <c r="R64" s="1518"/>
      <c r="S64" s="1518"/>
      <c r="BD64" s="1518"/>
      <c r="BE64" s="1518"/>
      <c r="BF64" s="1518"/>
      <c r="BG64" s="1518"/>
      <c r="BH64" s="1518"/>
    </row>
    <row customHeight="1" ht="18.75">
      <c r="O65" s="898"/>
      <c r="S65" s="1618"/>
      <c r="T65" s="2526"/>
      <c r="U65" s="2526"/>
      <c r="V65" s="2526"/>
      <c r="W65" s="2526"/>
      <c r="X65" s="2526"/>
      <c r="Y65" s="2526"/>
      <c r="Z65" s="2526"/>
      <c r="AA65" s="2526"/>
      <c r="AB65" s="2526"/>
      <c r="AC65" s="2526"/>
      <c r="AD65" s="2526"/>
      <c r="AE65" s="2526"/>
      <c r="AF65" s="2526"/>
      <c r="AG65" s="2526"/>
      <c r="AH65" s="2526"/>
      <c r="AI65" s="2526"/>
      <c r="AJ65" s="2526"/>
      <c r="AK65" s="2526"/>
      <c r="AL65" s="2526"/>
      <c r="AM65" s="2526"/>
      <c r="AN65" s="2526"/>
      <c r="AO65" s="2526"/>
      <c r="AP65" s="2526"/>
      <c r="AQ65" s="2526"/>
      <c r="AR65" s="2526"/>
      <c r="AS65" s="2526"/>
      <c r="AT65" s="2526"/>
      <c r="AU65" s="2526"/>
      <c r="AV65" s="2526"/>
      <c r="AW65" s="2526"/>
      <c r="AX65" s="2526"/>
      <c r="AY65" s="2526"/>
      <c r="AZ65" s="2526"/>
      <c r="BA65" s="2526"/>
      <c r="BB65" s="2526"/>
      <c r="BC65" s="2526"/>
    </row>
    <row customHeight="1" ht="14.25">
      <c r="O66" s="898"/>
      <c r="T66" s="1846"/>
      <c r="U66" s="1846"/>
      <c r="V66" s="1846"/>
      <c r="W66" s="1846"/>
      <c r="X66" s="1846"/>
      <c r="Y66" s="1846"/>
      <c r="Z66" s="1846"/>
      <c r="AA66" s="1846"/>
      <c r="AB66" s="1846"/>
      <c r="AC66" s="1846"/>
      <c r="AD66" s="1846"/>
      <c r="AE66" s="1846"/>
      <c r="AF66" s="1846"/>
      <c r="AG66" s="1846"/>
      <c r="AH66" s="1846"/>
      <c r="AI66" s="1846"/>
      <c r="AJ66" s="1846"/>
      <c r="AK66" s="1846"/>
      <c r="AL66" s="1846"/>
      <c r="AM66" s="1846"/>
      <c r="AN66" s="1846"/>
      <c r="AO66" s="1846"/>
      <c r="AP66" s="1846"/>
      <c r="AQ66" s="1846"/>
      <c r="AR66" s="1846"/>
      <c r="AS66" s="1846"/>
      <c r="AT66" s="1846"/>
      <c r="AU66" s="1846"/>
      <c r="AV66" s="1846"/>
      <c r="AW66" s="1846"/>
      <c r="AX66" s="1846"/>
      <c r="AY66" s="1846"/>
      <c r="AZ66" s="1846"/>
      <c r="BA66" s="1846"/>
      <c r="BB66" s="1846"/>
      <c r="BC66" s="1846"/>
    </row>
    <row customHeight="1" ht="18.75">
      <c r="O67" s="898"/>
      <c r="S67" s="1618"/>
      <c r="T67" s="2526"/>
      <c r="U67" s="2526"/>
      <c r="V67" s="2526"/>
      <c r="W67" s="2526"/>
      <c r="X67" s="2526"/>
      <c r="Y67" s="2526"/>
      <c r="Z67" s="2526"/>
      <c r="AA67" s="2526"/>
      <c r="AB67" s="2526"/>
      <c r="AC67" s="2526"/>
      <c r="AD67" s="2526"/>
      <c r="AE67" s="2526"/>
      <c r="AF67" s="2526"/>
      <c r="AG67" s="2526"/>
      <c r="AH67" s="2526"/>
      <c r="AI67" s="2526"/>
      <c r="AJ67" s="2526"/>
      <c r="AK67" s="2526"/>
      <c r="AL67" s="2526"/>
      <c r="AM67" s="2526"/>
      <c r="AN67" s="2526"/>
      <c r="AO67" s="2526"/>
      <c r="AP67" s="2526"/>
      <c r="AQ67" s="2526"/>
      <c r="AR67" s="2526"/>
      <c r="AS67" s="2526"/>
      <c r="AT67" s="2526"/>
      <c r="AU67" s="2526"/>
      <c r="AV67" s="2526"/>
      <c r="AW67" s="2526"/>
      <c r="AX67" s="2526"/>
      <c r="AY67" s="2526"/>
      <c r="AZ67" s="2526"/>
      <c r="BA67" s="2526"/>
      <c r="BB67" s="2526"/>
      <c r="BC67" s="2526"/>
    </row>
    <row customHeight="1" ht="14.25">
      <c r="O68" s="898"/>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C5DA15-D4B4-93F5-9CC3-AC058E996777}"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19751" width="10.7109375" hidden="1" customWidth="1"/>
    <col min="2" max="2" style="19146" width="16.8515625" hidden="1" customWidth="1"/>
    <col min="3" max="3" style="19272" width="5.57421875" hidden="1" customWidth="1"/>
    <col min="4" max="4" style="19752" width="3.7109375" customWidth="1"/>
    <col min="5" max="5" style="19274" width="7.7109375" customWidth="1"/>
    <col min="6" max="6" style="19274" width="54.57421875" customWidth="1"/>
    <col min="7" max="7" style="19274" width="10.421875" customWidth="1"/>
    <col min="8" max="8" style="19274" width="40.7109375" hidden="1" customWidth="1"/>
    <col min="9" max="9" style="19274" width="40.7109375" customWidth="1"/>
    <col min="10" max="10" style="19274" width="102.8515625" customWidth="1"/>
    <col min="11" max="11" style="19146" width="9.7109375" customWidth="1"/>
    <col min="12" max="12" style="19272" width="5.28125" customWidth="1"/>
    <col min="13" max="13" style="19272" width="3.7109375" customWidth="1"/>
    <col min="14" max="17" style="19146" width="3.7109375" customWidth="1"/>
    <col min="18" max="18" style="19272" width="10.57421875" customWidth="1"/>
    <col min="19" max="19" style="19146" width="34.7109375" customWidth="1"/>
    <col min="20" max="20" style="19146" width="9.421875" customWidth="1"/>
    <col min="21" max="21" style="19753" width="9.140625"/>
    <col min="22" max="26" style="19146" width="9.140625"/>
    <col min="27" max="31" style="19655" width="9.140625"/>
  </cols>
  <sheetData>
    <row customHeight="1" ht="11.25" hidden="1"/>
    <row customHeight="1" ht="23.25" hidden="1">
      <c r="B2" s="2374"/>
      <c r="C2" s="1530" t="s">
        <v>545</v>
      </c>
      <c r="D2" s="2004"/>
      <c r="E2" s="907">
        <f>B2</f>
        <v>0</v>
      </c>
      <c r="F2" s="908"/>
      <c r="G2" s="2012" t="s">
        <v>546</v>
      </c>
      <c r="H2" s="2012" t="s">
        <v>546</v>
      </c>
      <c r="I2" s="2012" t="s">
        <v>546</v>
      </c>
      <c r="J2" s="650" t="s">
        <v>547</v>
      </c>
      <c r="K2" s="904"/>
    </row>
    <row s="19272" customFormat="1" customHeight="1" ht="0.75" hidden="1">
      <c r="B3" s="2374"/>
      <c r="C3" s="1530"/>
      <c r="D3" s="909"/>
      <c r="E3" s="910"/>
      <c r="F3" s="911" t="s">
        <v>548</v>
      </c>
      <c r="G3" s="912"/>
      <c r="H3" s="912">
        <f>H4*H5+H7</f>
        <v>0</v>
      </c>
      <c r="I3" s="912">
        <f>I4*I5+I6</f>
        <v>0</v>
      </c>
      <c r="J3" s="913"/>
    </row>
    <row customHeight="1" ht="23.25" hidden="1">
      <c r="B4" s="2374"/>
      <c r="C4" s="1530"/>
      <c r="D4" s="2004"/>
      <c r="E4" s="907" t="str">
        <f>B2&amp;".1"</f>
        <v>.1</v>
      </c>
      <c r="F4" s="914" t="s">
        <v>549</v>
      </c>
      <c r="G4" s="915"/>
      <c r="H4" s="902"/>
      <c r="I4" s="902"/>
      <c r="J4" s="650" t="s">
        <v>550</v>
      </c>
      <c r="K4" s="904"/>
    </row>
    <row customHeight="1" ht="18.75" hidden="1">
      <c r="B5" s="2374"/>
      <c r="C5" s="1530"/>
      <c r="D5" s="2004"/>
      <c r="E5" s="907" t="str">
        <f>B2&amp;".2"</f>
        <v>.2</v>
      </c>
      <c r="F5" s="914" t="s">
        <v>551</v>
      </c>
      <c r="G5" s="2012" t="s">
        <v>552</v>
      </c>
      <c r="H5" s="902"/>
      <c r="I5" s="902"/>
      <c r="J5" s="650"/>
      <c r="K5" s="904"/>
    </row>
    <row customHeight="1" ht="18.75" hidden="1">
      <c r="B6" s="2374"/>
      <c r="C6" s="1530"/>
      <c r="D6" s="2004"/>
      <c r="E6" s="907" t="str">
        <f>B2&amp;".3"</f>
        <v>.3</v>
      </c>
      <c r="F6" s="914" t="s">
        <v>553</v>
      </c>
      <c r="G6" s="2012" t="s">
        <v>552</v>
      </c>
      <c r="H6" s="902"/>
      <c r="I6" s="902"/>
      <c r="J6" s="650"/>
      <c r="K6" s="904"/>
    </row>
    <row customHeight="1" ht="18.75" hidden="1">
      <c r="B7" s="2374"/>
      <c r="C7" s="1530"/>
      <c r="D7" s="2004"/>
      <c r="E7" s="907" t="str">
        <f>B2&amp;".4"</f>
        <v>.4</v>
      </c>
      <c r="F7" s="914" t="s">
        <v>554</v>
      </c>
      <c r="G7" s="2012" t="s">
        <v>546</v>
      </c>
      <c r="H7" s="916"/>
      <c r="I7" s="916"/>
      <c r="J7" s="650"/>
      <c r="K7" s="904"/>
    </row>
    <row s="19146" customFormat="1" customHeight="1" ht="11.25" hidden="1">
      <c r="A8" s="1349"/>
      <c r="C8" s="2002"/>
      <c r="D8" s="898"/>
      <c r="H8" s="1523">
        <v>4</v>
      </c>
      <c r="I8" s="1523">
        <v>4</v>
      </c>
      <c r="L8" s="2002"/>
      <c r="M8" s="2002"/>
      <c r="R8" s="2002"/>
    </row>
    <row s="19146" customFormat="1" customHeight="1" ht="22.5" hidden="1">
      <c r="A9" s="1349"/>
      <c r="C9" s="2002"/>
      <c r="D9" s="899"/>
      <c r="E9" s="2014"/>
      <c r="F9" s="901"/>
      <c r="G9" s="2012" t="s">
        <v>552</v>
      </c>
      <c r="H9" s="902"/>
      <c r="I9" s="902"/>
      <c r="J9" s="903" t="s">
        <v>555</v>
      </c>
      <c r="K9" s="904"/>
      <c r="L9" s="2002"/>
      <c r="M9" s="2002"/>
      <c r="R9" s="2002"/>
      <c r="U9" s="905"/>
      <c r="AA9" s="1998"/>
      <c r="AB9" s="1998"/>
      <c r="AC9" s="1998"/>
      <c r="AD9" s="1998"/>
      <c r="AE9" s="1998"/>
    </row>
    <row customHeight="1" ht="11.25" hidden="1"/>
    <row customHeight="1" ht="18.75" hidden="1">
      <c r="D11" s="2004"/>
      <c r="E11" s="907"/>
      <c r="F11" s="901"/>
      <c r="G11" s="2012" t="s">
        <v>556</v>
      </c>
      <c r="H11" s="902"/>
      <c r="I11" s="902"/>
      <c r="J11" s="650" t="s">
        <v>557</v>
      </c>
      <c r="K11" s="904"/>
    </row>
    <row customHeight="1" ht="11.25" hidden="1"/>
    <row customHeight="1" ht="22.5" hidden="1">
      <c r="D13" s="2004"/>
      <c r="E13" s="907"/>
      <c r="F13" s="901"/>
      <c r="G13" s="1331" t="s">
        <v>558</v>
      </c>
      <c r="H13" s="906"/>
      <c r="I13" s="906"/>
      <c r="J13" s="1106" t="s">
        <v>559</v>
      </c>
      <c r="K13" s="904"/>
    </row>
    <row customHeight="1" ht="11.25" hidden="1"/>
    <row customHeight="1" ht="22.5" hidden="1">
      <c r="D15" s="2004"/>
      <c r="E15" s="907"/>
      <c r="F15" s="901"/>
      <c r="G15" s="2012" t="s">
        <v>560</v>
      </c>
      <c r="H15" s="906"/>
      <c r="I15" s="906"/>
      <c r="J15" s="650" t="s">
        <v>561</v>
      </c>
      <c r="K15" s="904"/>
    </row>
    <row customHeight="1" ht="11.25" hidden="1"/>
    <row customHeight="1" ht="22.5" hidden="1">
      <c r="D17" s="2004"/>
      <c r="E17" s="907"/>
      <c r="F17" s="901"/>
      <c r="G17" s="2012" t="s">
        <v>562</v>
      </c>
      <c r="H17" s="906"/>
      <c r="I17" s="906"/>
      <c r="J17" s="650" t="s">
        <v>563</v>
      </c>
      <c r="K17" s="904"/>
    </row>
    <row customHeight="1" ht="11.25" hidden="1"/>
    <row s="19655" customFormat="1" customHeight="1" ht="11.25" hidden="1">
      <c r="A19" s="1349"/>
      <c r="B19" s="1523"/>
      <c r="C19" s="2002"/>
      <c r="D19" s="723"/>
      <c r="J19" s="1998">
        <v>4</v>
      </c>
      <c r="K19" s="1523"/>
      <c r="L19" s="2002"/>
      <c r="M19" s="2002"/>
      <c r="N19" s="1523"/>
      <c r="O19" s="1523"/>
      <c r="P19" s="1523"/>
      <c r="Q19" s="1523"/>
      <c r="R19" s="2002"/>
      <c r="S19" s="1523"/>
      <c r="T19" s="1523"/>
      <c r="U19" s="905"/>
      <c r="V19" s="1523"/>
      <c r="W19" s="1523"/>
      <c r="X19" s="1523"/>
      <c r="Y19" s="1523"/>
      <c r="Z19" s="1523"/>
    </row>
    <row r="21" customHeight="1" ht="24">
      <c r="E21" s="2560"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560"/>
      <c r="G21" s="2560"/>
      <c r="H21" s="2560"/>
      <c r="I21" s="2560"/>
      <c r="J21" s="917"/>
    </row>
    <row customHeight="1" ht="24">
      <c r="E22" s="2561" t="str">
        <f>IF(org=0,"Не определено",org)</f>
        <v>Филиал "Шатурская ГРЭС" ПАО "Юнипро"</v>
      </c>
      <c r="F22" s="2561"/>
      <c r="G22" s="2561"/>
      <c r="H22" s="2561"/>
      <c r="I22" s="2561"/>
    </row>
    <row customHeight="1" ht="11.25">
      <c r="E23" s="1498"/>
      <c r="F23" s="1498"/>
      <c r="G23" s="1498"/>
      <c r="H23" s="1498"/>
      <c r="I23" s="1498"/>
    </row>
    <row s="19272" customFormat="1" customHeight="1" ht="0.75">
      <c r="A24" s="1530"/>
      <c r="D24" s="2008"/>
      <c r="H24" s="1250"/>
      <c r="I24" s="1250" t="s">
        <v>114</v>
      </c>
    </row>
    <row customHeight="1" ht="11.25">
      <c r="E25" s="1072"/>
      <c r="F25" s="2636" t="s">
        <v>102</v>
      </c>
      <c r="G25" s="2637"/>
      <c r="H25" s="2018" t="str">
        <f>IF(H24="","",INDEX(DIFFERENTIATION_UNMERGE_VD,MATCH(H24,DIFFERENTIATION_ID_DIFF,0)))</f>
        <v/>
      </c>
      <c r="I25" s="2018">
        <f>IF(I24="","",INDEX(DIFFERENTIATION_UNMERGE_VD,MATCH(I24,DIFFERENTIATION_ID_DIFF,0)))</f>
        <v>0</v>
      </c>
      <c r="J25" s="2392"/>
    </row>
    <row customHeight="1" ht="11.25">
      <c r="E26" s="1072"/>
      <c r="F26" s="2636" t="s">
        <v>564</v>
      </c>
      <c r="G26" s="2637"/>
      <c r="H26" s="2018" t="str">
        <f>IF(H24="","",INDEX(DIFFERENTIATION_UNMERGE_AREA,MATCH(H24,DIFFERENTIATION_ID_DIFF,0)))</f>
        <v/>
      </c>
      <c r="I26" s="2018" t="str">
        <f>IF(I24="","",INDEX(DIFFERENTIATION_UNMERGE_AREA,MATCH(I24,DIFFERENTIATION_ID_DIFF,0)))</f>
        <v/>
      </c>
      <c r="J26" s="2392"/>
    </row>
    <row customHeight="1" ht="11.25">
      <c r="E27" s="1072"/>
      <c r="F27" s="2636" t="s">
        <v>565</v>
      </c>
      <c r="G27" s="2637"/>
      <c r="H27" s="2018" t="str">
        <f>IF(H24="","",INDEX(DIFFERENTIATION_UNMERGE_SYSTEM,MATCH(H24,DIFFERENTIATION_ID_DIFF,0)))</f>
        <v/>
      </c>
      <c r="I27" s="2018" t="str">
        <f>IF(I24="","",INDEX(DIFFERENTIATION_UNMERGE_SYSTEM,MATCH(I24,DIFFERENTIATION_ID_DIFF,0)))</f>
        <v>без дифференциации</v>
      </c>
      <c r="J27" s="2392"/>
    </row>
    <row customHeight="1" ht="11.25">
      <c r="E28" s="2638" t="s">
        <v>300</v>
      </c>
      <c r="F28" s="2639"/>
      <c r="G28" s="2639"/>
      <c r="H28" s="2011"/>
      <c r="I28" s="2011"/>
      <c r="J28" s="2392"/>
    </row>
    <row customHeight="1" ht="22.5">
      <c r="E29" s="2012" t="s">
        <v>85</v>
      </c>
      <c r="F29" s="2019" t="s">
        <v>302</v>
      </c>
      <c r="G29" s="2019" t="s">
        <v>566</v>
      </c>
      <c r="H29" s="2019" t="s">
        <v>303</v>
      </c>
      <c r="I29" s="2019" t="s">
        <v>303</v>
      </c>
      <c r="J29" s="2392"/>
    </row>
    <row customHeight="1" ht="18.75">
      <c r="D30" s="2004"/>
      <c r="E30" s="907">
        <f>FHD_NUM_P_1</f>
        <v>1</v>
      </c>
      <c r="F30" s="2247" t="str">
        <f>FHD_P_1</f>
        <v>Выручка от регулируемых видов деятельности в сфере горячего водоснабжения</v>
      </c>
      <c r="G30" s="2245" t="s">
        <v>552</v>
      </c>
      <c r="H30" s="918"/>
      <c r="I30" s="918"/>
      <c r="J30" s="650" t="str">
        <f>FHD_NOTE_P_1</f>
        <v>Указывается выручка с распределением по видам деятельности.</v>
      </c>
      <c r="K30" s="904"/>
    </row>
    <row customHeight="1" ht="11.25">
      <c r="D31" s="2004"/>
      <c r="E31" s="907">
        <f>FHD_NUM_P_2</f>
        <v>2</v>
      </c>
      <c r="F31" s="2247" t="str">
        <f>FHD_P_2</f>
        <v>Себестоимость производимых товаров (оказываемых услуг) по регулируемым видам деятельности в сфере горячего водоснабжения, включая:</v>
      </c>
      <c r="G31" s="2245" t="s">
        <v>552</v>
      </c>
      <c r="H31" s="919">
        <f>SUMIF($K33:$K71,$K31,H33:H71)</f>
        <v>0</v>
      </c>
      <c r="I31" s="919">
        <f>SUMIF($K33:$K71,$K31,I33:I71)</f>
        <v>0</v>
      </c>
      <c r="J31" s="650" t="str">
        <f>FHD_NOTE_P_2</f>
        <v>Указывается суммарная себестоимость производимых товаров.</v>
      </c>
      <c r="K31" s="2002" t="s">
        <v>567</v>
      </c>
    </row>
    <row customHeight="1" ht="11.25">
      <c r="D32" s="2004"/>
      <c r="E32" s="907" t="str">
        <f>FHD_NUM_P_3</f>
        <v>2.1</v>
      </c>
      <c r="F32" s="1890" t="str">
        <f>FHD_P_3</f>
        <v>Расходы на приобретаемую тепловую энергию (мощность), используемую для горячего водоснабжения</v>
      </c>
      <c r="G32" s="2245" t="s">
        <v>552</v>
      </c>
      <c r="H32" s="918"/>
      <c r="I32" s="918"/>
      <c r="J32" s="650" t="str">
        <f>FHD_NOTE_P_3</f>
        <v/>
      </c>
      <c r="K32" s="2002" t="str">
        <f>IF((LEN(E32)-LEN(SUBSTITUTE(E32,".","")))/LEN(".")=1,"p","")</f>
        <v>p</v>
      </c>
    </row>
    <row customHeight="1" ht="11.25" hidden="1">
      <c r="A33" s="2633" t="s">
        <v>568</v>
      </c>
      <c r="D33" s="2004"/>
      <c r="E33" s="907" t="str">
        <f>FHD_NUM_P_4</f>
        <v/>
      </c>
      <c r="F33" s="1890" t="str">
        <f>FHD_P_4</f>
        <v/>
      </c>
      <c r="G33" s="2245" t="s">
        <v>552</v>
      </c>
      <c r="H33" s="919">
        <f>SUMIF($F34:$F40,$F3,H34:H40)</f>
        <v>0</v>
      </c>
      <c r="I33" s="919">
        <f>SUMIF($F34:$F40,$F3,I34:I40)</f>
        <v>0</v>
      </c>
      <c r="J33" s="650" t="str">
        <f>FHD_NOTE_P_4</f>
        <v/>
      </c>
      <c r="K33" s="2002" t="str">
        <f>IF((LEN(E33)-LEN(SUBSTITUTE(E33,".","")))/LEN(".")=1,"p","")</f>
        <v/>
      </c>
    </row>
    <row s="19269" customFormat="1" customHeight="1" ht="0.75" hidden="1">
      <c r="A34" s="2633"/>
      <c r="B34" s="2634" t="str">
        <f>E33&amp;".0"</f>
        <v>.0</v>
      </c>
      <c r="C34" s="1530"/>
      <c r="D34" s="921"/>
      <c r="E34" s="922"/>
      <c r="F34" s="923"/>
      <c r="G34" s="924"/>
      <c r="H34" s="858"/>
      <c r="I34" s="858"/>
      <c r="J34" s="925"/>
      <c r="K34" s="2002" t="str">
        <f>IF((LEN(E34)-LEN(SUBSTITUTE(E34,".","")))/LEN(".")=1,"p","")</f>
        <v/>
      </c>
      <c r="L34" s="2002"/>
      <c r="M34" s="2002"/>
      <c r="N34" s="2002"/>
      <c r="O34" s="2002"/>
      <c r="P34" s="2002"/>
      <c r="Q34" s="2002"/>
      <c r="R34" s="2002"/>
      <c r="S34" s="2002"/>
      <c r="T34" s="2002"/>
      <c r="U34" s="926"/>
      <c r="V34" s="2002"/>
      <c r="W34" s="2002"/>
      <c r="X34" s="2002"/>
      <c r="Y34" s="2002"/>
      <c r="Z34" s="2002"/>
      <c r="AA34" s="927"/>
      <c r="AB34" s="927"/>
      <c r="AC34" s="927"/>
      <c r="AD34" s="927"/>
      <c r="AE34" s="927"/>
    </row>
    <row s="19269" customFormat="1" customHeight="1" ht="0.75" hidden="1">
      <c r="A35" s="2633"/>
      <c r="B35" s="2634"/>
      <c r="C35" s="1530"/>
      <c r="D35" s="921"/>
      <c r="E35" s="928"/>
      <c r="F35" s="929"/>
      <c r="G35" s="924"/>
      <c r="H35" s="930"/>
      <c r="I35" s="930"/>
      <c r="J35" s="925"/>
      <c r="K35" s="2002" t="str">
        <f>IF((LEN(E35)-LEN(SUBSTITUTE(E35,".","")))/LEN(".")=1,"p","")</f>
        <v/>
      </c>
      <c r="L35" s="2002"/>
      <c r="M35" s="2002"/>
      <c r="N35" s="2002"/>
      <c r="O35" s="2002"/>
      <c r="P35" s="2002"/>
      <c r="Q35" s="2002"/>
      <c r="R35" s="2002"/>
      <c r="S35" s="2002"/>
      <c r="T35" s="2002"/>
      <c r="U35" s="926"/>
      <c r="V35" s="2002"/>
      <c r="W35" s="2002"/>
      <c r="X35" s="2002"/>
      <c r="Y35" s="2002"/>
      <c r="Z35" s="2002"/>
      <c r="AA35" s="927"/>
      <c r="AB35" s="927"/>
      <c r="AC35" s="927"/>
      <c r="AD35" s="927"/>
      <c r="AE35" s="927"/>
    </row>
    <row s="19269" customFormat="1" customHeight="1" ht="0.75" hidden="1">
      <c r="A36" s="2633"/>
      <c r="B36" s="2634"/>
      <c r="C36" s="1530"/>
      <c r="D36" s="921"/>
      <c r="E36" s="928"/>
      <c r="F36" s="929"/>
      <c r="G36" s="924"/>
      <c r="H36" s="930"/>
      <c r="I36" s="930"/>
      <c r="J36" s="925"/>
      <c r="K36" s="2002" t="str">
        <f>IF((LEN(E36)-LEN(SUBSTITUTE(E36,".","")))/LEN(".")=1,"p","")</f>
        <v/>
      </c>
      <c r="L36" s="2002"/>
      <c r="M36" s="2002"/>
      <c r="N36" s="2002"/>
      <c r="O36" s="2002"/>
      <c r="P36" s="2002"/>
      <c r="Q36" s="2002"/>
      <c r="R36" s="2002"/>
      <c r="S36" s="2002"/>
      <c r="T36" s="2002"/>
      <c r="U36" s="926"/>
      <c r="V36" s="2002"/>
      <c r="W36" s="2002"/>
      <c r="X36" s="2002"/>
      <c r="Y36" s="2002"/>
      <c r="Z36" s="2002"/>
      <c r="AA36" s="927"/>
      <c r="AB36" s="927"/>
      <c r="AC36" s="927"/>
      <c r="AD36" s="927"/>
      <c r="AE36" s="927"/>
    </row>
    <row s="19269" customFormat="1" customHeight="1" ht="0.75" hidden="1">
      <c r="A37" s="2633"/>
      <c r="B37" s="2634"/>
      <c r="C37" s="1530"/>
      <c r="D37" s="921"/>
      <c r="E37" s="928"/>
      <c r="F37" s="929"/>
      <c r="G37" s="924"/>
      <c r="H37" s="930"/>
      <c r="I37" s="930"/>
      <c r="J37" s="925"/>
      <c r="K37" s="2002" t="str">
        <f>IF((LEN(E37)-LEN(SUBSTITUTE(E37,".","")))/LEN(".")=1,"p","")</f>
        <v/>
      </c>
      <c r="L37" s="2002"/>
      <c r="M37" s="2002"/>
      <c r="N37" s="2002"/>
      <c r="O37" s="2002"/>
      <c r="P37" s="2002"/>
      <c r="Q37" s="2002"/>
      <c r="R37" s="2002"/>
      <c r="S37" s="2002"/>
      <c r="T37" s="2002"/>
      <c r="U37" s="926"/>
      <c r="V37" s="2002"/>
      <c r="W37" s="2002"/>
      <c r="X37" s="2002"/>
      <c r="Y37" s="2002"/>
      <c r="Z37" s="2002"/>
      <c r="AA37" s="927"/>
      <c r="AB37" s="927"/>
      <c r="AC37" s="927"/>
      <c r="AD37" s="927"/>
      <c r="AE37" s="927"/>
    </row>
    <row s="19269" customFormat="1" customHeight="1" ht="0.75" hidden="1">
      <c r="A38" s="2633"/>
      <c r="B38" s="2634"/>
      <c r="C38" s="1530"/>
      <c r="D38" s="921"/>
      <c r="E38" s="928"/>
      <c r="F38" s="929"/>
      <c r="G38" s="924"/>
      <c r="H38" s="930"/>
      <c r="I38" s="930"/>
      <c r="J38" s="925"/>
      <c r="K38" s="2002" t="str">
        <f>IF((LEN(E38)-LEN(SUBSTITUTE(E38,".","")))/LEN(".")=1,"p","")</f>
        <v/>
      </c>
      <c r="L38" s="2002"/>
      <c r="M38" s="2002"/>
      <c r="N38" s="2002"/>
      <c r="O38" s="2002"/>
      <c r="P38" s="2002"/>
      <c r="Q38" s="2002"/>
      <c r="R38" s="2002"/>
      <c r="S38" s="2002"/>
      <c r="T38" s="2002"/>
      <c r="U38" s="926"/>
      <c r="V38" s="2002"/>
      <c r="W38" s="2002"/>
      <c r="X38" s="2002"/>
      <c r="Y38" s="2002"/>
      <c r="Z38" s="2002"/>
      <c r="AA38" s="927"/>
      <c r="AB38" s="927"/>
      <c r="AC38" s="927"/>
      <c r="AD38" s="927"/>
      <c r="AE38" s="927"/>
    </row>
    <row s="19269" customFormat="1" customHeight="1" ht="0.75" hidden="1">
      <c r="A39" s="2633"/>
      <c r="B39" s="2634"/>
      <c r="C39" s="1530"/>
      <c r="D39" s="921"/>
      <c r="E39" s="928"/>
      <c r="F39" s="929"/>
      <c r="G39" s="924"/>
      <c r="H39" s="858"/>
      <c r="I39" s="858"/>
      <c r="J39" s="925"/>
      <c r="K39" s="2002" t="str">
        <f>IF((LEN(E39)-LEN(SUBSTITUTE(E39,".","")))/LEN(".")=1,"p","")</f>
        <v/>
      </c>
      <c r="L39" s="2002"/>
      <c r="M39" s="2002"/>
      <c r="N39" s="2002"/>
      <c r="O39" s="2002"/>
      <c r="P39" s="2002"/>
      <c r="Q39" s="2002"/>
      <c r="R39" s="2002"/>
      <c r="S39" s="2002"/>
      <c r="T39" s="2002"/>
      <c r="U39" s="926"/>
      <c r="V39" s="2002"/>
      <c r="W39" s="2002"/>
      <c r="X39" s="2002"/>
      <c r="Y39" s="2002"/>
      <c r="Z39" s="2002"/>
      <c r="AA39" s="927"/>
      <c r="AB39" s="927"/>
      <c r="AC39" s="927"/>
      <c r="AD39" s="927"/>
      <c r="AE39" s="927"/>
    </row>
    <row s="19146" customFormat="1" customHeight="1" ht="15" hidden="1">
      <c r="A40" s="2633"/>
      <c r="C40" s="2002"/>
      <c r="D40" s="1999"/>
      <c r="E40" s="931"/>
      <c r="F40" s="932" t="s">
        <v>569</v>
      </c>
      <c r="G40" s="933"/>
      <c r="H40" s="934"/>
      <c r="I40" s="934"/>
      <c r="J40" s="662"/>
      <c r="K40" s="2002" t="str">
        <f>IF((LEN(E40)-LEN(SUBSTITUTE(E40,".","")))/LEN(".")=1,"p","")</f>
        <v/>
      </c>
      <c r="L40" s="2002"/>
      <c r="M40" s="2002"/>
      <c r="R40" s="2002"/>
      <c r="U40" s="905"/>
      <c r="AA40" s="1998"/>
      <c r="AB40" s="1998"/>
      <c r="AC40" s="1998"/>
      <c r="AD40" s="1998"/>
      <c r="AE40" s="1998"/>
    </row>
    <row customHeight="1" ht="11.25">
      <c r="A41" s="2633" t="s">
        <v>570</v>
      </c>
      <c r="D41" s="2004"/>
      <c r="E41" s="907" t="str">
        <f>FHD_NUM_P_5</f>
        <v>2.2</v>
      </c>
      <c r="F41" s="1890" t="str">
        <f>FHD_P_5</f>
        <v>Расходы на тепловую энергию, производимую с применением собственных источников и используемую для горячего водоснабжения</v>
      </c>
      <c r="G41" s="2245" t="s">
        <v>552</v>
      </c>
      <c r="H41" s="918"/>
      <c r="I41" s="918"/>
      <c r="J41" s="650" t="str">
        <f>FHD_NOTE_P_5</f>
        <v/>
      </c>
      <c r="K41" s="2002" t="str">
        <f>IF((LEN(E41)-LEN(SUBSTITUTE(E41,".","")))/LEN(".")=1,"p","")</f>
        <v>p</v>
      </c>
    </row>
    <row customHeight="1" ht="11.25">
      <c r="A42" s="2633"/>
      <c r="D42" s="2004"/>
      <c r="E42" s="907" t="str">
        <f>FHD_NUM_P_6</f>
        <v>2.3</v>
      </c>
      <c r="F42" s="1890" t="str">
        <f>FHD_P_6</f>
        <v>Расходы на приобретаемую холодную воду, используемую для горячего водоснабжения</v>
      </c>
      <c r="G42" s="2245" t="s">
        <v>552</v>
      </c>
      <c r="H42" s="918"/>
      <c r="I42" s="918"/>
      <c r="J42" s="650" t="str">
        <f>FHD_NOTE_P_6</f>
        <v/>
      </c>
      <c r="K42" s="2002" t="str">
        <f>IF((LEN(E42)-LEN(SUBSTITUTE(E42,".","")))/LEN(".")=1,"p","")</f>
        <v>p</v>
      </c>
    </row>
    <row customHeight="1" ht="11.25">
      <c r="A43" s="2633"/>
      <c r="D43" s="2004"/>
      <c r="E43" s="907" t="str">
        <f>FHD_NUM_P_7</f>
        <v>2.4</v>
      </c>
      <c r="F43" s="1890"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2245" t="s">
        <v>552</v>
      </c>
      <c r="H43" s="918"/>
      <c r="I43" s="918"/>
      <c r="J43" s="650" t="str">
        <f>FHD_NOTE_P_7</f>
        <v/>
      </c>
      <c r="K43" s="2002" t="str">
        <f>IF((LEN(E43)-LEN(SUBSTITUTE(E43,".","")))/LEN(".")=1,"p","")</f>
        <v>p</v>
      </c>
    </row>
    <row customHeight="1" ht="11.25">
      <c r="D44" s="2004"/>
      <c r="E44" s="907" t="str">
        <f>FHD_NUM_P_8</f>
        <v>2.5</v>
      </c>
      <c r="F44" s="1890" t="str">
        <f>FHD_P_8</f>
        <v>Расходы на приобретаемую электрическую энергию (мощность), используемую в технологическом процессе</v>
      </c>
      <c r="G44" s="2245" t="s">
        <v>552</v>
      </c>
      <c r="H44" s="918"/>
      <c r="I44" s="918"/>
      <c r="J44" s="650" t="str">
        <f>FHD_NOTE_P_8</f>
        <v/>
      </c>
      <c r="K44" s="2002" t="str">
        <f>IF((LEN(E44)-LEN(SUBSTITUTE(E44,".","")))/LEN(".")=1,"p","")</f>
        <v>p</v>
      </c>
    </row>
    <row customHeight="1" ht="11.25">
      <c r="D45" s="2004"/>
      <c r="E45" s="907" t="str">
        <f>FHD_NUM_P_9</f>
        <v>2.5.1</v>
      </c>
      <c r="F45" s="2016" t="str">
        <f>FHD_P_9</f>
        <v>Средневзвешенная стоимость 1 кВт.ч (с учетом мощности)</v>
      </c>
      <c r="G45" s="2245" t="s">
        <v>571</v>
      </c>
      <c r="H45" s="918"/>
      <c r="I45" s="918"/>
      <c r="J45" s="650" t="str">
        <f>FHD_NOTE_P_9</f>
        <v/>
      </c>
      <c r="K45" s="2002" t="str">
        <f>IF((LEN(E45)-LEN(SUBSTITUTE(E45,".","")))/LEN(".")=1,"p","")</f>
        <v/>
      </c>
    </row>
    <row s="19146" customFormat="1" customHeight="1" ht="11.25">
      <c r="A46" s="1349"/>
      <c r="C46" s="2002"/>
      <c r="D46" s="935"/>
      <c r="E46" s="907" t="str">
        <f>FHD_NUM_P_10</f>
        <v>2.5.2</v>
      </c>
      <c r="F46" s="2016" t="str">
        <f>FHD_P_10</f>
        <v>Объём приобретения электрической энергии</v>
      </c>
      <c r="G46" s="2245" t="s">
        <v>572</v>
      </c>
      <c r="H46" s="918"/>
      <c r="I46" s="918"/>
      <c r="J46" s="650" t="str">
        <f>FHD_NOTE_P_10</f>
        <v/>
      </c>
      <c r="K46" s="2002" t="str">
        <f>IF((LEN(E46)-LEN(SUBSTITUTE(E46,".","")))/LEN(".")=1,"p","")</f>
        <v/>
      </c>
      <c r="L46" s="2002"/>
      <c r="M46" s="2002"/>
      <c r="R46" s="2002"/>
      <c r="U46" s="905"/>
      <c r="AA46" s="1998"/>
      <c r="AB46" s="1998"/>
      <c r="AC46" s="1998"/>
      <c r="AD46" s="1998"/>
      <c r="AE46" s="1998"/>
    </row>
    <row s="19146" customFormat="1" customHeight="1" ht="11.25" hidden="1">
      <c r="A47" s="1351" t="s">
        <v>573</v>
      </c>
      <c r="C47" s="2002"/>
      <c r="D47" s="936"/>
      <c r="E47" s="907" t="str">
        <f>FHD_NUM_P_11</f>
        <v/>
      </c>
      <c r="F47" s="1890" t="str">
        <f>FHD_P_11</f>
        <v/>
      </c>
      <c r="G47" s="2245" t="s">
        <v>552</v>
      </c>
      <c r="H47" s="918"/>
      <c r="I47" s="918"/>
      <c r="J47" s="650" t="str">
        <f>FHD_NOTE_P_11</f>
        <v/>
      </c>
      <c r="K47" s="2002" t="str">
        <f>IF((LEN(E47)-LEN(SUBSTITUTE(E47,".","")))/LEN(".")=1,"p","")</f>
        <v/>
      </c>
      <c r="L47" s="2002"/>
      <c r="M47" s="2002"/>
      <c r="R47" s="2002"/>
      <c r="U47" s="905"/>
      <c r="AA47" s="1998"/>
      <c r="AB47" s="1998"/>
      <c r="AC47" s="1998"/>
      <c r="AD47" s="1998"/>
      <c r="AE47" s="1998"/>
    </row>
    <row s="19146" customFormat="1" customHeight="1" ht="18" hidden="1">
      <c r="A48" s="1351" t="s">
        <v>574</v>
      </c>
      <c r="C48" s="2002"/>
      <c r="D48" s="2004"/>
      <c r="E48" s="907" t="str">
        <f>FHD_NUM_P_12</f>
        <v/>
      </c>
      <c r="F48" s="1890" t="str">
        <f>FHD_P_12</f>
        <v/>
      </c>
      <c r="G48" s="2245" t="s">
        <v>552</v>
      </c>
      <c r="H48" s="938"/>
      <c r="I48" s="938"/>
      <c r="J48" s="650" t="str">
        <f>FHD_NOTE_P_12</f>
        <v/>
      </c>
      <c r="K48" s="2002" t="str">
        <f>IF((LEN(E48)-LEN(SUBSTITUTE(E48,".","")))/LEN(".")=1,"p","")</f>
        <v/>
      </c>
      <c r="L48" s="2002"/>
      <c r="M48" s="2002"/>
      <c r="R48" s="2002"/>
      <c r="U48" s="905"/>
      <c r="AA48" s="1998"/>
      <c r="AB48" s="1998"/>
      <c r="AC48" s="1998"/>
      <c r="AD48" s="1998"/>
      <c r="AE48" s="1998"/>
    </row>
    <row s="19694" customFormat="1" customHeight="1" ht="11.25">
      <c r="A49" s="1350"/>
      <c r="C49" s="1091"/>
      <c r="D49" s="1034"/>
      <c r="E49" s="907" t="str">
        <f>FHD_NUM_P_13</f>
        <v>2.6</v>
      </c>
      <c r="F49" s="189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2245" t="s">
        <v>552</v>
      </c>
      <c r="H49" s="918"/>
      <c r="I49" s="918"/>
      <c r="J49" s="650" t="str">
        <f>FHD_NOTE_P_13</f>
        <v>Указывается общая сумма расходов на оплату труда и отчислений на социальные нужды основного производственного персонала.</v>
      </c>
      <c r="K49" s="2002" t="str">
        <f>IF((LEN(E49)-LEN(SUBSTITUTE(E49,".","")))/LEN(".")=1,"p","")</f>
        <v>p</v>
      </c>
      <c r="L49" s="1091"/>
      <c r="M49" s="1091"/>
      <c r="R49" s="1091"/>
      <c r="U49" s="1092"/>
      <c r="AA49" s="1093"/>
      <c r="AB49" s="1093"/>
      <c r="AC49" s="1093"/>
      <c r="AD49" s="1093"/>
      <c r="AE49" s="1093"/>
    </row>
    <row s="19694" customFormat="1" customHeight="1" ht="11.25">
      <c r="A50" s="1350"/>
      <c r="C50" s="1091"/>
      <c r="D50" s="1034"/>
      <c r="E50" s="907" t="str">
        <f>FHD_NUM_P_14</f>
        <v>2.6.1</v>
      </c>
      <c r="F50" s="2016" t="str">
        <f>FHD_P_14</f>
        <v>Расходы на оплату труда основного производственного персонала</v>
      </c>
      <c r="G50" s="2245" t="s">
        <v>552</v>
      </c>
      <c r="H50" s="918"/>
      <c r="I50" s="918"/>
      <c r="J50" s="650" t="str">
        <f>FHD_NOTE_P_14</f>
        <v/>
      </c>
      <c r="K50" s="2002" t="str">
        <f>IF((LEN(E50)-LEN(SUBSTITUTE(E50,".","")))/LEN(".")=1,"p","")</f>
        <v/>
      </c>
      <c r="L50" s="1091"/>
      <c r="M50" s="1091"/>
      <c r="R50" s="1091"/>
      <c r="U50" s="1092"/>
      <c r="AA50" s="1093"/>
      <c r="AB50" s="1093"/>
      <c r="AC50" s="1093"/>
      <c r="AD50" s="1093"/>
      <c r="AE50" s="1093"/>
    </row>
    <row s="19694" customFormat="1" customHeight="1" ht="11.25">
      <c r="A51" s="1350"/>
      <c r="C51" s="1091"/>
      <c r="D51" s="1034"/>
      <c r="E51" s="907" t="str">
        <f>FHD_NUM_P_15</f>
        <v>2.6.2</v>
      </c>
      <c r="F51" s="2016" t="str">
        <f>FHD_P_15</f>
        <v>Страховые взносы на обязательное социальное страхование, выплачиваемые из фонда оплаты труда основного производственного персонала</v>
      </c>
      <c r="G51" s="2245" t="s">
        <v>552</v>
      </c>
      <c r="H51" s="918"/>
      <c r="I51" s="918"/>
      <c r="J51" s="650" t="str">
        <f>FHD_NOTE_P_15</f>
        <v/>
      </c>
      <c r="K51" s="2002" t="str">
        <f>IF((LEN(E51)-LEN(SUBSTITUTE(E51,".","")))/LEN(".")=1,"p","")</f>
        <v/>
      </c>
      <c r="L51" s="1091"/>
      <c r="M51" s="1091"/>
      <c r="R51" s="1091"/>
      <c r="U51" s="1092"/>
      <c r="AA51" s="1093"/>
      <c r="AB51" s="1093"/>
      <c r="AC51" s="1093"/>
      <c r="AD51" s="1093"/>
      <c r="AE51" s="1093"/>
    </row>
    <row s="19146" customFormat="1" customHeight="1" ht="11.25">
      <c r="A52" s="1349"/>
      <c r="C52" s="2002"/>
      <c r="D52" s="2004"/>
      <c r="E52" s="907" t="str">
        <f>FHD_NUM_P_16</f>
        <v>2.7</v>
      </c>
      <c r="F52" s="189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2245" t="s">
        <v>552</v>
      </c>
      <c r="H52" s="918"/>
      <c r="I52" s="918"/>
      <c r="J52" s="650" t="str">
        <f>FHD_NOTE_P_16</f>
        <v>Указывается общая сумма расходов на оплату труда и отчислений на социальные нужды административно-управленческого персонала.</v>
      </c>
      <c r="K52" s="2002" t="str">
        <f>IF((LEN(E52)-LEN(SUBSTITUTE(E52,".","")))/LEN(".")=1,"p","")</f>
        <v>p</v>
      </c>
      <c r="L52" s="2002"/>
      <c r="M52" s="2008"/>
      <c r="N52" s="898"/>
      <c r="O52" s="898"/>
      <c r="R52" s="2002"/>
      <c r="U52" s="905"/>
      <c r="AA52" s="1998"/>
      <c r="AB52" s="1998"/>
      <c r="AC52" s="1998"/>
      <c r="AD52" s="1998"/>
      <c r="AE52" s="1998"/>
    </row>
    <row s="19146" customFormat="1" customHeight="1" ht="11.25">
      <c r="A53" s="1349"/>
      <c r="C53" s="2002"/>
      <c r="D53" s="2004"/>
      <c r="E53" s="907" t="str">
        <f>FHD_NUM_P_17</f>
        <v>2.7.1</v>
      </c>
      <c r="F53" s="2016" t="str">
        <f>FHD_P_17</f>
        <v>Расходы на оплату труда административно-управленческого персонала</v>
      </c>
      <c r="G53" s="2245" t="s">
        <v>552</v>
      </c>
      <c r="H53" s="918"/>
      <c r="I53" s="918"/>
      <c r="J53" s="650" t="str">
        <f>FHD_NOTE_P_17</f>
        <v/>
      </c>
      <c r="K53" s="2002" t="str">
        <f>IF((LEN(E53)-LEN(SUBSTITUTE(E53,".","")))/LEN(".")=1,"p","")</f>
        <v/>
      </c>
      <c r="L53" s="2002"/>
      <c r="M53" s="2008"/>
      <c r="N53" s="898"/>
      <c r="O53" s="898"/>
      <c r="R53" s="2002"/>
      <c r="U53" s="905"/>
      <c r="AA53" s="1998"/>
      <c r="AB53" s="1998"/>
      <c r="AC53" s="1998"/>
      <c r="AD53" s="1998"/>
      <c r="AE53" s="1998"/>
    </row>
    <row s="19146" customFormat="1" customHeight="1" ht="11.25">
      <c r="A54" s="1349"/>
      <c r="C54" s="2002"/>
      <c r="D54" s="2004"/>
      <c r="E54" s="907" t="str">
        <f>FHD_NUM_P_18</f>
        <v>2.7.2</v>
      </c>
      <c r="F54" s="201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2245" t="s">
        <v>552</v>
      </c>
      <c r="H54" s="918"/>
      <c r="I54" s="918"/>
      <c r="J54" s="650" t="str">
        <f>FHD_NOTE_P_18</f>
        <v/>
      </c>
      <c r="K54" s="2002" t="str">
        <f>IF((LEN(E54)-LEN(SUBSTITUTE(E54,".","")))/LEN(".")=1,"p","")</f>
        <v/>
      </c>
      <c r="L54" s="2002"/>
      <c r="M54" s="2008"/>
      <c r="N54" s="898"/>
      <c r="O54" s="898"/>
      <c r="R54" s="2002"/>
      <c r="U54" s="905"/>
      <c r="AA54" s="1998"/>
      <c r="AB54" s="1998"/>
      <c r="AC54" s="1998"/>
      <c r="AD54" s="1998"/>
      <c r="AE54" s="1998"/>
    </row>
    <row s="19146" customFormat="1" customHeight="1" ht="11.25">
      <c r="A55" s="1349"/>
      <c r="C55" s="2002"/>
      <c r="D55" s="936"/>
      <c r="E55" s="907" t="str">
        <f>FHD_NUM_P_19</f>
        <v>2.8</v>
      </c>
      <c r="F55" s="1890" t="str">
        <f>FHD_P_19</f>
        <v>Расходы на амортизацию основных средств и нематериальных активов</v>
      </c>
      <c r="G55" s="2245" t="s">
        <v>552</v>
      </c>
      <c r="H55" s="918"/>
      <c r="I55" s="918"/>
      <c r="J55" s="650" t="str">
        <f>FHD_NOTE_P_19</f>
        <v/>
      </c>
      <c r="K55" s="2002" t="str">
        <f>IF((LEN(E55)-LEN(SUBSTITUTE(E55,".","")))/LEN(".")=1,"p","")</f>
        <v>p</v>
      </c>
      <c r="L55" s="2002"/>
      <c r="M55" s="2002"/>
      <c r="R55" s="2002"/>
      <c r="U55" s="905"/>
      <c r="AA55" s="1998"/>
      <c r="AB55" s="1998"/>
      <c r="AC55" s="1998"/>
      <c r="AD55" s="1998"/>
      <c r="AE55" s="1998"/>
    </row>
    <row s="19146" customFormat="1" customHeight="1" ht="11.25">
      <c r="A56" s="1349"/>
      <c r="C56" s="2002"/>
      <c r="D56" s="936"/>
      <c r="E56" s="907" t="str">
        <f>FHD_NUM_P_20</f>
        <v>2.8.1</v>
      </c>
      <c r="F56" s="2016" t="str">
        <f>FHD_P_20</f>
        <v>Расходы на амортизацию основных средств</v>
      </c>
      <c r="G56" s="2245" t="s">
        <v>552</v>
      </c>
      <c r="H56" s="918"/>
      <c r="I56" s="918"/>
      <c r="J56" s="650" t="str">
        <f>FHD_NOTE_P_20</f>
        <v/>
      </c>
      <c r="K56" s="2002" t="str">
        <f>IF((LEN(E56)-LEN(SUBSTITUTE(E56,".","")))/LEN(".")=1,"p","")</f>
        <v/>
      </c>
      <c r="L56" s="2002"/>
      <c r="M56" s="2002"/>
      <c r="R56" s="2002"/>
      <c r="U56" s="905"/>
      <c r="AA56" s="1998"/>
      <c r="AB56" s="1998"/>
      <c r="AC56" s="1998"/>
      <c r="AD56" s="1998"/>
      <c r="AE56" s="1998"/>
    </row>
    <row s="19146" customFormat="1" customHeight="1" ht="11.25">
      <c r="A57" s="1349"/>
      <c r="C57" s="2002"/>
      <c r="D57" s="936"/>
      <c r="E57" s="907" t="str">
        <f>FHD_NUM_P_21</f>
        <v>2.8.2</v>
      </c>
      <c r="F57" s="2016" t="str">
        <f>FHD_P_21</f>
        <v>Расходы на амортизацию нематериальных активов</v>
      </c>
      <c r="G57" s="2245" t="s">
        <v>552</v>
      </c>
      <c r="H57" s="918"/>
      <c r="I57" s="918"/>
      <c r="J57" s="650" t="str">
        <f>FHD_NOTE_P_21</f>
        <v/>
      </c>
      <c r="K57" s="2002" t="str">
        <f>IF((LEN(E57)-LEN(SUBSTITUTE(E57,".","")))/LEN(".")=1,"p","")</f>
        <v/>
      </c>
      <c r="L57" s="2002"/>
      <c r="M57" s="2002"/>
      <c r="R57" s="2002"/>
      <c r="U57" s="905"/>
      <c r="AA57" s="1998"/>
      <c r="AB57" s="1998"/>
      <c r="AC57" s="1998"/>
      <c r="AD57" s="1998"/>
      <c r="AE57" s="1998"/>
    </row>
    <row s="19146" customFormat="1" customHeight="1" ht="11.25">
      <c r="A58" s="1349"/>
      <c r="C58" s="2002"/>
      <c r="D58" s="2004"/>
      <c r="E58" s="907" t="str">
        <f>FHD_NUM_P_22</f>
        <v>2.9</v>
      </c>
      <c r="F58" s="1890" t="str">
        <f>FHD_P_22</f>
        <v>Расходы на аренду имущества, используемого для осуществления регулируемых видов деятельности в сфере горячего водоснабжения</v>
      </c>
      <c r="G58" s="2245" t="s">
        <v>552</v>
      </c>
      <c r="H58" s="918"/>
      <c r="I58" s="918"/>
      <c r="J58" s="650" t="str">
        <f>FHD_NOTE_P_22</f>
        <v/>
      </c>
      <c r="K58" s="2002" t="str">
        <f>IF((LEN(E58)-LEN(SUBSTITUTE(E58,".","")))/LEN(".")=1,"p","")</f>
        <v>p</v>
      </c>
      <c r="L58" s="2002"/>
      <c r="M58" s="2002"/>
      <c r="R58" s="2002"/>
      <c r="U58" s="905"/>
      <c r="AA58" s="1998"/>
      <c r="AB58" s="1998"/>
      <c r="AC58" s="1998"/>
      <c r="AD58" s="1998"/>
      <c r="AE58" s="1998"/>
    </row>
    <row s="19146" customFormat="1" customHeight="1" ht="11.25">
      <c r="A59" s="1349"/>
      <c r="C59" s="2002"/>
      <c r="D59" s="936"/>
      <c r="E59" s="907" t="str">
        <f>FHD_NUM_P_23</f>
        <v>2.10</v>
      </c>
      <c r="F59" s="1890" t="str">
        <f>FHD_P_23</f>
        <v>Общепроизводственные расходы, в том числе:</v>
      </c>
      <c r="G59" s="2245" t="s">
        <v>552</v>
      </c>
      <c r="H59" s="918"/>
      <c r="I59" s="918"/>
      <c r="J59" s="650" t="str">
        <f>FHD_NOTE_P_23</f>
        <v>Указывается общая сумма общепроизводственных расходов.</v>
      </c>
      <c r="K59" s="2002" t="str">
        <f>IF((LEN(E59)-LEN(SUBSTITUTE(E59,".","")))/LEN(".")=1,"p","")</f>
        <v>p</v>
      </c>
      <c r="L59" s="2002"/>
      <c r="M59" s="2002"/>
      <c r="R59" s="2002"/>
      <c r="U59" s="905"/>
      <c r="AA59" s="1998"/>
      <c r="AB59" s="1998"/>
      <c r="AC59" s="1998"/>
      <c r="AD59" s="1998"/>
      <c r="AE59" s="1998"/>
    </row>
    <row s="19146" customFormat="1" customHeight="1" ht="11.25">
      <c r="A60" s="1349"/>
      <c r="C60" s="2002"/>
      <c r="D60" s="936"/>
      <c r="E60" s="907" t="str">
        <f>FHD_NUM_P_24</f>
        <v>2.10.1</v>
      </c>
      <c r="F60" s="2016" t="str">
        <f>FHD_P_24</f>
        <v>Расходы на текущий ремонт</v>
      </c>
      <c r="G60" s="2245" t="s">
        <v>552</v>
      </c>
      <c r="H60" s="918"/>
      <c r="I60" s="918"/>
      <c r="J60" s="650" t="str">
        <f>FHD_NOTE_P_24</f>
        <v>Указываются расходы на текущий ремонт, отнесенные к общепроизводственным расходам.</v>
      </c>
      <c r="K60" s="2002" t="str">
        <f>IF((LEN(E60)-LEN(SUBSTITUTE(E60,".","")))/LEN(".")=1,"p","")</f>
        <v/>
      </c>
      <c r="L60" s="2002"/>
      <c r="M60" s="2002"/>
      <c r="R60" s="2002"/>
      <c r="U60" s="905"/>
      <c r="AA60" s="1998"/>
      <c r="AB60" s="1998"/>
      <c r="AC60" s="1998"/>
      <c r="AD60" s="1998"/>
      <c r="AE60" s="1998"/>
    </row>
    <row s="19146" customFormat="1" customHeight="1" ht="11.25">
      <c r="A61" s="1349"/>
      <c r="C61" s="2002"/>
      <c r="D61" s="936"/>
      <c r="E61" s="907" t="str">
        <f>FHD_NUM_P_25</f>
        <v>2.10.2</v>
      </c>
      <c r="F61" s="2016" t="str">
        <f>FHD_P_25</f>
        <v>Расходы на капитальный ремонт</v>
      </c>
      <c r="G61" s="2245" t="s">
        <v>552</v>
      </c>
      <c r="H61" s="918"/>
      <c r="I61" s="918"/>
      <c r="J61" s="650" t="str">
        <f>FHD_NOTE_P_25</f>
        <v>Указываются расходы на капитальный ремонт, отнесенные к общепроизводственным расходам.</v>
      </c>
      <c r="K61" s="2002" t="str">
        <f>IF((LEN(E61)-LEN(SUBSTITUTE(E61,".","")))/LEN(".")=1,"p","")</f>
        <v/>
      </c>
      <c r="L61" s="2002"/>
      <c r="M61" s="2002"/>
      <c r="R61" s="2002"/>
      <c r="U61" s="905"/>
      <c r="AA61" s="1998"/>
      <c r="AB61" s="1998"/>
      <c r="AC61" s="1998"/>
      <c r="AD61" s="1998"/>
      <c r="AE61" s="1998"/>
    </row>
    <row s="19146" customFormat="1" customHeight="1" ht="11.25">
      <c r="A62" s="1349"/>
      <c r="C62" s="2002"/>
      <c r="D62" s="2004"/>
      <c r="E62" s="907" t="str">
        <f>FHD_NUM_P_26</f>
        <v>2.11</v>
      </c>
      <c r="F62" s="1890" t="str">
        <f>FHD_P_26</f>
        <v>Общехозяйственные расходы, в том числе:</v>
      </c>
      <c r="G62" s="2245" t="s">
        <v>552</v>
      </c>
      <c r="H62" s="918"/>
      <c r="I62" s="918"/>
      <c r="J62" s="650" t="str">
        <f>FHD_NOTE_P_26</f>
        <v>Указывается общая сумма общехозяйственных расходов.</v>
      </c>
      <c r="K62" s="2002" t="str">
        <f>IF((LEN(E62)-LEN(SUBSTITUTE(E62,".","")))/LEN(".")=1,"p","")</f>
        <v>p</v>
      </c>
      <c r="L62" s="2002"/>
      <c r="M62" s="2002"/>
      <c r="R62" s="2002"/>
      <c r="U62" s="905"/>
      <c r="AA62" s="1998"/>
      <c r="AB62" s="1998"/>
      <c r="AC62" s="1998"/>
      <c r="AD62" s="1998"/>
      <c r="AE62" s="1998"/>
    </row>
    <row s="19146" customFormat="1" customHeight="1" ht="11.25">
      <c r="A63" s="1349"/>
      <c r="C63" s="2002"/>
      <c r="D63" s="2004"/>
      <c r="E63" s="907" t="str">
        <f>FHD_NUM_P_27</f>
        <v>2.11.1</v>
      </c>
      <c r="F63" s="2016" t="str">
        <f>FHD_P_27</f>
        <v>Расходы на текущий ремонт</v>
      </c>
      <c r="G63" s="2245" t="s">
        <v>552</v>
      </c>
      <c r="H63" s="918"/>
      <c r="I63" s="918"/>
      <c r="J63" s="650" t="str">
        <f>FHD_NOTE_P_27</f>
        <v>Указываются расходы на текущий ремонт, отнесенные к общехозяйственным расходам.</v>
      </c>
      <c r="K63" s="2002" t="str">
        <f>IF((LEN(E63)-LEN(SUBSTITUTE(E63,".","")))/LEN(".")=1,"p","")</f>
        <v/>
      </c>
      <c r="L63" s="2002"/>
      <c r="M63" s="2002"/>
      <c r="R63" s="2002"/>
      <c r="U63" s="905"/>
      <c r="AA63" s="1998"/>
      <c r="AB63" s="1998"/>
      <c r="AC63" s="1998"/>
      <c r="AD63" s="1998"/>
      <c r="AE63" s="1998"/>
    </row>
    <row s="19146" customFormat="1" customHeight="1" ht="11.25">
      <c r="A64" s="1349"/>
      <c r="C64" s="2002"/>
      <c r="D64" s="2004"/>
      <c r="E64" s="907" t="str">
        <f>FHD_NUM_P_28</f>
        <v>2.11.2</v>
      </c>
      <c r="F64" s="2016" t="str">
        <f>FHD_P_28</f>
        <v>Расходы на капитальный ремонт</v>
      </c>
      <c r="G64" s="2245" t="s">
        <v>552</v>
      </c>
      <c r="H64" s="918"/>
      <c r="I64" s="918"/>
      <c r="J64" s="650" t="str">
        <f>FHD_NOTE_P_28</f>
        <v>Указываются расходы на капитальный ремонт, отнесенные к общехозяйственным расходам.</v>
      </c>
      <c r="K64" s="2002" t="str">
        <f>IF((LEN(E64)-LEN(SUBSTITUTE(E64,".","")))/LEN(".")=1,"p","")</f>
        <v/>
      </c>
      <c r="L64" s="2002"/>
      <c r="M64" s="2002"/>
      <c r="R64" s="2002"/>
      <c r="U64" s="905"/>
      <c r="AA64" s="1998"/>
      <c r="AB64" s="1998"/>
      <c r="AC64" s="1998"/>
      <c r="AD64" s="1998"/>
      <c r="AE64" s="1998"/>
    </row>
    <row s="19146" customFormat="1" customHeight="1" ht="11.25">
      <c r="A65" s="1349"/>
      <c r="C65" s="2002"/>
      <c r="D65" s="2004"/>
      <c r="E65" s="907" t="str">
        <f>FHD_NUM_P_29</f>
        <v>2.12</v>
      </c>
      <c r="F65" s="1890" t="str">
        <f>FHD_P_29</f>
        <v>Расходы на капитальный и текущий ремонт основных средств</v>
      </c>
      <c r="G65" s="2245" t="s">
        <v>552</v>
      </c>
      <c r="H65" s="918"/>
      <c r="I65" s="918"/>
      <c r="J65" s="65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2002" t="str">
        <f>IF((LEN(E65)-LEN(SUBSTITUTE(E65,".","")))/LEN(".")=1,"p","")</f>
        <v>p</v>
      </c>
      <c r="L65" s="2002"/>
      <c r="M65" s="2002"/>
      <c r="R65" s="2002"/>
      <c r="U65" s="905"/>
      <c r="AA65" s="1998"/>
      <c r="AB65" s="1998"/>
      <c r="AC65" s="1998"/>
      <c r="AD65" s="1998"/>
      <c r="AE65" s="1998"/>
    </row>
    <row s="19146" customFormat="1" customHeight="1" ht="11.25">
      <c r="A66" s="1349"/>
      <c r="C66" s="2002"/>
      <c r="D66" s="2004"/>
      <c r="E66" s="907" t="str">
        <f>FHD_NUM_P_30</f>
        <v>2.12.1</v>
      </c>
      <c r="F66" s="201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2245" t="s">
        <v>306</v>
      </c>
      <c r="H66" s="2015" t="s">
        <v>575</v>
      </c>
      <c r="I66" s="2015" t="s">
        <v>575</v>
      </c>
      <c r="J66" s="650" t="str">
        <f>FHD_NOTE_P_30</f>
        <v/>
      </c>
      <c r="K66" s="2002" t="str">
        <f>IF((LEN(E66)-LEN(SUBSTITUTE(E66,".","")))/LEN(".")=1,"p","")</f>
        <v/>
      </c>
      <c r="L66" s="2002">
        <f>_xlfn.IFERROR(MATCH("есть",B_FHD_FLAG_INDEX_1,0),0)</f>
        <v>0</v>
      </c>
      <c r="M66" s="2002"/>
      <c r="R66" s="2002"/>
      <c r="U66" s="905"/>
      <c r="AA66" s="1998"/>
      <c r="AB66" s="1998"/>
      <c r="AC66" s="1998"/>
      <c r="AD66" s="1998"/>
      <c r="AE66" s="1998"/>
    </row>
    <row s="19146" customFormat="1" customHeight="1" ht="22.5">
      <c r="A67" s="2633" t="s">
        <v>576</v>
      </c>
      <c r="C67" s="2002"/>
      <c r="D67" s="2004"/>
      <c r="E67" s="907" t="str">
        <f>FHD_NUM_P_31</f>
        <v>2.13</v>
      </c>
      <c r="F67" s="1890"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2245" t="s">
        <v>552</v>
      </c>
      <c r="H67" s="918"/>
      <c r="I67" s="918"/>
      <c r="J67" s="65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2002" t="str">
        <f>IF((LEN(E67)-LEN(SUBSTITUTE(E67,".","")))/LEN(".")=1,"p","")</f>
        <v>p</v>
      </c>
      <c r="L67" s="2002"/>
      <c r="M67" s="2002"/>
      <c r="R67" s="2002"/>
      <c r="U67" s="905"/>
      <c r="AA67" s="1998"/>
      <c r="AB67" s="1998"/>
      <c r="AC67" s="1998"/>
      <c r="AD67" s="1998"/>
      <c r="AE67" s="1998"/>
    </row>
    <row s="19146" customFormat="1" customHeight="1" ht="45">
      <c r="A68" s="2633"/>
      <c r="C68" s="2002"/>
      <c r="D68" s="2004"/>
      <c r="E68" s="907" t="str">
        <f>FHD_NUM_P_32</f>
        <v>2.13.1</v>
      </c>
      <c r="F68" s="2016"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2245" t="s">
        <v>306</v>
      </c>
      <c r="H68" s="2015" t="s">
        <v>575</v>
      </c>
      <c r="I68" s="2015" t="s">
        <v>575</v>
      </c>
      <c r="J68" s="650" t="str">
        <f>FHD_NOTE_P_32</f>
        <v/>
      </c>
      <c r="K68" s="2002" t="str">
        <f>IF((LEN(E68)-LEN(SUBSTITUTE(E68,".","")))/LEN(".")=1,"p","")</f>
        <v/>
      </c>
      <c r="L68" s="2002">
        <f>_xlfn.IFERROR(MATCH("есть",B_FHD_FLAG_INDEX_2,0),0)</f>
        <v>0</v>
      </c>
      <c r="M68" s="2002"/>
      <c r="R68" s="2002"/>
      <c r="U68" s="905"/>
      <c r="AA68" s="1998"/>
      <c r="AB68" s="1998"/>
      <c r="AC68" s="1998"/>
      <c r="AD68" s="1998"/>
      <c r="AE68" s="1998"/>
    </row>
    <row s="19146" customFormat="1" customHeight="1" ht="11.25">
      <c r="A69" s="1349"/>
      <c r="C69" s="2002"/>
      <c r="D69" s="2004"/>
      <c r="E69" s="907" t="str">
        <f>FHD_NUM_P_33</f>
        <v>2.14</v>
      </c>
      <c r="F69" s="1890"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2246" t="s">
        <v>552</v>
      </c>
      <c r="H69" s="940">
        <f>SUM(H70:H71)</f>
        <v>0</v>
      </c>
      <c r="I69" s="940">
        <f>SUM(I70:I71)</f>
        <v>0</v>
      </c>
      <c r="J69" s="65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2002" t="str">
        <f>IF((LEN(E69)-LEN(SUBSTITUTE(E69,".","")))/LEN(".")=1,"p","")</f>
        <v>p</v>
      </c>
      <c r="L69" s="2002"/>
      <c r="M69" s="2002"/>
      <c r="R69" s="2002"/>
      <c r="U69" s="905"/>
      <c r="AA69" s="1998"/>
      <c r="AB69" s="1998"/>
      <c r="AC69" s="1998"/>
      <c r="AD69" s="1998"/>
      <c r="AE69" s="1998"/>
    </row>
    <row s="19272" customFormat="1" customHeight="1" ht="0.75">
      <c r="A70" s="1530"/>
      <c r="D70" s="909"/>
      <c r="E70" s="1375" t="str">
        <f>E69&amp;".0"</f>
        <v>2.14.0</v>
      </c>
      <c r="F70" s="1353"/>
      <c r="G70" s="1375"/>
      <c r="H70" s="1354"/>
      <c r="I70" s="1354"/>
      <c r="J70" s="1355"/>
      <c r="K70" s="2002" t="str">
        <f>IF((LEN(E70)-LEN(SUBSTITUTE(E70,".","")))/LEN(".")=1,"p","")</f>
        <v/>
      </c>
    </row>
    <row s="19146" customFormat="1" customHeight="1" ht="14.25">
      <c r="A71" s="1349"/>
      <c r="C71" s="2002"/>
      <c r="D71" s="1999"/>
      <c r="E71" s="931"/>
      <c r="F71" s="932" t="s">
        <v>577</v>
      </c>
      <c r="G71" s="933"/>
      <c r="H71" s="934"/>
      <c r="I71" s="934"/>
      <c r="J71" s="662"/>
      <c r="K71" s="2002"/>
      <c r="L71" s="2002"/>
      <c r="M71" s="2002"/>
      <c r="R71" s="2002"/>
      <c r="U71" s="905"/>
      <c r="AA71" s="1998"/>
      <c r="AB71" s="1998"/>
      <c r="AC71" s="1998"/>
      <c r="AD71" s="1998"/>
      <c r="AE71" s="1998"/>
    </row>
    <row s="19146" customFormat="1" customHeight="1" ht="18.75" hidden="1">
      <c r="A72" s="1351" t="s">
        <v>578</v>
      </c>
      <c r="C72" s="2002"/>
      <c r="D72" s="2004"/>
      <c r="E72" s="907" t="str">
        <f>FHD_NUM_P_34</f>
        <v/>
      </c>
      <c r="F72" s="2247" t="str">
        <f>FHD_P_34</f>
        <v/>
      </c>
      <c r="G72" s="2245" t="s">
        <v>552</v>
      </c>
      <c r="H72" s="918"/>
      <c r="I72" s="918"/>
      <c r="J72" s="650" t="str">
        <f>FHD_NOTE_P_34</f>
        <v/>
      </c>
      <c r="K72" s="904"/>
      <c r="L72" s="2002"/>
      <c r="M72" s="2002"/>
      <c r="R72" s="2002"/>
      <c r="U72" s="905"/>
      <c r="AA72" s="1998"/>
      <c r="AB72" s="1998"/>
      <c r="AC72" s="1998"/>
      <c r="AD72" s="1998"/>
      <c r="AE72" s="1998"/>
    </row>
    <row s="19146" customFormat="1" customHeight="1" ht="18.75">
      <c r="A73" s="1349"/>
      <c r="C73" s="2002"/>
      <c r="D73" s="936"/>
      <c r="E73" s="907" t="str">
        <f>FHD_NUM_P_35</f>
        <v>3</v>
      </c>
      <c r="F73" s="2247" t="str">
        <f>FHD_P_35</f>
        <v>Чистая прибыль, полученная от регулируемого вида деятельности в сфере горячего водоснабжения, в том числе:</v>
      </c>
      <c r="G73" s="2245" t="s">
        <v>552</v>
      </c>
      <c r="H73" s="918"/>
      <c r="I73" s="918"/>
      <c r="J73" s="650" t="str">
        <f>FHD_NOTE_P_35</f>
        <v>Указывается общая сумма чистой прибыли, полученной от регулируемого вида деятельности.</v>
      </c>
      <c r="K73" s="904"/>
      <c r="L73" s="2002"/>
      <c r="M73" s="2002"/>
      <c r="R73" s="2002"/>
      <c r="U73" s="905"/>
      <c r="AA73" s="1998"/>
      <c r="AB73" s="1998"/>
      <c r="AC73" s="1998"/>
      <c r="AD73" s="1998"/>
      <c r="AE73" s="1998"/>
    </row>
    <row s="19146" customFormat="1" customHeight="1" ht="18.75">
      <c r="A74" s="1349"/>
      <c r="C74" s="2002"/>
      <c r="D74" s="2004"/>
      <c r="E74" s="907" t="str">
        <f>FHD_NUM_P_36</f>
        <v>3.1</v>
      </c>
      <c r="F74" s="189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2245" t="s">
        <v>552</v>
      </c>
      <c r="H74" s="918"/>
      <c r="I74" s="918"/>
      <c r="J74" s="650" t="str">
        <f>FHD_NOTE_P_36</f>
        <v/>
      </c>
      <c r="K74" s="904"/>
      <c r="L74" s="2002"/>
      <c r="M74" s="2002"/>
      <c r="R74" s="2002"/>
      <c r="U74" s="905"/>
      <c r="AA74" s="1998"/>
      <c r="AB74" s="1998"/>
      <c r="AC74" s="1998"/>
      <c r="AD74" s="1998"/>
      <c r="AE74" s="1998"/>
    </row>
    <row s="19146" customFormat="1" customHeight="1" ht="18.75">
      <c r="A75" s="1349"/>
      <c r="C75" s="2002"/>
      <c r="D75" s="2004"/>
      <c r="E75" s="907" t="str">
        <f>FHD_NUM_P_37</f>
        <v>4</v>
      </c>
      <c r="F75" s="2247" t="str">
        <f>FHD_P_37</f>
        <v>Изменение стоимости основных фондов, в том числе:</v>
      </c>
      <c r="G75" s="2245" t="s">
        <v>552</v>
      </c>
      <c r="H75" s="918"/>
      <c r="I75" s="918"/>
      <c r="J75" s="650" t="str">
        <f>FHD_NOTE_P_37</f>
        <v>Указывается общее изменение стоимости основных фондов.</v>
      </c>
      <c r="K75" s="904"/>
      <c r="L75" s="2002"/>
      <c r="M75" s="2002"/>
      <c r="R75" s="2002"/>
      <c r="U75" s="905"/>
      <c r="AA75" s="1998"/>
      <c r="AB75" s="1998"/>
      <c r="AC75" s="1998"/>
      <c r="AD75" s="1998"/>
      <c r="AE75" s="1998"/>
    </row>
    <row s="19146" customFormat="1" customHeight="1" ht="18.75">
      <c r="A76" s="1349"/>
      <c r="C76" s="2002"/>
      <c r="D76" s="2004"/>
      <c r="E76" s="907" t="str">
        <f>FHD_NUM_P_38</f>
        <v>4.1</v>
      </c>
      <c r="F76" s="1890" t="str">
        <f>FHD_P_38</f>
        <v>Изменение стоимости основных фондов за счет их ввода в эксплуатацию (вывода из эксплуатации)</v>
      </c>
      <c r="G76" s="2245" t="s">
        <v>552</v>
      </c>
      <c r="H76" s="918"/>
      <c r="I76" s="918"/>
      <c r="J76" s="650" t="str">
        <f>FHD_NOTE_P_38</f>
        <v>Указываются общее изменение стоимости основных фондов за счет их ввода в эксплуатацию и вывода из эксплуатации.</v>
      </c>
      <c r="K76" s="904"/>
      <c r="L76" s="2002"/>
      <c r="M76" s="2002"/>
      <c r="R76" s="2002"/>
      <c r="U76" s="905"/>
      <c r="AA76" s="1998"/>
      <c r="AB76" s="1998"/>
      <c r="AC76" s="1998"/>
      <c r="AD76" s="1998"/>
      <c r="AE76" s="1998"/>
    </row>
    <row s="19146" customFormat="1" customHeight="1" ht="18.75">
      <c r="A77" s="1349"/>
      <c r="C77" s="2002"/>
      <c r="D77" s="2004"/>
      <c r="E77" s="907" t="str">
        <f>FHD_NUM_P_39</f>
        <v>4.1.1</v>
      </c>
      <c r="F77" s="2016" t="str">
        <f>FHD_P_39</f>
        <v>Изменение стоимости основных фондов за счет их ввода в эксплуатацию</v>
      </c>
      <c r="G77" s="2245" t="s">
        <v>552</v>
      </c>
      <c r="H77" s="918"/>
      <c r="I77" s="918"/>
      <c r="J77" s="650" t="str">
        <f>FHD_NOTE_P_39</f>
        <v>Указываются изменение стоимости основных фондов за счет их ввода в эксплуатацию.</v>
      </c>
      <c r="K77" s="904"/>
      <c r="L77" s="2002"/>
      <c r="M77" s="2002"/>
      <c r="R77" s="2002"/>
      <c r="U77" s="905"/>
      <c r="AA77" s="1998"/>
      <c r="AB77" s="1998"/>
      <c r="AC77" s="1998"/>
      <c r="AD77" s="1998"/>
      <c r="AE77" s="1998"/>
    </row>
    <row s="19146" customFormat="1" customHeight="1" ht="18.75">
      <c r="A78" s="1349"/>
      <c r="C78" s="2002"/>
      <c r="D78" s="2004"/>
      <c r="E78" s="907" t="str">
        <f>FHD_NUM_P_40</f>
        <v>4.1.2</v>
      </c>
      <c r="F78" s="2016" t="str">
        <f>FHD_P_40</f>
        <v>Изменение стоимости основных фондов за счет их вывода в эксплуатацию</v>
      </c>
      <c r="G78" s="2245" t="s">
        <v>552</v>
      </c>
      <c r="H78" s="918"/>
      <c r="I78" s="918"/>
      <c r="J78" s="650" t="str">
        <f>FHD_NOTE_P_40</f>
        <v>Указываются изменение стоимости основных фондов за счет их вывода из эксплуатации.</v>
      </c>
      <c r="K78" s="904"/>
      <c r="L78" s="2002"/>
      <c r="M78" s="2002"/>
      <c r="R78" s="2002"/>
      <c r="U78" s="905"/>
      <c r="AA78" s="1998"/>
      <c r="AB78" s="1998"/>
      <c r="AC78" s="1998"/>
      <c r="AD78" s="1998"/>
      <c r="AE78" s="1998"/>
    </row>
    <row s="19146" customFormat="1" customHeight="1" ht="18.75">
      <c r="A79" s="1349"/>
      <c r="C79" s="2002"/>
      <c r="D79" s="2004"/>
      <c r="E79" s="907" t="str">
        <f>FHD_NUM_P_41</f>
        <v>4.2</v>
      </c>
      <c r="F79" s="1890" t="str">
        <f>FHD_P_41</f>
        <v>Изменение стоимости основных фондов за счет их переоценки</v>
      </c>
      <c r="G79" s="2246" t="s">
        <v>552</v>
      </c>
      <c r="H79" s="918"/>
      <c r="I79" s="918"/>
      <c r="J79" s="650" t="str">
        <f>FHD_NOTE_P_41</f>
        <v/>
      </c>
      <c r="K79" s="904"/>
      <c r="L79" s="2002"/>
      <c r="M79" s="2002"/>
      <c r="R79" s="2002"/>
      <c r="U79" s="905"/>
      <c r="AA79" s="1998"/>
      <c r="AB79" s="1998"/>
      <c r="AC79" s="1998"/>
      <c r="AD79" s="1998"/>
      <c r="AE79" s="1998"/>
    </row>
    <row s="19146" customFormat="1" customHeight="1" ht="18.75">
      <c r="A80" s="1351" t="s">
        <v>579</v>
      </c>
      <c r="C80" s="2002"/>
      <c r="D80" s="2004"/>
      <c r="E80" s="907" t="str">
        <f>FHD_NUM_P_42</f>
        <v>5</v>
      </c>
      <c r="F80" s="2247" t="str">
        <f>FHD_P_42</f>
        <v>Валовая прибыль (убытки) от продажи товаров и услуг по регулируемым видам деятельности в сфере горячего водоснабжения</v>
      </c>
      <c r="G80" s="2245" t="s">
        <v>552</v>
      </c>
      <c r="H80" s="1338"/>
      <c r="I80" s="918"/>
      <c r="J80" s="650" t="str">
        <f>FHD_NOTE_P_42</f>
        <v/>
      </c>
      <c r="K80" s="904"/>
      <c r="L80" s="2002"/>
      <c r="M80" s="2002"/>
      <c r="R80" s="2002"/>
      <c r="U80" s="905"/>
      <c r="AA80" s="1998"/>
      <c r="AB80" s="1998"/>
      <c r="AC80" s="1998"/>
      <c r="AD80" s="1998"/>
      <c r="AE80" s="1998"/>
    </row>
    <row s="19146" customFormat="1" customHeight="1" ht="18.75">
      <c r="A81" s="1349"/>
      <c r="C81" s="2002"/>
      <c r="D81" s="2004"/>
      <c r="E81" s="907" t="str">
        <f>FHD_NUM_P_43</f>
        <v>6</v>
      </c>
      <c r="F81" s="2247" t="str">
        <f>FHD_P_43</f>
        <v>Годовая бухгалтерская (финансовая) отчетность, включая бухгалтерский баланс и приложения к нему</v>
      </c>
      <c r="G81" s="2245" t="s">
        <v>306</v>
      </c>
      <c r="H81" s="1417"/>
      <c r="I81" s="1179"/>
      <c r="J81" s="65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904"/>
      <c r="L81" s="2002"/>
      <c r="M81" s="2002"/>
      <c r="R81" s="2002"/>
      <c r="U81" s="905"/>
      <c r="AA81" s="1998"/>
      <c r="AB81" s="1998"/>
      <c r="AC81" s="1998"/>
      <c r="AD81" s="1998"/>
      <c r="AE81" s="1998"/>
    </row>
    <row s="19709" customFormat="1" customHeight="1" ht="18.75" hidden="1">
      <c r="A82" s="2633" t="s">
        <v>580</v>
      </c>
      <c r="C82" s="1096"/>
      <c r="D82" s="1094"/>
      <c r="E82" s="907" t="str">
        <f>FHD_NUM_P_44</f>
        <v/>
      </c>
      <c r="F82" s="2247" t="str">
        <f>FHD_P_44</f>
        <v/>
      </c>
      <c r="G82" s="2248" t="s">
        <v>581</v>
      </c>
      <c r="H82" s="1339"/>
      <c r="I82" s="938"/>
      <c r="J82" s="650" t="str">
        <f>FHD_NOTE_P_44</f>
        <v/>
      </c>
      <c r="K82" s="1095"/>
      <c r="L82" s="1096"/>
      <c r="M82" s="1096"/>
      <c r="R82" s="1096"/>
      <c r="U82" s="1097"/>
      <c r="AA82" s="1098"/>
      <c r="AB82" s="1098"/>
      <c r="AC82" s="1098"/>
      <c r="AD82" s="1098"/>
      <c r="AE82" s="1098"/>
    </row>
    <row s="19709" customFormat="1" customHeight="1" ht="18.75" hidden="1">
      <c r="A83" s="2633"/>
      <c r="C83" s="1096"/>
      <c r="D83" s="1094"/>
      <c r="E83" s="907" t="str">
        <f>FHD_NUM_P_45</f>
        <v/>
      </c>
      <c r="F83" s="2247" t="str">
        <f>FHD_P_45</f>
        <v/>
      </c>
      <c r="G83" s="2248" t="s">
        <v>581</v>
      </c>
      <c r="H83" s="1339"/>
      <c r="I83" s="938"/>
      <c r="J83" s="650" t="str">
        <f>FHD_NOTE_P_45</f>
        <v/>
      </c>
      <c r="K83" s="1095"/>
      <c r="L83" s="1096"/>
      <c r="M83" s="1096"/>
      <c r="R83" s="1096"/>
      <c r="U83" s="1097"/>
      <c r="AA83" s="1098"/>
      <c r="AB83" s="1098"/>
      <c r="AC83" s="1098"/>
      <c r="AD83" s="1098"/>
      <c r="AE83" s="1098"/>
    </row>
    <row s="19709" customFormat="1" customHeight="1" ht="18.75" hidden="1">
      <c r="A84" s="2633"/>
      <c r="C84" s="1096"/>
      <c r="D84" s="1099"/>
      <c r="E84" s="907" t="str">
        <f>FHD_NUM_P_46</f>
        <v/>
      </c>
      <c r="F84" s="2247" t="str">
        <f>FHD_P_46</f>
        <v/>
      </c>
      <c r="G84" s="2248" t="s">
        <v>581</v>
      </c>
      <c r="H84" s="1339"/>
      <c r="I84" s="938"/>
      <c r="J84" s="650" t="str">
        <f>FHD_NOTE_P_46</f>
        <v/>
      </c>
      <c r="K84" s="1095"/>
      <c r="L84" s="1096"/>
      <c r="M84" s="1096"/>
      <c r="R84" s="1096"/>
      <c r="U84" s="1097"/>
      <c r="AA84" s="1098"/>
      <c r="AB84" s="1098"/>
      <c r="AC84" s="1098"/>
      <c r="AD84" s="1098"/>
      <c r="AE84" s="1098"/>
    </row>
    <row s="19709" customFormat="1" customHeight="1" ht="18.75" hidden="1">
      <c r="A85" s="2633"/>
      <c r="C85" s="1096"/>
      <c r="D85" s="1094"/>
      <c r="E85" s="907" t="str">
        <f>FHD_NUM_P_47</f>
        <v/>
      </c>
      <c r="F85" s="2247" t="str">
        <f>FHD_P_47</f>
        <v/>
      </c>
      <c r="G85" s="2248" t="s">
        <v>581</v>
      </c>
      <c r="H85" s="1339"/>
      <c r="I85" s="938"/>
      <c r="J85" s="650" t="str">
        <f>FHD_NOTE_P_47</f>
        <v/>
      </c>
      <c r="K85" s="1095"/>
      <c r="L85" s="1096"/>
      <c r="M85" s="1096"/>
      <c r="R85" s="1096"/>
      <c r="U85" s="1097"/>
      <c r="AA85" s="1098"/>
      <c r="AB85" s="1098"/>
      <c r="AC85" s="1098"/>
      <c r="AD85" s="1098"/>
      <c r="AE85" s="1098"/>
    </row>
    <row s="19718" customFormat="1" customHeight="1" ht="18.75" hidden="1">
      <c r="A86" s="2633"/>
      <c r="B86" s="1271"/>
      <c r="C86" s="1096"/>
      <c r="D86" s="1094"/>
      <c r="E86" s="907" t="str">
        <f>FHD_NUM_P_48</f>
        <v/>
      </c>
      <c r="F86" s="2247" t="str">
        <f>FHD_P_48</f>
        <v/>
      </c>
      <c r="G86" s="2248" t="s">
        <v>581</v>
      </c>
      <c r="H86" s="1339"/>
      <c r="I86" s="938"/>
      <c r="J86" s="650" t="str">
        <f>FHD_NOTE_P_48</f>
        <v/>
      </c>
      <c r="K86" s="1095"/>
      <c r="L86" s="1096"/>
      <c r="M86" s="1096"/>
      <c r="N86" s="1271"/>
      <c r="O86" s="1271"/>
      <c r="P86" s="1271"/>
      <c r="Q86" s="1271"/>
      <c r="R86" s="1096"/>
      <c r="S86" s="1271"/>
      <c r="T86" s="1271"/>
      <c r="U86" s="1097"/>
      <c r="V86" s="1271"/>
      <c r="W86" s="1271"/>
      <c r="X86" s="1271"/>
      <c r="Y86" s="1271"/>
      <c r="Z86" s="1271"/>
      <c r="AA86" s="1098"/>
      <c r="AB86" s="1098"/>
      <c r="AC86" s="1098"/>
      <c r="AD86" s="1098"/>
      <c r="AE86" s="1098"/>
    </row>
    <row s="19718" customFormat="1" customHeight="1" ht="18.75" hidden="1">
      <c r="A87" s="2633"/>
      <c r="B87" s="1271"/>
      <c r="C87" s="1096"/>
      <c r="D87" s="1094"/>
      <c r="E87" s="907" t="str">
        <f>FHD_NUM_P_49</f>
        <v/>
      </c>
      <c r="F87" s="2247" t="str">
        <f>FHD_P_49</f>
        <v/>
      </c>
      <c r="G87" s="2248" t="s">
        <v>581</v>
      </c>
      <c r="H87" s="1340">
        <f>SUM(H88:H89)</f>
        <v>0</v>
      </c>
      <c r="I87" s="1110">
        <f>SUM(I88:I89)</f>
        <v>0</v>
      </c>
      <c r="J87" s="650" t="str">
        <f>FHD_NOTE_P_49</f>
        <v/>
      </c>
      <c r="K87" s="1095"/>
      <c r="L87" s="1096"/>
      <c r="M87" s="1096"/>
      <c r="N87" s="1271"/>
      <c r="O87" s="1271"/>
      <c r="P87" s="1271"/>
      <c r="Q87" s="1271"/>
      <c r="R87" s="1096"/>
      <c r="S87" s="1271"/>
      <c r="T87" s="1271"/>
      <c r="U87" s="1097"/>
      <c r="V87" s="1271"/>
      <c r="W87" s="1271"/>
      <c r="X87" s="1271"/>
      <c r="Y87" s="1271"/>
      <c r="Z87" s="1271"/>
      <c r="AA87" s="1098"/>
      <c r="AB87" s="1098"/>
      <c r="AC87" s="1098"/>
      <c r="AD87" s="1098"/>
      <c r="AE87" s="1098"/>
    </row>
    <row s="19718" customFormat="1" customHeight="1" ht="18.75" hidden="1">
      <c r="A88" s="2633"/>
      <c r="B88" s="1271"/>
      <c r="C88" s="1096"/>
      <c r="D88" s="1094"/>
      <c r="E88" s="907" t="str">
        <f>FHD_NUM_P_50</f>
        <v/>
      </c>
      <c r="F88" s="2247" t="str">
        <f>FHD_P_50</f>
        <v/>
      </c>
      <c r="G88" s="2248" t="s">
        <v>581</v>
      </c>
      <c r="H88" s="1339"/>
      <c r="I88" s="938"/>
      <c r="J88" s="650" t="str">
        <f>FHD_NOTE_P_50</f>
        <v/>
      </c>
      <c r="K88" s="1095"/>
      <c r="L88" s="1096"/>
      <c r="M88" s="1096"/>
      <c r="N88" s="1271"/>
      <c r="O88" s="1271"/>
      <c r="P88" s="1271"/>
      <c r="Q88" s="1271"/>
      <c r="R88" s="1096"/>
      <c r="S88" s="1271"/>
      <c r="T88" s="1271"/>
      <c r="U88" s="1097"/>
      <c r="V88" s="1271"/>
      <c r="W88" s="1271"/>
      <c r="X88" s="1271"/>
      <c r="Y88" s="1271"/>
      <c r="Z88" s="1271"/>
      <c r="AA88" s="1098"/>
      <c r="AB88" s="1098"/>
      <c r="AC88" s="1098"/>
      <c r="AD88" s="1098"/>
      <c r="AE88" s="1098"/>
    </row>
    <row s="19718" customFormat="1" customHeight="1" ht="18.75" hidden="1">
      <c r="A89" s="2633"/>
      <c r="B89" s="1271"/>
      <c r="C89" s="1096"/>
      <c r="D89" s="1094"/>
      <c r="E89" s="907" t="str">
        <f>FHD_NUM_P_51</f>
        <v/>
      </c>
      <c r="F89" s="2247" t="str">
        <f>FHD_P_51</f>
        <v/>
      </c>
      <c r="G89" s="2248" t="s">
        <v>581</v>
      </c>
      <c r="H89" s="1339"/>
      <c r="I89" s="938"/>
      <c r="J89" s="650" t="str">
        <f>FHD_NOTE_P_51</f>
        <v/>
      </c>
      <c r="K89" s="1095"/>
      <c r="L89" s="1096"/>
      <c r="M89" s="1096"/>
      <c r="N89" s="1271"/>
      <c r="O89" s="1271"/>
      <c r="P89" s="1271"/>
      <c r="Q89" s="1271"/>
      <c r="R89" s="1096"/>
      <c r="S89" s="1271"/>
      <c r="T89" s="1271"/>
      <c r="U89" s="1097"/>
      <c r="V89" s="1271"/>
      <c r="W89" s="1271"/>
      <c r="X89" s="1271"/>
      <c r="Y89" s="1271"/>
      <c r="Z89" s="1271"/>
      <c r="AA89" s="1098"/>
      <c r="AB89" s="1098"/>
      <c r="AC89" s="1098"/>
      <c r="AD89" s="1098"/>
      <c r="AE89" s="1098"/>
    </row>
    <row s="19718" customFormat="1" customHeight="1" ht="18.75" hidden="1">
      <c r="A90" s="2633"/>
      <c r="B90" s="1271"/>
      <c r="C90" s="1096"/>
      <c r="D90" s="1094"/>
      <c r="E90" s="907" t="str">
        <f>FHD_NUM_P_52</f>
        <v/>
      </c>
      <c r="F90" s="2247" t="str">
        <f>FHD_P_52</f>
        <v/>
      </c>
      <c r="G90" s="2248" t="s">
        <v>558</v>
      </c>
      <c r="H90" s="1338"/>
      <c r="I90" s="918"/>
      <c r="J90" s="650" t="str">
        <f>FHD_NOTE_P_52</f>
        <v/>
      </c>
      <c r="K90" s="1095"/>
      <c r="L90" s="1096"/>
      <c r="M90" s="1096"/>
      <c r="N90" s="1271"/>
      <c r="O90" s="1271"/>
      <c r="P90" s="1271"/>
      <c r="Q90" s="1271"/>
      <c r="R90" s="1096"/>
      <c r="S90" s="1271"/>
      <c r="T90" s="1271"/>
      <c r="U90" s="1097"/>
      <c r="V90" s="1271"/>
      <c r="W90" s="1271"/>
      <c r="X90" s="1271"/>
      <c r="Y90" s="1271"/>
      <c r="Z90" s="1271"/>
      <c r="AA90" s="1098"/>
      <c r="AB90" s="1098"/>
      <c r="AC90" s="1098"/>
      <c r="AD90" s="1098"/>
      <c r="AE90" s="1098"/>
    </row>
    <row s="19709" customFormat="1" customHeight="1" ht="18.75">
      <c r="A91" s="2635" t="s">
        <v>582</v>
      </c>
      <c r="C91" s="1096"/>
      <c r="D91" s="1094"/>
      <c r="E91" s="907" t="str">
        <f>FHD_NUM_P_53</f>
        <v>7</v>
      </c>
      <c r="F91" s="2247" t="str">
        <f>FHD_P_53</f>
        <v>Объём приобретаемой холодной воды, используемой для горячего водоснабжения</v>
      </c>
      <c r="G91" s="2248" t="s">
        <v>581</v>
      </c>
      <c r="H91" s="1339"/>
      <c r="I91" s="938"/>
      <c r="J91" s="650" t="str">
        <f>FHD_NOTE_P_53</f>
        <v/>
      </c>
      <c r="K91" s="1095"/>
      <c r="L91" s="1096"/>
      <c r="M91" s="1096"/>
      <c r="R91" s="1096"/>
      <c r="U91" s="1097"/>
      <c r="AA91" s="1098"/>
      <c r="AB91" s="1098"/>
      <c r="AC91" s="1098"/>
      <c r="AD91" s="1098"/>
      <c r="AE91" s="1098"/>
    </row>
    <row s="19709" customFormat="1" customHeight="1" ht="18.75">
      <c r="A92" s="2635"/>
      <c r="C92" s="1096"/>
      <c r="D92" s="1094"/>
      <c r="E92" s="907" t="str">
        <f>FHD_NUM_P_54</f>
        <v>8</v>
      </c>
      <c r="F92" s="2247" t="str">
        <f>FHD_P_54</f>
        <v>Объём холодной воды, получаемой с применением собственных источников водозабора (скважин) и используемой для горячего водоснабжения</v>
      </c>
      <c r="G92" s="2248" t="s">
        <v>581</v>
      </c>
      <c r="H92" s="1339"/>
      <c r="I92" s="938"/>
      <c r="J92" s="650" t="str">
        <f>FHD_NOTE_P_54</f>
        <v/>
      </c>
      <c r="K92" s="1095"/>
      <c r="L92" s="1096"/>
      <c r="M92" s="1096"/>
      <c r="R92" s="1096"/>
      <c r="U92" s="1097"/>
      <c r="AA92" s="1098"/>
      <c r="AB92" s="1098"/>
      <c r="AC92" s="1098"/>
      <c r="AD92" s="1098"/>
      <c r="AE92" s="1098"/>
    </row>
    <row s="19709" customFormat="1" customHeight="1" ht="18.75">
      <c r="A93" s="2635"/>
      <c r="C93" s="1096"/>
      <c r="D93" s="1099"/>
      <c r="E93" s="907" t="str">
        <f>FHD_NUM_P_55</f>
        <v>9</v>
      </c>
      <c r="F93" s="2247" t="str">
        <f>FHD_P_55</f>
        <v>Объём приобретаемой тепловой энергии (мощности), используемой для горячего водоснабжения</v>
      </c>
      <c r="G93" s="2251"/>
      <c r="H93" s="1339"/>
      <c r="I93" s="938"/>
      <c r="J93" s="650" t="str">
        <f>FHD_NOTE_P_55</f>
        <v/>
      </c>
      <c r="K93" s="1095"/>
      <c r="L93" s="1096"/>
      <c r="M93" s="1096"/>
      <c r="R93" s="1096"/>
      <c r="U93" s="1097"/>
      <c r="AA93" s="1098"/>
      <c r="AB93" s="1098"/>
      <c r="AC93" s="1098"/>
      <c r="AD93" s="1098"/>
      <c r="AE93" s="1098"/>
    </row>
    <row s="19709" customFormat="1" customHeight="1" ht="18.75">
      <c r="A94" s="2635"/>
      <c r="C94" s="1096"/>
      <c r="D94" s="1094"/>
      <c r="E94" s="907" t="str">
        <f>FHD_NUM_P_56</f>
        <v>10</v>
      </c>
      <c r="F94" s="2247" t="str">
        <f>FHD_P_56</f>
        <v>Объём тепловой энергии, производимой с применением собственных источников и используемой для горячего водоснабжения</v>
      </c>
      <c r="G94" s="2248" t="s">
        <v>583</v>
      </c>
      <c r="H94" s="1339"/>
      <c r="I94" s="938"/>
      <c r="J94" s="650" t="str">
        <f>FHD_NOTE_P_56</f>
        <v/>
      </c>
      <c r="K94" s="1095"/>
      <c r="L94" s="1096"/>
      <c r="M94" s="1096"/>
      <c r="R94" s="1096"/>
      <c r="U94" s="1097"/>
      <c r="AA94" s="1098"/>
      <c r="AB94" s="1098"/>
      <c r="AC94" s="1098"/>
      <c r="AD94" s="1098"/>
      <c r="AE94" s="1098"/>
    </row>
    <row s="19718" customFormat="1" customHeight="1" ht="18.75">
      <c r="A95" s="2635"/>
      <c r="B95" s="1271"/>
      <c r="C95" s="1096"/>
      <c r="D95" s="1094"/>
      <c r="E95" s="907" t="str">
        <f>FHD_NUM_P_57</f>
        <v>11</v>
      </c>
      <c r="F95" s="2247" t="str">
        <f>FHD_P_57</f>
        <v>Потери горячей воды в сетях (процентов)</v>
      </c>
      <c r="G95" s="2248" t="s">
        <v>558</v>
      </c>
      <c r="H95" s="1338"/>
      <c r="I95" s="918"/>
      <c r="J95" s="650" t="str">
        <f>FHD_NOTE_P_57</f>
        <v/>
      </c>
      <c r="K95" s="1095"/>
      <c r="L95" s="1096"/>
      <c r="M95" s="1096"/>
      <c r="N95" s="1271"/>
      <c r="O95" s="1271"/>
      <c r="P95" s="1271"/>
      <c r="Q95" s="1271"/>
      <c r="R95" s="1096"/>
      <c r="S95" s="1271"/>
      <c r="T95" s="1271"/>
      <c r="U95" s="1097"/>
      <c r="V95" s="1271"/>
      <c r="W95" s="1271"/>
      <c r="X95" s="1271"/>
      <c r="Y95" s="1271"/>
      <c r="Z95" s="1271"/>
      <c r="AA95" s="1098"/>
      <c r="AB95" s="1098"/>
      <c r="AC95" s="1098"/>
      <c r="AD95" s="1098"/>
      <c r="AE95" s="1098"/>
    </row>
    <row customHeight="1" ht="18.75" hidden="1">
      <c r="A96" s="2633" t="s">
        <v>584</v>
      </c>
      <c r="D96" s="2004"/>
      <c r="E96" s="907" t="str">
        <f>FHD_NUM_P_58</f>
        <v/>
      </c>
      <c r="F96" s="2247" t="str">
        <f>FHD_P_58</f>
        <v/>
      </c>
      <c r="G96" s="2248" t="s">
        <v>581</v>
      </c>
      <c r="H96" s="1339"/>
      <c r="I96" s="938"/>
      <c r="J96" s="650" t="str">
        <f>FHD_NOTE_P_58</f>
        <v/>
      </c>
      <c r="K96" s="904"/>
    </row>
    <row customHeight="1" ht="18.75" hidden="1">
      <c r="A97" s="2633"/>
      <c r="D97" s="2004"/>
      <c r="E97" s="907" t="str">
        <f>FHD_NUM_P_59</f>
        <v/>
      </c>
      <c r="F97" s="2247" t="str">
        <f>FHD_P_59</f>
        <v/>
      </c>
      <c r="G97" s="2248" t="s">
        <v>581</v>
      </c>
      <c r="H97" s="1339"/>
      <c r="I97" s="938"/>
      <c r="J97" s="650" t="str">
        <f>FHD_NOTE_P_59</f>
        <v/>
      </c>
      <c r="K97" s="904"/>
    </row>
    <row customHeight="1" ht="18.75" hidden="1">
      <c r="A98" s="2633"/>
      <c r="D98" s="2004"/>
      <c r="E98" s="907" t="str">
        <f>FHD_NUM_P_60</f>
        <v/>
      </c>
      <c r="F98" s="2247" t="str">
        <f>FHD_P_60</f>
        <v/>
      </c>
      <c r="G98" s="2248" t="s">
        <v>581</v>
      </c>
      <c r="H98" s="1339"/>
      <c r="I98" s="938"/>
      <c r="J98" s="650" t="str">
        <f>FHD_NOTE_P_60</f>
        <v/>
      </c>
      <c r="K98" s="904"/>
    </row>
    <row s="19146" customFormat="1" customHeight="1" ht="18.75" hidden="1">
      <c r="A99" s="2633" t="s">
        <v>585</v>
      </c>
      <c r="C99" s="2002"/>
      <c r="D99" s="2004"/>
      <c r="E99" s="907" t="str">
        <f>FHD_NUM_P_61</f>
        <v/>
      </c>
      <c r="F99" s="2247" t="str">
        <f>FHD_P_61</f>
        <v/>
      </c>
      <c r="G99" s="2245" t="s">
        <v>556</v>
      </c>
      <c r="H99" s="1341"/>
      <c r="I99" s="1103"/>
      <c r="J99" s="650" t="str">
        <f>FHD_NOTE_P_61</f>
        <v/>
      </c>
      <c r="K99" s="904"/>
      <c r="L99" s="2002"/>
      <c r="M99" s="2002"/>
      <c r="R99" s="2002"/>
      <c r="U99" s="905"/>
      <c r="AA99" s="1998"/>
      <c r="AB99" s="1998"/>
      <c r="AC99" s="1998"/>
      <c r="AD99" s="1998"/>
      <c r="AE99" s="1998"/>
    </row>
    <row s="19272" customFormat="1" customHeight="1" ht="0.75" hidden="1">
      <c r="A100" s="2633"/>
      <c r="D100" s="909"/>
      <c r="E100" s="1375" t="str">
        <f>E99&amp;".0"</f>
        <v>.0</v>
      </c>
      <c r="F100" s="1356"/>
      <c r="G100" s="1357"/>
      <c r="H100" s="1354"/>
      <c r="I100" s="1354"/>
      <c r="J100" s="1358"/>
    </row>
    <row customHeight="1" ht="15" hidden="1">
      <c r="A101" s="2633"/>
      <c r="D101" s="1999"/>
      <c r="E101" s="1333"/>
      <c r="F101" s="1334" t="s">
        <v>586</v>
      </c>
      <c r="G101" s="933"/>
      <c r="H101" s="934"/>
      <c r="I101" s="934"/>
      <c r="J101" s="1366" t="s">
        <v>587</v>
      </c>
      <c r="K101" s="904"/>
    </row>
    <row s="19146" customFormat="1" customHeight="1" ht="18.75" hidden="1">
      <c r="A102" s="2633"/>
      <c r="C102" s="2002"/>
      <c r="D102" s="2004"/>
      <c r="E102" s="907" t="str">
        <f>FHD_NUM_P_62</f>
        <v/>
      </c>
      <c r="F102" s="2247" t="str">
        <f>FHD_P_62</f>
        <v/>
      </c>
      <c r="G102" s="2244" t="s">
        <v>556</v>
      </c>
      <c r="H102" s="918"/>
      <c r="I102" s="918"/>
      <c r="J102" s="650" t="str">
        <f>FHD_NOTE_P_62</f>
        <v/>
      </c>
      <c r="K102" s="904"/>
      <c r="L102" s="2002"/>
      <c r="M102" s="2002"/>
      <c r="R102" s="2002"/>
      <c r="U102" s="905"/>
      <c r="AA102" s="1998"/>
      <c r="AB102" s="1998"/>
      <c r="AC102" s="1998"/>
      <c r="AD102" s="1998"/>
      <c r="AE102" s="1998"/>
    </row>
    <row s="19146" customFormat="1" customHeight="1" ht="18.75" hidden="1">
      <c r="A103" s="2633"/>
      <c r="C103" s="2002"/>
      <c r="D103" s="2004"/>
      <c r="E103" s="907" t="str">
        <f>FHD_NUM_P_63</f>
        <v/>
      </c>
      <c r="F103" s="2247" t="str">
        <f>FHD_P_63</f>
        <v/>
      </c>
      <c r="G103" s="2244" t="s">
        <v>583</v>
      </c>
      <c r="H103" s="938"/>
      <c r="I103" s="938"/>
      <c r="J103" s="650" t="str">
        <f>FHD_NOTE_P_63</f>
        <v/>
      </c>
      <c r="K103" s="904"/>
      <c r="L103" s="2002"/>
      <c r="M103" s="2002"/>
      <c r="R103" s="2002"/>
      <c r="U103" s="905"/>
      <c r="AA103" s="1998"/>
      <c r="AB103" s="1998"/>
      <c r="AC103" s="1998"/>
      <c r="AD103" s="1998"/>
      <c r="AE103" s="1998"/>
    </row>
    <row s="19146" customFormat="1" customHeight="1" ht="18.75" hidden="1">
      <c r="A104" s="2633"/>
      <c r="C104" s="2002" t="s">
        <v>588</v>
      </c>
      <c r="D104" s="2004"/>
      <c r="E104" s="907" t="str">
        <f>FHD_NUM_P_64</f>
        <v/>
      </c>
      <c r="F104" s="2247" t="str">
        <f>FHD_P_64</f>
        <v/>
      </c>
      <c r="G104" s="2244" t="s">
        <v>583</v>
      </c>
      <c r="H104" s="906"/>
      <c r="I104" s="906"/>
      <c r="J104" s="650" t="str">
        <f>FHD_NOTE_P_64</f>
        <v/>
      </c>
      <c r="K104" s="904"/>
      <c r="L104" s="2002"/>
      <c r="M104" s="2002"/>
      <c r="R104" s="2002"/>
      <c r="U104" s="905"/>
      <c r="AA104" s="1998"/>
      <c r="AB104" s="1998"/>
      <c r="AC104" s="1998"/>
      <c r="AD104" s="1998"/>
      <c r="AE104" s="1998"/>
    </row>
    <row s="19146" customFormat="1" customHeight="1" ht="18.75" hidden="1">
      <c r="A105" s="2633"/>
      <c r="C105" s="2002"/>
      <c r="D105" s="2004"/>
      <c r="E105" s="907" t="str">
        <f>FHD_NUM_P_65</f>
        <v/>
      </c>
      <c r="F105" s="2247" t="str">
        <f>FHD_P_65</f>
        <v/>
      </c>
      <c r="G105" s="2244" t="s">
        <v>583</v>
      </c>
      <c r="H105" s="938"/>
      <c r="I105" s="938"/>
      <c r="J105" s="650" t="str">
        <f>FHD_NOTE_P_65</f>
        <v/>
      </c>
      <c r="K105" s="904"/>
      <c r="L105" s="2002"/>
      <c r="M105" s="2002"/>
      <c r="R105" s="2002"/>
      <c r="U105" s="905"/>
      <c r="AA105" s="1998"/>
      <c r="AB105" s="1998"/>
      <c r="AC105" s="1998"/>
      <c r="AD105" s="1998"/>
      <c r="AE105" s="1998"/>
    </row>
    <row s="19146" customFormat="1" customHeight="1" ht="18.75" hidden="1">
      <c r="A106" s="2633"/>
      <c r="C106" s="2002"/>
      <c r="D106" s="2004"/>
      <c r="E106" s="907" t="str">
        <f>FHD_NUM_P_66</f>
        <v/>
      </c>
      <c r="F106" s="1890" t="str">
        <f>FHD_P_66</f>
        <v/>
      </c>
      <c r="G106" s="2244" t="s">
        <v>583</v>
      </c>
      <c r="H106" s="938"/>
      <c r="I106" s="938"/>
      <c r="J106" s="650" t="str">
        <f>FHD_NOTE_P_66</f>
        <v/>
      </c>
      <c r="K106" s="904"/>
      <c r="L106" s="2002"/>
      <c r="M106" s="2002"/>
      <c r="R106" s="2002"/>
      <c r="U106" s="905"/>
      <c r="AA106" s="1998"/>
      <c r="AB106" s="1998"/>
      <c r="AC106" s="1998"/>
      <c r="AD106" s="1998"/>
      <c r="AE106" s="1998"/>
    </row>
    <row s="19146" customFormat="1" customHeight="1" ht="18.75" hidden="1">
      <c r="A107" s="2633"/>
      <c r="C107" s="2002"/>
      <c r="D107" s="2004"/>
      <c r="E107" s="907" t="str">
        <f>FHD_NUM_P_67</f>
        <v/>
      </c>
      <c r="F107" s="2016" t="str">
        <f>FHD_P_67</f>
        <v/>
      </c>
      <c r="G107" s="2244" t="s">
        <v>583</v>
      </c>
      <c r="H107" s="938"/>
      <c r="I107" s="938"/>
      <c r="J107" s="650" t="str">
        <f>FHD_NOTE_P_67</f>
        <v/>
      </c>
      <c r="K107" s="904"/>
      <c r="L107" s="2002"/>
      <c r="M107" s="2002"/>
      <c r="R107" s="2002"/>
      <c r="U107" s="905"/>
      <c r="AA107" s="1998"/>
      <c r="AB107" s="1998"/>
      <c r="AC107" s="1998"/>
      <c r="AD107" s="1998"/>
      <c r="AE107" s="1998"/>
    </row>
    <row s="19146" customFormat="1" customHeight="1" ht="18.75" hidden="1">
      <c r="A108" s="2633"/>
      <c r="C108" s="2002"/>
      <c r="D108" s="2004"/>
      <c r="E108" s="907" t="str">
        <f>FHD_NUM_P_68</f>
        <v/>
      </c>
      <c r="F108" s="1890" t="str">
        <f>FHD_P_68</f>
        <v/>
      </c>
      <c r="G108" s="2244" t="s">
        <v>583</v>
      </c>
      <c r="H108" s="938"/>
      <c r="I108" s="938"/>
      <c r="J108" s="650" t="str">
        <f>FHD_NOTE_P_68</f>
        <v/>
      </c>
      <c r="K108" s="904"/>
      <c r="L108" s="2002"/>
      <c r="M108" s="2002"/>
      <c r="R108" s="2002"/>
      <c r="U108" s="905"/>
      <c r="AA108" s="1998"/>
      <c r="AB108" s="1998"/>
      <c r="AC108" s="1998"/>
      <c r="AD108" s="1998"/>
      <c r="AE108" s="1998"/>
    </row>
    <row s="19146" customFormat="1" customHeight="1" ht="18.75" hidden="1">
      <c r="A109" s="2633"/>
      <c r="C109" s="2002"/>
      <c r="D109" s="2004"/>
      <c r="E109" s="907" t="str">
        <f>FHD_NUM_P_69</f>
        <v/>
      </c>
      <c r="F109" s="1890" t="str">
        <f>FHD_P_69</f>
        <v/>
      </c>
      <c r="G109" s="2244" t="s">
        <v>583</v>
      </c>
      <c r="H109" s="938"/>
      <c r="I109" s="938"/>
      <c r="J109" s="650" t="str">
        <f>FHD_NOTE_P_69</f>
        <v/>
      </c>
      <c r="K109" s="904"/>
      <c r="L109" s="2002"/>
      <c r="M109" s="2002"/>
      <c r="R109" s="2002"/>
      <c r="U109" s="905"/>
      <c r="AA109" s="1998"/>
      <c r="AB109" s="1998"/>
      <c r="AC109" s="1998"/>
      <c r="AD109" s="1998"/>
      <c r="AE109" s="1998"/>
    </row>
    <row s="19146" customFormat="1" customHeight="1" ht="22.5" hidden="1">
      <c r="A110" s="2633"/>
      <c r="C110" s="2002"/>
      <c r="D110" s="2004"/>
      <c r="E110" s="907" t="str">
        <f>FHD_NUM_P_70</f>
        <v/>
      </c>
      <c r="F110" s="2247" t="str">
        <f>FHD_P_70</f>
        <v/>
      </c>
      <c r="G110" s="2244" t="s">
        <v>589</v>
      </c>
      <c r="H110" s="918"/>
      <c r="I110" s="918"/>
      <c r="J110" s="650" t="str">
        <f>FHD_NOTE_P_70</f>
        <v/>
      </c>
      <c r="K110" s="904"/>
      <c r="L110" s="2002"/>
      <c r="M110" s="2002"/>
      <c r="R110" s="2002"/>
      <c r="U110" s="905"/>
      <c r="AA110" s="1998"/>
      <c r="AB110" s="1998"/>
      <c r="AC110" s="1998"/>
      <c r="AD110" s="1998"/>
      <c r="AE110" s="1998"/>
    </row>
    <row s="19146" customFormat="1" customHeight="1" ht="22.5" hidden="1">
      <c r="A111" s="2633"/>
      <c r="C111" s="2002"/>
      <c r="D111" s="2004"/>
      <c r="E111" s="907" t="str">
        <f>FHD_NUM_P_71</f>
        <v/>
      </c>
      <c r="F111" s="2247" t="str">
        <f>FHD_P_71</f>
        <v/>
      </c>
      <c r="G111" s="2244" t="s">
        <v>589</v>
      </c>
      <c r="H111" s="918"/>
      <c r="I111" s="918"/>
      <c r="J111" s="650" t="str">
        <f>FHD_NOTE_P_71</f>
        <v/>
      </c>
      <c r="K111" s="904"/>
      <c r="L111" s="2002"/>
      <c r="M111" s="2002"/>
      <c r="R111" s="2002"/>
      <c r="U111" s="905"/>
      <c r="AA111" s="1998"/>
      <c r="AB111" s="1998"/>
      <c r="AC111" s="1998"/>
      <c r="AD111" s="1998"/>
      <c r="AE111" s="1998"/>
    </row>
    <row customHeight="1" ht="18.75">
      <c r="D112" s="2004"/>
      <c r="E112" s="907" t="str">
        <f>FHD_NUM_P_72</f>
        <v>12</v>
      </c>
      <c r="F112" s="2247" t="str">
        <f>FHD_P_72</f>
        <v>Среднесписочная численность основного производственного персонала</v>
      </c>
      <c r="G112" s="2243" t="s">
        <v>590</v>
      </c>
      <c r="H112" s="938"/>
      <c r="I112" s="938"/>
      <c r="J112" s="650" t="str">
        <f>FHD_NOTE_P_72</f>
        <v/>
      </c>
      <c r="K112" s="904"/>
    </row>
    <row customHeight="1" ht="18.75" hidden="1">
      <c r="A113" s="1351" t="s">
        <v>591</v>
      </c>
      <c r="D113" s="2004"/>
      <c r="E113" s="907" t="str">
        <f>FHD_NUM_P_73</f>
        <v/>
      </c>
      <c r="F113" s="2247" t="str">
        <f>FHD_P_73</f>
        <v/>
      </c>
      <c r="G113" s="1332" t="s">
        <v>590</v>
      </c>
      <c r="H113" s="1330"/>
      <c r="I113" s="1330"/>
      <c r="J113" s="650" t="str">
        <f>FHD_NOTE_P_73</f>
        <v/>
      </c>
      <c r="K113" s="904"/>
    </row>
    <row customHeight="1" ht="33.75">
      <c r="A114" s="1351" t="s">
        <v>592</v>
      </c>
      <c r="D114" s="2004"/>
      <c r="E114" s="907" t="str">
        <f>FHD_NUM_P_74</f>
        <v>13</v>
      </c>
      <c r="F114" s="2247" t="str">
        <f>FHD_P_74</f>
        <v>Удельный расход электрической энергии на подачу воды в сеть</v>
      </c>
      <c r="G114" s="2243" t="s">
        <v>593</v>
      </c>
      <c r="H114" s="938"/>
      <c r="I114" s="938"/>
      <c r="J114" s="650" t="str">
        <f>FHD_NOTE_P_74</f>
        <v/>
      </c>
      <c r="K114" s="904"/>
    </row>
    <row s="19718" customFormat="1" customHeight="1" ht="18.75" hidden="1">
      <c r="A115" s="2635" t="s">
        <v>594</v>
      </c>
      <c r="B115" s="1271"/>
      <c r="C115" s="1096"/>
      <c r="D115" s="1094"/>
      <c r="E115" s="907" t="str">
        <f>FHD_NUM_P_75</f>
        <v/>
      </c>
      <c r="F115" s="2247" t="str">
        <f>FHD_P_75</f>
        <v/>
      </c>
      <c r="G115" s="2243" t="s">
        <v>558</v>
      </c>
      <c r="H115" s="918"/>
      <c r="I115" s="918"/>
      <c r="J115" s="650" t="str">
        <f>FHD_NOTE_P_75</f>
        <v/>
      </c>
      <c r="K115" s="1095"/>
      <c r="L115" s="1096"/>
      <c r="M115" s="1096"/>
      <c r="N115" s="1271"/>
      <c r="O115" s="1271"/>
      <c r="P115" s="1271"/>
      <c r="Q115" s="1271"/>
      <c r="R115" s="1096"/>
      <c r="S115" s="1271"/>
      <c r="T115" s="1271"/>
      <c r="U115" s="1097"/>
      <c r="V115" s="1271"/>
      <c r="W115" s="1271"/>
      <c r="X115" s="1271"/>
      <c r="Y115" s="1271"/>
      <c r="Z115" s="1271"/>
      <c r="AA115" s="1098"/>
      <c r="AB115" s="1098"/>
      <c r="AC115" s="1098"/>
      <c r="AD115" s="1098"/>
      <c r="AE115" s="1098"/>
    </row>
    <row s="19718" customFormat="1" customHeight="1" ht="18.75" hidden="1">
      <c r="A116" s="2635"/>
      <c r="B116" s="1271"/>
      <c r="C116" s="1096"/>
      <c r="D116" s="1094"/>
      <c r="E116" s="907" t="str">
        <f>FHD_NUM_P_76</f>
        <v/>
      </c>
      <c r="F116" s="2247" t="str">
        <f>FHD_P_76</f>
        <v/>
      </c>
      <c r="G116" s="2243" t="s">
        <v>558</v>
      </c>
      <c r="H116" s="918"/>
      <c r="I116" s="918"/>
      <c r="J116" s="650" t="str">
        <f>FHD_NOTE_P_76</f>
        <v/>
      </c>
      <c r="K116" s="1095"/>
      <c r="L116" s="1096"/>
      <c r="M116" s="1096"/>
      <c r="N116" s="1271"/>
      <c r="O116" s="1271"/>
      <c r="P116" s="1271"/>
      <c r="Q116" s="1271"/>
      <c r="R116" s="1096"/>
      <c r="S116" s="1271"/>
      <c r="T116" s="1271"/>
      <c r="U116" s="1097"/>
      <c r="V116" s="1271"/>
      <c r="W116" s="1271"/>
      <c r="X116" s="1271"/>
      <c r="Y116" s="1271"/>
      <c r="Z116" s="1271"/>
      <c r="AA116" s="1098"/>
      <c r="AB116" s="1098"/>
      <c r="AC116" s="1098"/>
      <c r="AD116" s="1098"/>
      <c r="AE116" s="1098"/>
    </row>
    <row s="19718" customFormat="1" customHeight="1" ht="18.75" hidden="1">
      <c r="A117" s="2635"/>
      <c r="B117" s="1271"/>
      <c r="C117" s="1096"/>
      <c r="D117" s="1094"/>
      <c r="E117" s="907" t="str">
        <f>FHD_NUM_P_77</f>
        <v/>
      </c>
      <c r="F117" s="2247" t="str">
        <f>FHD_P_77</f>
        <v/>
      </c>
      <c r="G117" s="2243" t="s">
        <v>558</v>
      </c>
      <c r="H117" s="918"/>
      <c r="I117" s="918"/>
      <c r="J117" s="650" t="str">
        <f>FHD_NOTE_P_77</f>
        <v/>
      </c>
      <c r="K117" s="1095"/>
      <c r="L117" s="1096"/>
      <c r="M117" s="1096"/>
      <c r="N117" s="1271"/>
      <c r="O117" s="1271"/>
      <c r="P117" s="1271"/>
      <c r="Q117" s="1271"/>
      <c r="R117" s="1096"/>
      <c r="S117" s="1271"/>
      <c r="T117" s="1271"/>
      <c r="U117" s="1097"/>
      <c r="V117" s="1271"/>
      <c r="W117" s="1271"/>
      <c r="X117" s="1271"/>
      <c r="Y117" s="1271"/>
      <c r="Z117" s="1271"/>
      <c r="AA117" s="1098"/>
      <c r="AB117" s="1098"/>
      <c r="AC117" s="1098"/>
      <c r="AD117" s="1098"/>
      <c r="AE117" s="1098"/>
    </row>
    <row s="19272" customFormat="1" customHeight="1" ht="0.75" hidden="1">
      <c r="A118" s="2635"/>
      <c r="D118" s="909"/>
      <c r="E118" s="1375" t="str">
        <f>E117&amp;".0"</f>
        <v>.0</v>
      </c>
      <c r="F118" s="1359"/>
      <c r="G118" s="2017"/>
      <c r="H118" s="1354"/>
      <c r="I118" s="1354"/>
      <c r="J118" s="1358"/>
    </row>
    <row s="19718" customFormat="1" customHeight="1" ht="15" hidden="1">
      <c r="A119" s="2635"/>
      <c r="B119" s="1271"/>
      <c r="C119" s="1096"/>
      <c r="D119" s="1107"/>
      <c r="E119" s="1335"/>
      <c r="F119" s="1336" t="s">
        <v>595</v>
      </c>
      <c r="G119" s="1108"/>
      <c r="H119" s="1109"/>
      <c r="I119" s="1109"/>
      <c r="J119" s="1365" t="s">
        <v>596</v>
      </c>
      <c r="K119" s="1095"/>
      <c r="L119" s="1096"/>
      <c r="M119" s="1096"/>
      <c r="N119" s="1271"/>
      <c r="O119" s="1271"/>
      <c r="P119" s="1271"/>
      <c r="Q119" s="1271"/>
      <c r="R119" s="1096"/>
      <c r="S119" s="1271"/>
      <c r="T119" s="1271"/>
      <c r="U119" s="1097"/>
      <c r="V119" s="1271"/>
      <c r="W119" s="1271"/>
      <c r="X119" s="1271"/>
      <c r="Y119" s="1271"/>
      <c r="Z119" s="1271"/>
      <c r="AA119" s="1098"/>
      <c r="AB119" s="1098"/>
      <c r="AC119" s="1098"/>
      <c r="AD119" s="1098"/>
      <c r="AE119" s="1098"/>
    </row>
    <row customHeight="1" ht="22.5" hidden="1">
      <c r="A120" s="2633" t="s">
        <v>597</v>
      </c>
      <c r="D120" s="2004"/>
      <c r="E120" s="907" t="str">
        <f>FHD_NUM_P_78</f>
        <v/>
      </c>
      <c r="F120" s="2247" t="str">
        <f>FHD_P_78</f>
        <v/>
      </c>
      <c r="G120" s="2244" t="s">
        <v>560</v>
      </c>
      <c r="H120" s="938"/>
      <c r="I120" s="938"/>
      <c r="J120" s="650" t="str">
        <f>FHD_NOTE_P_78</f>
        <v/>
      </c>
      <c r="K120" s="904"/>
    </row>
    <row s="19272" customFormat="1" customHeight="1" ht="0.75" hidden="1">
      <c r="A121" s="2633"/>
      <c r="D121" s="909"/>
      <c r="E121" s="1375" t="str">
        <f>E120&amp;".0"</f>
        <v>.0</v>
      </c>
      <c r="F121" s="1359"/>
      <c r="G121" s="2017"/>
      <c r="H121" s="1354"/>
      <c r="I121" s="1354"/>
      <c r="J121" s="1358"/>
    </row>
    <row customHeight="1" ht="15" hidden="1">
      <c r="A122" s="2633"/>
      <c r="D122" s="1999"/>
      <c r="E122" s="931"/>
      <c r="F122" s="1531" t="s">
        <v>586</v>
      </c>
      <c r="G122" s="933"/>
      <c r="H122" s="934"/>
      <c r="I122" s="934"/>
      <c r="J122" s="1366" t="s">
        <v>598</v>
      </c>
      <c r="K122" s="904"/>
    </row>
    <row customHeight="1" ht="22.5" hidden="1">
      <c r="A123" s="2633"/>
      <c r="D123" s="2004"/>
      <c r="E123" s="907" t="str">
        <f>FHD_NUM_P_79</f>
        <v/>
      </c>
      <c r="F123" s="2247" t="str">
        <f>FHD_P_79</f>
        <v/>
      </c>
      <c r="G123" s="2245" t="s">
        <v>562</v>
      </c>
      <c r="H123" s="938"/>
      <c r="I123" s="938"/>
      <c r="J123" s="650" t="str">
        <f>FHD_NOTE_P_79</f>
        <v/>
      </c>
      <c r="K123" s="904"/>
    </row>
    <row s="19272" customFormat="1" customHeight="1" ht="0.75" hidden="1">
      <c r="A124" s="2633"/>
      <c r="D124" s="909"/>
      <c r="E124" s="1375" t="str">
        <f>E123&amp;".0"</f>
        <v>.0</v>
      </c>
      <c r="F124" s="1360"/>
      <c r="G124" s="2017"/>
      <c r="H124" s="1354"/>
      <c r="I124" s="1354"/>
      <c r="J124" s="1358"/>
    </row>
    <row customHeight="1" ht="15" hidden="1">
      <c r="A125" s="2633"/>
      <c r="D125" s="1999"/>
      <c r="E125" s="931"/>
      <c r="F125" s="1531" t="s">
        <v>586</v>
      </c>
      <c r="G125" s="933"/>
      <c r="H125" s="934"/>
      <c r="I125" s="934"/>
      <c r="J125" s="1366" t="s">
        <v>599</v>
      </c>
      <c r="K125" s="904"/>
    </row>
    <row customHeight="1" ht="22.5" hidden="1">
      <c r="A126" s="2633"/>
      <c r="D126" s="2004"/>
      <c r="E126" s="907" t="str">
        <f>FHD_NUM_P_80</f>
        <v/>
      </c>
      <c r="F126" s="2247" t="str">
        <f>FHD_P_80</f>
        <v/>
      </c>
      <c r="G126" s="2245" t="s">
        <v>600</v>
      </c>
      <c r="H126" s="918"/>
      <c r="I126" s="918"/>
      <c r="J126" s="650" t="str">
        <f>FHD_NOTE_P_80</f>
        <v/>
      </c>
      <c r="K126" s="904"/>
    </row>
    <row customHeight="1" ht="18.75" hidden="1">
      <c r="A127" s="2633"/>
      <c r="D127" s="2004"/>
      <c r="E127" s="907" t="str">
        <f>FHD_NUM_P_81</f>
        <v/>
      </c>
      <c r="F127" s="2247" t="str">
        <f>FHD_P_81</f>
        <v/>
      </c>
      <c r="G127" s="2245" t="s">
        <v>601</v>
      </c>
      <c r="H127" s="918"/>
      <c r="I127" s="918"/>
      <c r="J127" s="650" t="str">
        <f>FHD_NOTE_P_81</f>
        <v/>
      </c>
      <c r="K127" s="904"/>
    </row>
    <row customHeight="1" ht="18.75" hidden="1">
      <c r="A128" s="2633"/>
      <c r="C128" s="2002" t="s">
        <v>588</v>
      </c>
      <c r="D128" s="2004"/>
      <c r="E128" s="907" t="str">
        <f>FHD_NUM_P_82</f>
        <v/>
      </c>
      <c r="F128" s="2247" t="str">
        <f>FHD_P_82</f>
        <v/>
      </c>
      <c r="G128" s="2245" t="s">
        <v>306</v>
      </c>
      <c r="H128" s="762"/>
      <c r="I128" s="762"/>
      <c r="J128" s="650" t="str">
        <f>FHD_NOTE_P_82</f>
        <v/>
      </c>
      <c r="K128" s="904"/>
    </row>
    <row customHeight="1" ht="18.75" hidden="1">
      <c r="A129" s="2633"/>
      <c r="C129" s="2002" t="s">
        <v>588</v>
      </c>
      <c r="D129" s="2004"/>
      <c r="E129" s="907" t="str">
        <f>FHD_NUM_P_83</f>
        <v/>
      </c>
      <c r="F129" s="1890" t="str">
        <f>FHD_P_83</f>
        <v/>
      </c>
      <c r="G129" s="2245" t="s">
        <v>306</v>
      </c>
      <c r="H129" s="762"/>
      <c r="I129" s="762"/>
      <c r="J129" s="650" t="str">
        <f>FHD_NOTE_P_83</f>
        <v/>
      </c>
      <c r="K129" s="904"/>
    </row>
    <row customHeight="1" ht="18.75" hidden="1">
      <c r="A130" s="2633"/>
      <c r="C130" s="2002" t="s">
        <v>588</v>
      </c>
      <c r="D130" s="2004"/>
      <c r="E130" s="907" t="str">
        <f>FHD_NUM_P_84</f>
        <v/>
      </c>
      <c r="F130" s="1890" t="str">
        <f>FHD_P_84</f>
        <v/>
      </c>
      <c r="G130" s="2245" t="s">
        <v>306</v>
      </c>
      <c r="H130" s="762"/>
      <c r="I130" s="762"/>
      <c r="J130" s="650" t="str">
        <f>FHD_NOTE_P_84</f>
        <v/>
      </c>
      <c r="K130" s="904"/>
    </row>
    <row customHeight="1" ht="11.25">
      <c r="D131" s="2004"/>
    </row>
    <row customHeight="1" ht="12.75">
      <c r="D132" s="2004"/>
      <c r="E132" s="697"/>
      <c r="F132" s="730"/>
      <c r="G132" s="730"/>
      <c r="H132" s="730"/>
      <c r="I132" s="2013"/>
      <c r="J132" s="942"/>
    </row>
    <row s="19269" customFormat="1" customHeight="1" ht="11.25">
      <c r="A133" s="1349"/>
      <c r="B133" s="2002"/>
      <c r="C133" s="2002"/>
      <c r="D133" s="712"/>
      <c r="F133" s="2006"/>
      <c r="G133" s="1997"/>
      <c r="H133" s="1997"/>
      <c r="I133" s="1997"/>
      <c r="K133" s="1523"/>
      <c r="L133" s="2002"/>
      <c r="M133" s="2002"/>
      <c r="N133" s="1523"/>
      <c r="O133" s="1523"/>
      <c r="P133" s="1523"/>
      <c r="Q133" s="1523"/>
      <c r="R133" s="2002"/>
      <c r="S133" s="1523"/>
      <c r="T133" s="1523"/>
      <c r="U133" s="905"/>
      <c r="V133" s="1523"/>
      <c r="W133" s="1523"/>
      <c r="X133" s="1523"/>
      <c r="Y133" s="1523"/>
      <c r="Z133" s="1523"/>
      <c r="AA133" s="1998"/>
      <c r="AB133" s="927"/>
      <c r="AC133" s="927"/>
      <c r="AD133" s="927"/>
      <c r="AE133" s="927"/>
    </row>
    <row s="19269" customFormat="1" customHeight="1" ht="11.25">
      <c r="A134" s="1349"/>
      <c r="B134" s="2002"/>
      <c r="C134" s="2002"/>
      <c r="D134" s="712"/>
      <c r="K134" s="1523"/>
      <c r="L134" s="2002"/>
      <c r="M134" s="2002"/>
      <c r="N134" s="1523"/>
      <c r="O134" s="1523"/>
      <c r="P134" s="1523"/>
      <c r="Q134" s="1523"/>
      <c r="R134" s="2002"/>
      <c r="S134" s="1523"/>
      <c r="T134" s="1523"/>
      <c r="U134" s="905"/>
      <c r="V134" s="1523"/>
      <c r="W134" s="1523"/>
      <c r="X134" s="1523"/>
      <c r="Y134" s="1523"/>
      <c r="Z134" s="1523"/>
      <c r="AA134" s="1998"/>
      <c r="AB134" s="927"/>
      <c r="AC134" s="927"/>
      <c r="AD134" s="927"/>
      <c r="AE134" s="927"/>
    </row>
    <row s="19269" customFormat="1" customHeight="1" ht="11.25">
      <c r="A135" s="1349"/>
      <c r="B135" s="2002"/>
      <c r="C135" s="2002"/>
      <c r="D135" s="712"/>
      <c r="K135" s="1523"/>
      <c r="L135" s="2002"/>
      <c r="M135" s="2002"/>
      <c r="N135" s="1523"/>
      <c r="O135" s="1523"/>
      <c r="P135" s="1523"/>
      <c r="Q135" s="1523"/>
      <c r="R135" s="2002"/>
      <c r="S135" s="1523"/>
      <c r="T135" s="1523"/>
      <c r="U135" s="905"/>
      <c r="V135" s="1523"/>
      <c r="W135" s="1523"/>
      <c r="X135" s="1523"/>
      <c r="Y135" s="1523"/>
      <c r="Z135" s="1523"/>
      <c r="AA135" s="1998"/>
      <c r="AB135" s="927"/>
      <c r="AC135" s="927"/>
      <c r="AD135" s="927"/>
      <c r="AE135" s="927"/>
    </row>
    <row s="19269" customFormat="1" customHeight="1" ht="11.25">
      <c r="A136" s="1349"/>
      <c r="B136" s="2002"/>
      <c r="C136" s="2002"/>
      <c r="D136" s="712"/>
      <c r="H136" s="927" t="str">
        <f>IF(H30-H31&lt;&gt;H72,"WARNING","")</f>
        <v/>
      </c>
      <c r="I136" s="927" t="str">
        <f>IF(I30-I31&lt;&gt;I72,"WARNING","")</f>
        <v/>
      </c>
      <c r="K136" s="1523"/>
      <c r="L136" s="2002"/>
      <c r="M136" s="2002"/>
      <c r="N136" s="1523"/>
      <c r="O136" s="1523"/>
      <c r="P136" s="1523"/>
      <c r="Q136" s="1523"/>
      <c r="R136" s="2002"/>
      <c r="S136" s="1523"/>
      <c r="T136" s="1523"/>
      <c r="U136" s="905"/>
      <c r="V136" s="1523"/>
      <c r="W136" s="1523"/>
      <c r="X136" s="1523"/>
      <c r="Y136" s="1523"/>
      <c r="Z136" s="1523"/>
      <c r="AA136" s="1998"/>
      <c r="AB136" s="927"/>
      <c r="AC136" s="927"/>
      <c r="AD136" s="927"/>
      <c r="AE136" s="927"/>
    </row>
    <row s="19269" customFormat="1" customHeight="1" ht="11.25">
      <c r="A137" s="1349"/>
      <c r="B137" s="2002"/>
      <c r="C137" s="2002"/>
      <c r="D137" s="712"/>
      <c r="K137" s="1523"/>
      <c r="L137" s="2002"/>
      <c r="M137" s="2002"/>
      <c r="N137" s="1523"/>
      <c r="O137" s="1523"/>
      <c r="P137" s="1523"/>
      <c r="Q137" s="1523"/>
      <c r="R137" s="2002"/>
      <c r="S137" s="1523"/>
      <c r="T137" s="1523"/>
      <c r="U137" s="905"/>
      <c r="V137" s="1523"/>
      <c r="W137" s="1523"/>
      <c r="X137" s="1523"/>
      <c r="Y137" s="1523"/>
      <c r="Z137" s="1523"/>
      <c r="AA137" s="1998"/>
      <c r="AB137" s="927"/>
      <c r="AC137" s="927"/>
      <c r="AD137" s="927"/>
      <c r="AE137" s="927"/>
    </row>
    <row s="19269" customFormat="1" customHeight="1" ht="11.25">
      <c r="A138" s="1349"/>
      <c r="B138" s="2002"/>
      <c r="C138" s="2002"/>
      <c r="D138" s="712"/>
      <c r="K138" s="1523"/>
      <c r="L138" s="2002"/>
      <c r="M138" s="2002"/>
      <c r="N138" s="1523"/>
      <c r="O138" s="1523"/>
      <c r="P138" s="1523"/>
      <c r="Q138" s="1523"/>
      <c r="R138" s="2002"/>
      <c r="S138" s="1523"/>
      <c r="T138" s="1523"/>
      <c r="U138" s="905"/>
      <c r="V138" s="1523"/>
      <c r="W138" s="1523"/>
      <c r="X138" s="1523"/>
      <c r="Y138" s="1523"/>
      <c r="Z138" s="1523"/>
      <c r="AA138" s="1998"/>
      <c r="AB138" s="927"/>
      <c r="AC138" s="927"/>
      <c r="AD138" s="927"/>
      <c r="AE138" s="927"/>
    </row>
    <row s="19269" customFormat="1" customHeight="1" ht="11.25">
      <c r="A139" s="1349"/>
      <c r="B139" s="2002"/>
      <c r="C139" s="2002"/>
      <c r="D139" s="712"/>
      <c r="K139" s="1523"/>
      <c r="L139" s="2002"/>
      <c r="M139" s="2002"/>
      <c r="N139" s="1523"/>
      <c r="O139" s="1523"/>
      <c r="P139" s="1523"/>
      <c r="Q139" s="1523"/>
      <c r="R139" s="2002"/>
      <c r="S139" s="1523"/>
      <c r="T139" s="1523"/>
      <c r="U139" s="905"/>
      <c r="V139" s="1523"/>
      <c r="W139" s="1523"/>
      <c r="X139" s="1523"/>
      <c r="Y139" s="1523"/>
      <c r="Z139" s="1523"/>
      <c r="AA139" s="1998"/>
      <c r="AB139" s="927"/>
      <c r="AC139" s="927"/>
      <c r="AD139" s="927"/>
      <c r="AE139" s="927"/>
    </row>
    <row s="19269" customFormat="1" customHeight="1" ht="11.25">
      <c r="A140" s="1349"/>
      <c r="B140" s="2002"/>
      <c r="C140" s="2002"/>
      <c r="D140" s="712"/>
      <c r="K140" s="1523"/>
      <c r="L140" s="2002"/>
      <c r="M140" s="2002"/>
      <c r="N140" s="1523"/>
      <c r="O140" s="1523"/>
      <c r="P140" s="1523"/>
      <c r="Q140" s="1523"/>
      <c r="R140" s="2002"/>
      <c r="S140" s="1523"/>
      <c r="T140" s="1523"/>
      <c r="U140" s="905"/>
      <c r="V140" s="1523"/>
      <c r="W140" s="1523"/>
      <c r="X140" s="1523"/>
      <c r="Y140" s="1523"/>
      <c r="Z140" s="1523"/>
      <c r="AA140" s="1998"/>
      <c r="AB140" s="927"/>
      <c r="AC140" s="927"/>
      <c r="AD140" s="927"/>
      <c r="AE140" s="927"/>
    </row>
    <row s="19269" customFormat="1" customHeight="1" ht="11.25">
      <c r="A141" s="1349"/>
      <c r="B141" s="2002"/>
      <c r="C141" s="2002"/>
      <c r="D141" s="712"/>
      <c r="K141" s="1523"/>
      <c r="L141" s="2002"/>
      <c r="M141" s="2002"/>
      <c r="N141" s="1523"/>
      <c r="O141" s="1523"/>
      <c r="P141" s="1523"/>
      <c r="Q141" s="1523"/>
      <c r="R141" s="2002"/>
      <c r="S141" s="1523"/>
      <c r="T141" s="1523"/>
      <c r="U141" s="905"/>
      <c r="V141" s="1523"/>
      <c r="W141" s="1523"/>
      <c r="X141" s="1523"/>
      <c r="Y141" s="1523"/>
      <c r="Z141" s="1523"/>
      <c r="AA141" s="1998"/>
      <c r="AB141" s="927"/>
      <c r="AC141" s="927"/>
      <c r="AD141" s="927"/>
      <c r="AE141" s="927"/>
    </row>
    <row s="19269" customFormat="1" customHeight="1" ht="11.25">
      <c r="A142" s="1349"/>
      <c r="B142" s="2002"/>
      <c r="C142" s="2002"/>
      <c r="D142" s="712"/>
      <c r="K142" s="1523"/>
      <c r="L142" s="2002"/>
      <c r="M142" s="2002"/>
      <c r="N142" s="1523"/>
      <c r="O142" s="1523"/>
      <c r="P142" s="1523"/>
      <c r="Q142" s="1523"/>
      <c r="R142" s="2002"/>
      <c r="S142" s="1523"/>
      <c r="T142" s="1523"/>
      <c r="U142" s="905"/>
      <c r="V142" s="1523"/>
      <c r="W142" s="1523"/>
      <c r="X142" s="1523"/>
      <c r="Y142" s="1523"/>
      <c r="Z142" s="1523"/>
      <c r="AA142" s="1998"/>
      <c r="AB142" s="927"/>
      <c r="AC142" s="927"/>
      <c r="AD142" s="927"/>
      <c r="AE142" s="927"/>
    </row>
    <row s="19269" customFormat="1" customHeight="1" ht="11.25">
      <c r="A143" s="1349"/>
      <c r="B143" s="2002"/>
      <c r="C143" s="2002"/>
      <c r="D143" s="712"/>
      <c r="K143" s="1523"/>
      <c r="L143" s="2002"/>
      <c r="M143" s="2002"/>
      <c r="N143" s="1523"/>
      <c r="O143" s="1523"/>
      <c r="P143" s="1523"/>
      <c r="Q143" s="1523"/>
      <c r="R143" s="2002"/>
      <c r="S143" s="1523"/>
      <c r="T143" s="1523"/>
      <c r="U143" s="905"/>
      <c r="V143" s="1523"/>
      <c r="W143" s="1523"/>
      <c r="X143" s="1523"/>
      <c r="Y143" s="1523"/>
      <c r="Z143" s="1523"/>
      <c r="AA143" s="1998"/>
      <c r="AB143" s="927"/>
      <c r="AC143" s="927"/>
      <c r="AD143" s="927"/>
      <c r="AE143" s="927"/>
    </row>
    <row s="19269" customFormat="1" customHeight="1" ht="11.25">
      <c r="A144" s="1349"/>
      <c r="B144" s="2002"/>
      <c r="C144" s="2002"/>
      <c r="D144" s="712"/>
      <c r="K144" s="1523"/>
      <c r="L144" s="2002"/>
      <c r="M144" s="2002"/>
      <c r="N144" s="1523"/>
      <c r="O144" s="1523"/>
      <c r="P144" s="1523"/>
      <c r="Q144" s="1523"/>
      <c r="R144" s="2002"/>
      <c r="S144" s="1523"/>
      <c r="T144" s="1523"/>
      <c r="U144" s="905"/>
      <c r="V144" s="1523"/>
      <c r="W144" s="1523"/>
      <c r="X144" s="1523"/>
      <c r="Y144" s="1523"/>
      <c r="Z144" s="1523"/>
      <c r="AA144" s="1998"/>
      <c r="AB144" s="927"/>
      <c r="AC144" s="927"/>
      <c r="AD144" s="927"/>
      <c r="AE144" s="927"/>
    </row>
    <row s="19269" customFormat="1" customHeight="1" ht="11.25">
      <c r="A145" s="1349"/>
      <c r="B145" s="2002"/>
      <c r="C145" s="2002"/>
      <c r="D145" s="712"/>
      <c r="K145" s="1523"/>
      <c r="L145" s="2002"/>
      <c r="M145" s="2002"/>
      <c r="N145" s="1523"/>
      <c r="O145" s="1523"/>
      <c r="P145" s="1523"/>
      <c r="Q145" s="1523"/>
      <c r="R145" s="2002"/>
      <c r="S145" s="1523"/>
      <c r="T145" s="1523"/>
      <c r="U145" s="905"/>
      <c r="V145" s="1523"/>
      <c r="W145" s="1523"/>
      <c r="X145" s="1523"/>
      <c r="Y145" s="1523"/>
      <c r="Z145" s="1523"/>
      <c r="AA145" s="1998"/>
      <c r="AB145" s="927"/>
      <c r="AC145" s="927"/>
      <c r="AD145" s="927"/>
      <c r="AE145" s="927"/>
    </row>
    <row s="19269" customFormat="1" customHeight="1" ht="11.25">
      <c r="A146" s="1349"/>
      <c r="B146" s="2002"/>
      <c r="C146" s="2002"/>
      <c r="D146" s="712"/>
      <c r="K146" s="1523"/>
      <c r="L146" s="2002"/>
      <c r="M146" s="2002"/>
      <c r="N146" s="1523"/>
      <c r="O146" s="1523"/>
      <c r="P146" s="1523"/>
      <c r="Q146" s="1523"/>
      <c r="R146" s="2002"/>
      <c r="S146" s="1523"/>
      <c r="T146" s="1523"/>
      <c r="U146" s="905"/>
      <c r="V146" s="1523"/>
      <c r="W146" s="1523"/>
      <c r="X146" s="1523"/>
      <c r="Y146" s="1523"/>
      <c r="Z146" s="1523"/>
      <c r="AA146" s="1998"/>
      <c r="AB146" s="927"/>
      <c r="AC146" s="927"/>
      <c r="AD146" s="927"/>
      <c r="AE146" s="927"/>
    </row>
    <row s="19269" customFormat="1" customHeight="1" ht="11.25">
      <c r="A147" s="1349"/>
      <c r="B147" s="2002"/>
      <c r="C147" s="2002"/>
      <c r="D147" s="712"/>
      <c r="K147" s="1523"/>
      <c r="L147" s="2002"/>
      <c r="M147" s="2002"/>
      <c r="N147" s="1523"/>
      <c r="O147" s="1523"/>
      <c r="P147" s="1523"/>
      <c r="Q147" s="1523"/>
      <c r="R147" s="2002"/>
      <c r="S147" s="1523"/>
      <c r="T147" s="1523"/>
      <c r="U147" s="905"/>
      <c r="V147" s="1523"/>
      <c r="W147" s="1523"/>
      <c r="X147" s="1523"/>
      <c r="Y147" s="1523"/>
      <c r="Z147" s="1523"/>
      <c r="AA147" s="1998"/>
      <c r="AB147" s="927"/>
      <c r="AC147" s="927"/>
      <c r="AD147" s="927"/>
      <c r="AE147" s="927"/>
    </row>
    <row s="19269" customFormat="1" customHeight="1" ht="11.25">
      <c r="A148" s="1349"/>
      <c r="B148" s="2002"/>
      <c r="C148" s="2002"/>
      <c r="D148" s="712"/>
      <c r="K148" s="1523"/>
      <c r="L148" s="2002"/>
      <c r="M148" s="2002"/>
      <c r="N148" s="1523"/>
      <c r="O148" s="1523"/>
      <c r="P148" s="1523"/>
      <c r="Q148" s="1523"/>
      <c r="R148" s="2002"/>
      <c r="S148" s="1523"/>
      <c r="T148" s="1523"/>
      <c r="U148" s="905"/>
      <c r="V148" s="1523"/>
      <c r="W148" s="1523"/>
      <c r="X148" s="1523"/>
      <c r="Y148" s="1523"/>
      <c r="Z148" s="1523"/>
      <c r="AA148" s="1998"/>
      <c r="AB148" s="927"/>
      <c r="AC148" s="927"/>
      <c r="AD148" s="927"/>
      <c r="AE148" s="927"/>
    </row>
    <row s="19269" customFormat="1" customHeight="1" ht="11.25">
      <c r="A149" s="1349"/>
      <c r="B149" s="2002"/>
      <c r="C149" s="2002"/>
      <c r="D149" s="712"/>
      <c r="K149" s="1523"/>
      <c r="L149" s="2002"/>
      <c r="M149" s="2002"/>
      <c r="N149" s="1523"/>
      <c r="O149" s="1523"/>
      <c r="P149" s="1523"/>
      <c r="Q149" s="1523"/>
      <c r="R149" s="2002"/>
      <c r="S149" s="1523"/>
      <c r="T149" s="1523"/>
      <c r="U149" s="905"/>
      <c r="V149" s="1523"/>
      <c r="W149" s="1523"/>
      <c r="X149" s="1523"/>
      <c r="Y149" s="1523"/>
      <c r="Z149" s="1523"/>
      <c r="AA149" s="1998"/>
      <c r="AB149" s="927"/>
      <c r="AC149" s="927"/>
      <c r="AD149" s="927"/>
      <c r="AE149" s="927"/>
    </row>
    <row s="19269" customFormat="1" customHeight="1" ht="11.25">
      <c r="A150" s="1349"/>
      <c r="B150" s="2002"/>
      <c r="C150" s="2002"/>
      <c r="D150" s="712"/>
      <c r="K150" s="1523"/>
      <c r="L150" s="2002"/>
      <c r="M150" s="2002"/>
      <c r="N150" s="1523"/>
      <c r="O150" s="1523"/>
      <c r="P150" s="1523"/>
      <c r="Q150" s="1523"/>
      <c r="R150" s="2002"/>
      <c r="S150" s="1523"/>
      <c r="T150" s="1523"/>
      <c r="U150" s="905"/>
      <c r="V150" s="1523"/>
      <c r="W150" s="1523"/>
      <c r="X150" s="1523"/>
      <c r="Y150" s="1523"/>
      <c r="Z150" s="1523"/>
      <c r="AA150" s="1998"/>
      <c r="AB150" s="927"/>
      <c r="AC150" s="927"/>
      <c r="AD150" s="927"/>
      <c r="AE150" s="927"/>
    </row>
    <row s="19269" customFormat="1" customHeight="1" ht="11.25">
      <c r="A151" s="1349"/>
      <c r="B151" s="2002"/>
      <c r="C151" s="2002"/>
      <c r="D151" s="712"/>
      <c r="K151" s="1523"/>
      <c r="L151" s="2002"/>
      <c r="M151" s="2002"/>
      <c r="N151" s="1523"/>
      <c r="O151" s="1523"/>
      <c r="P151" s="1523"/>
      <c r="Q151" s="1523"/>
      <c r="R151" s="2002"/>
      <c r="S151" s="1523"/>
      <c r="T151" s="1523"/>
      <c r="U151" s="905"/>
      <c r="V151" s="1523"/>
      <c r="W151" s="1523"/>
      <c r="X151" s="1523"/>
      <c r="Y151" s="1523"/>
      <c r="Z151" s="1523"/>
      <c r="AA151" s="1998"/>
      <c r="AB151" s="927"/>
      <c r="AC151" s="927"/>
      <c r="AD151" s="927"/>
      <c r="AE151" s="927"/>
    </row>
    <row s="19269" customFormat="1" customHeight="1" ht="11.25">
      <c r="A152" s="1349"/>
      <c r="B152" s="2002"/>
      <c r="C152" s="2002"/>
      <c r="D152" s="712"/>
      <c r="K152" s="1523"/>
      <c r="L152" s="2002"/>
      <c r="M152" s="2002"/>
      <c r="N152" s="1523"/>
      <c r="O152" s="1523"/>
      <c r="P152" s="1523"/>
      <c r="Q152" s="1523"/>
      <c r="R152" s="2002"/>
      <c r="S152" s="1523"/>
      <c r="T152" s="1523"/>
      <c r="U152" s="905"/>
      <c r="V152" s="1523"/>
      <c r="W152" s="1523"/>
      <c r="X152" s="1523"/>
      <c r="Y152" s="1523"/>
      <c r="Z152" s="1523"/>
      <c r="AA152" s="1998"/>
      <c r="AB152" s="927"/>
      <c r="AC152" s="927"/>
      <c r="AD152" s="927"/>
      <c r="AE152" s="927"/>
    </row>
    <row s="19269" customFormat="1" customHeight="1" ht="11.25">
      <c r="A153" s="1349"/>
      <c r="B153" s="2002"/>
      <c r="C153" s="2002"/>
      <c r="D153" s="712"/>
      <c r="K153" s="1523"/>
      <c r="L153" s="2002"/>
      <c r="M153" s="2002"/>
      <c r="N153" s="1523"/>
      <c r="O153" s="1523"/>
      <c r="P153" s="1523"/>
      <c r="Q153" s="1523"/>
      <c r="R153" s="2002"/>
      <c r="S153" s="1523"/>
      <c r="T153" s="1523"/>
      <c r="U153" s="905"/>
      <c r="V153" s="1523"/>
      <c r="W153" s="1523"/>
      <c r="X153" s="1523"/>
      <c r="Y153" s="1523"/>
      <c r="Z153" s="1523"/>
      <c r="AA153" s="1998"/>
      <c r="AB153" s="927"/>
      <c r="AC153" s="927"/>
      <c r="AD153" s="927"/>
      <c r="AE153" s="927"/>
    </row>
    <row s="19269" customFormat="1" customHeight="1" ht="11.25">
      <c r="A154" s="1349"/>
      <c r="B154" s="2002"/>
      <c r="C154" s="2002"/>
      <c r="D154" s="712"/>
      <c r="K154" s="1523"/>
      <c r="L154" s="2002"/>
      <c r="M154" s="2002"/>
      <c r="N154" s="1523"/>
      <c r="O154" s="1523"/>
      <c r="P154" s="1523"/>
      <c r="Q154" s="1523"/>
      <c r="R154" s="2002"/>
      <c r="S154" s="1523"/>
      <c r="T154" s="1523"/>
      <c r="U154" s="905"/>
      <c r="V154" s="1523"/>
      <c r="W154" s="1523"/>
      <c r="X154" s="1523"/>
      <c r="Y154" s="1523"/>
      <c r="Z154" s="1523"/>
      <c r="AA154" s="1998"/>
      <c r="AB154" s="927"/>
      <c r="AC154" s="927"/>
      <c r="AD154" s="927"/>
      <c r="AE154" s="927"/>
    </row>
    <row s="19269" customFormat="1" customHeight="1" ht="11.25">
      <c r="A155" s="1349"/>
      <c r="B155" s="2002"/>
      <c r="C155" s="2002"/>
      <c r="D155" s="712"/>
      <c r="K155" s="1523"/>
      <c r="L155" s="2002"/>
      <c r="M155" s="2002"/>
      <c r="N155" s="1523"/>
      <c r="O155" s="1523"/>
      <c r="P155" s="1523"/>
      <c r="Q155" s="1523"/>
      <c r="R155" s="2002"/>
      <c r="S155" s="1523"/>
      <c r="T155" s="1523"/>
      <c r="U155" s="905"/>
      <c r="V155" s="1523"/>
      <c r="W155" s="1523"/>
      <c r="X155" s="1523"/>
      <c r="Y155" s="1523"/>
      <c r="Z155" s="1523"/>
      <c r="AA155" s="1998"/>
      <c r="AB155" s="927"/>
      <c r="AC155" s="927"/>
      <c r="AD155" s="927"/>
      <c r="AE155" s="927"/>
    </row>
    <row s="19269" customFormat="1" customHeight="1" ht="11.25">
      <c r="A156" s="1349"/>
      <c r="B156" s="2002"/>
      <c r="C156" s="2002"/>
      <c r="D156" s="712"/>
      <c r="K156" s="1523"/>
      <c r="L156" s="2002"/>
      <c r="M156" s="2002"/>
      <c r="N156" s="1523"/>
      <c r="O156" s="1523"/>
      <c r="P156" s="1523"/>
      <c r="Q156" s="1523"/>
      <c r="R156" s="2002"/>
      <c r="S156" s="1523"/>
      <c r="T156" s="1523"/>
      <c r="U156" s="905"/>
      <c r="V156" s="1523"/>
      <c r="W156" s="1523"/>
      <c r="X156" s="1523"/>
      <c r="Y156" s="1523"/>
      <c r="Z156" s="1523"/>
      <c r="AA156" s="1998"/>
      <c r="AB156" s="927"/>
      <c r="AC156" s="927"/>
      <c r="AD156" s="927"/>
      <c r="AE156" s="927"/>
    </row>
    <row s="19269" customFormat="1" customHeight="1" ht="11.25">
      <c r="A157" s="1349"/>
      <c r="B157" s="2002"/>
      <c r="C157" s="2002"/>
      <c r="D157" s="712"/>
      <c r="K157" s="1523"/>
      <c r="L157" s="2002"/>
      <c r="M157" s="2002"/>
      <c r="N157" s="1523"/>
      <c r="O157" s="1523"/>
      <c r="P157" s="1523"/>
      <c r="Q157" s="1523"/>
      <c r="R157" s="2002"/>
      <c r="S157" s="1523"/>
      <c r="T157" s="1523"/>
      <c r="U157" s="905"/>
      <c r="V157" s="1523"/>
      <c r="W157" s="1523"/>
      <c r="X157" s="1523"/>
      <c r="Y157" s="1523"/>
      <c r="Z157" s="1523"/>
      <c r="AA157" s="1998"/>
      <c r="AB157" s="927"/>
      <c r="AC157" s="927"/>
      <c r="AD157" s="927"/>
      <c r="AE157" s="927"/>
    </row>
    <row s="19269" customFormat="1" customHeight="1" ht="11.25">
      <c r="A158" s="1349"/>
      <c r="B158" s="2002"/>
      <c r="C158" s="2002"/>
      <c r="D158" s="712"/>
      <c r="K158" s="1523"/>
      <c r="L158" s="2002"/>
      <c r="M158" s="2002"/>
      <c r="N158" s="1523"/>
      <c r="O158" s="1523"/>
      <c r="P158" s="1523"/>
      <c r="Q158" s="1523"/>
      <c r="R158" s="2002"/>
      <c r="S158" s="1523"/>
      <c r="T158" s="1523"/>
      <c r="U158" s="905"/>
      <c r="V158" s="1523"/>
      <c r="W158" s="1523"/>
      <c r="X158" s="1523"/>
      <c r="Y158" s="1523"/>
      <c r="Z158" s="1523"/>
      <c r="AA158" s="1998"/>
      <c r="AB158" s="927"/>
      <c r="AC158" s="927"/>
      <c r="AD158" s="927"/>
      <c r="AE158" s="927"/>
    </row>
    <row s="19269" customFormat="1" customHeight="1" ht="11.25">
      <c r="A159" s="1349"/>
      <c r="B159" s="2002"/>
      <c r="C159" s="2002"/>
      <c r="D159" s="712"/>
      <c r="K159" s="1523"/>
      <c r="L159" s="2002"/>
      <c r="M159" s="2002"/>
      <c r="N159" s="1523"/>
      <c r="O159" s="1523"/>
      <c r="P159" s="1523"/>
      <c r="Q159" s="1523"/>
      <c r="R159" s="2002"/>
      <c r="S159" s="1523"/>
      <c r="T159" s="1523"/>
      <c r="U159" s="905"/>
      <c r="V159" s="1523"/>
      <c r="W159" s="1523"/>
      <c r="X159" s="1523"/>
      <c r="Y159" s="1523"/>
      <c r="Z159" s="1523"/>
      <c r="AA159" s="1998"/>
      <c r="AB159" s="927"/>
      <c r="AC159" s="927"/>
      <c r="AD159" s="927"/>
      <c r="AE159" s="927"/>
    </row>
    <row s="19269" customFormat="1" customHeight="1" ht="11.25">
      <c r="A160" s="1349"/>
      <c r="B160" s="2002"/>
      <c r="C160" s="2002"/>
      <c r="D160" s="712"/>
      <c r="K160" s="1523"/>
      <c r="L160" s="2002"/>
      <c r="M160" s="2002"/>
      <c r="N160" s="1523"/>
      <c r="O160" s="1523"/>
      <c r="P160" s="1523"/>
      <c r="Q160" s="1523"/>
      <c r="R160" s="2002"/>
      <c r="S160" s="1523"/>
      <c r="T160" s="1523"/>
      <c r="U160" s="905"/>
      <c r="V160" s="1523"/>
      <c r="W160" s="1523"/>
      <c r="X160" s="1523"/>
      <c r="Y160" s="1523"/>
      <c r="Z160" s="1523"/>
      <c r="AA160" s="1998"/>
      <c r="AB160" s="927"/>
      <c r="AC160" s="927"/>
      <c r="AD160" s="927"/>
      <c r="AE160" s="927"/>
    </row>
    <row s="19269" customFormat="1" customHeight="1" ht="11.25">
      <c r="A161" s="1349"/>
      <c r="B161" s="2002"/>
      <c r="C161" s="2002"/>
      <c r="D161" s="712"/>
      <c r="K161" s="1523"/>
      <c r="L161" s="2002"/>
      <c r="M161" s="2002"/>
      <c r="N161" s="1523"/>
      <c r="O161" s="1523"/>
      <c r="P161" s="1523"/>
      <c r="Q161" s="1523"/>
      <c r="R161" s="2002"/>
      <c r="S161" s="1523"/>
      <c r="T161" s="1523"/>
      <c r="U161" s="905"/>
      <c r="V161" s="1523"/>
      <c r="W161" s="1523"/>
      <c r="X161" s="1523"/>
      <c r="Y161" s="1523"/>
      <c r="Z161" s="1523"/>
      <c r="AA161" s="1998"/>
      <c r="AB161" s="927"/>
      <c r="AC161" s="927"/>
      <c r="AD161" s="927"/>
      <c r="AE161" s="927"/>
    </row>
    <row s="19269" customFormat="1" customHeight="1" ht="11.25">
      <c r="A162" s="1349"/>
      <c r="B162" s="2002"/>
      <c r="C162" s="2002"/>
      <c r="D162" s="712"/>
      <c r="K162" s="1523"/>
      <c r="L162" s="2002"/>
      <c r="M162" s="2002"/>
      <c r="N162" s="1523"/>
      <c r="O162" s="1523"/>
      <c r="P162" s="1523"/>
      <c r="Q162" s="1523"/>
      <c r="R162" s="2002"/>
      <c r="S162" s="1523"/>
      <c r="T162" s="1523"/>
      <c r="U162" s="905"/>
      <c r="V162" s="1523"/>
      <c r="W162" s="1523"/>
      <c r="X162" s="1523"/>
      <c r="Y162" s="1523"/>
      <c r="Z162" s="1523"/>
      <c r="AA162" s="1998"/>
      <c r="AB162" s="927"/>
      <c r="AC162" s="927"/>
      <c r="AD162" s="927"/>
      <c r="AE162" s="927"/>
    </row>
    <row s="19269" customFormat="1" customHeight="1" ht="11.25">
      <c r="A163" s="1349"/>
      <c r="B163" s="2002"/>
      <c r="C163" s="2002"/>
      <c r="D163" s="712"/>
      <c r="K163" s="1523"/>
      <c r="L163" s="2002"/>
      <c r="M163" s="2002"/>
      <c r="N163" s="1523"/>
      <c r="O163" s="1523"/>
      <c r="P163" s="1523"/>
      <c r="Q163" s="1523"/>
      <c r="R163" s="2002"/>
      <c r="S163" s="1523"/>
      <c r="T163" s="1523"/>
      <c r="U163" s="905"/>
      <c r="V163" s="1523"/>
      <c r="W163" s="1523"/>
      <c r="X163" s="1523"/>
      <c r="Y163" s="1523"/>
      <c r="Z163" s="1523"/>
      <c r="AA163" s="1998"/>
      <c r="AB163" s="927"/>
      <c r="AC163" s="927"/>
      <c r="AD163" s="927"/>
      <c r="AE163" s="927"/>
    </row>
    <row s="19269" customFormat="1" customHeight="1" ht="11.25">
      <c r="A164" s="1349"/>
      <c r="B164" s="2002"/>
      <c r="C164" s="2002"/>
      <c r="D164" s="712"/>
      <c r="K164" s="1523"/>
      <c r="L164" s="2002"/>
      <c r="M164" s="2002"/>
      <c r="N164" s="1523"/>
      <c r="O164" s="1523"/>
      <c r="P164" s="1523"/>
      <c r="Q164" s="1523"/>
      <c r="R164" s="2002"/>
      <c r="S164" s="1523"/>
      <c r="T164" s="1523"/>
      <c r="U164" s="905"/>
      <c r="V164" s="1523"/>
      <c r="W164" s="1523"/>
      <c r="X164" s="1523"/>
      <c r="Y164" s="1523"/>
      <c r="Z164" s="1523"/>
      <c r="AA164" s="1998"/>
      <c r="AB164" s="927"/>
      <c r="AC164" s="927"/>
      <c r="AD164" s="927"/>
      <c r="AE164" s="927"/>
    </row>
    <row s="19269" customFormat="1" customHeight="1" ht="11.25">
      <c r="A165" s="1349"/>
      <c r="B165" s="2002"/>
      <c r="C165" s="2002"/>
      <c r="D165" s="712"/>
      <c r="K165" s="1523"/>
      <c r="L165" s="2002"/>
      <c r="M165" s="2002"/>
      <c r="N165" s="1523"/>
      <c r="O165" s="1523"/>
      <c r="P165" s="1523"/>
      <c r="Q165" s="1523"/>
      <c r="R165" s="2002"/>
      <c r="S165" s="1523"/>
      <c r="T165" s="1523"/>
      <c r="U165" s="905"/>
      <c r="V165" s="1523"/>
      <c r="W165" s="1523"/>
      <c r="X165" s="1523"/>
      <c r="Y165" s="1523"/>
      <c r="Z165" s="1523"/>
      <c r="AA165" s="1998"/>
      <c r="AB165" s="927"/>
      <c r="AC165" s="927"/>
      <c r="AD165" s="927"/>
      <c r="AE165" s="927"/>
    </row>
    <row s="19269" customFormat="1" customHeight="1" ht="11.25">
      <c r="A166" s="1349"/>
      <c r="B166" s="2002"/>
      <c r="C166" s="2002"/>
      <c r="D166" s="712"/>
      <c r="K166" s="1523"/>
      <c r="L166" s="2002"/>
      <c r="M166" s="2002"/>
      <c r="N166" s="1523"/>
      <c r="O166" s="1523"/>
      <c r="P166" s="1523"/>
      <c r="Q166" s="1523"/>
      <c r="R166" s="2002"/>
      <c r="S166" s="1523"/>
      <c r="T166" s="1523"/>
      <c r="U166" s="905"/>
      <c r="V166" s="1523"/>
      <c r="W166" s="1523"/>
      <c r="X166" s="1523"/>
      <c r="Y166" s="1523"/>
      <c r="Z166" s="1523"/>
      <c r="AA166" s="1998"/>
      <c r="AB166" s="927"/>
      <c r="AC166" s="927"/>
      <c r="AD166" s="927"/>
      <c r="AE166" s="927"/>
    </row>
    <row s="19269" customFormat="1" customHeight="1" ht="11.25">
      <c r="A167" s="1349"/>
      <c r="B167" s="2002"/>
      <c r="C167" s="2002"/>
      <c r="D167" s="712"/>
      <c r="K167" s="1523"/>
      <c r="L167" s="2002"/>
      <c r="M167" s="2002"/>
      <c r="N167" s="1523"/>
      <c r="O167" s="1523"/>
      <c r="P167" s="1523"/>
      <c r="Q167" s="1523"/>
      <c r="R167" s="2002"/>
      <c r="S167" s="1523"/>
      <c r="T167" s="1523"/>
      <c r="U167" s="905"/>
      <c r="V167" s="1523"/>
      <c r="W167" s="1523"/>
      <c r="X167" s="1523"/>
      <c r="Y167" s="1523"/>
      <c r="Z167" s="1523"/>
      <c r="AA167" s="1998"/>
      <c r="AB167" s="927"/>
      <c r="AC167" s="927"/>
      <c r="AD167" s="927"/>
      <c r="AE167" s="927"/>
    </row>
    <row s="19269" customFormat="1" customHeight="1" ht="11.25">
      <c r="A168" s="1349"/>
      <c r="B168" s="2002"/>
      <c r="C168" s="2002"/>
      <c r="D168" s="712"/>
      <c r="K168" s="1523"/>
      <c r="L168" s="2002"/>
      <c r="M168" s="2002"/>
      <c r="N168" s="1523"/>
      <c r="O168" s="1523"/>
      <c r="P168" s="1523"/>
      <c r="Q168" s="1523"/>
      <c r="R168" s="2002"/>
      <c r="S168" s="1523"/>
      <c r="T168" s="1523"/>
      <c r="U168" s="905"/>
      <c r="V168" s="1523"/>
      <c r="W168" s="1523"/>
      <c r="X168" s="1523"/>
      <c r="Y168" s="1523"/>
      <c r="Z168" s="1523"/>
      <c r="AA168" s="1998"/>
      <c r="AB168" s="927"/>
      <c r="AC168" s="927"/>
      <c r="AD168" s="927"/>
      <c r="AE168" s="927"/>
    </row>
    <row s="19269" customFormat="1" customHeight="1" ht="11.25">
      <c r="A169" s="1349"/>
      <c r="B169" s="2002"/>
      <c r="C169" s="2002"/>
      <c r="D169" s="712"/>
      <c r="K169" s="1523"/>
      <c r="L169" s="2002"/>
      <c r="M169" s="2002"/>
      <c r="N169" s="1523"/>
      <c r="O169" s="1523"/>
      <c r="P169" s="1523"/>
      <c r="Q169" s="1523"/>
      <c r="R169" s="2002"/>
      <c r="S169" s="1523"/>
      <c r="T169" s="1523"/>
      <c r="U169" s="905"/>
      <c r="V169" s="1523"/>
      <c r="W169" s="1523"/>
      <c r="X169" s="1523"/>
      <c r="Y169" s="1523"/>
      <c r="Z169" s="1523"/>
      <c r="AA169" s="1998"/>
      <c r="AB169" s="927"/>
      <c r="AC169" s="927"/>
      <c r="AD169" s="927"/>
      <c r="AE169" s="927"/>
    </row>
    <row s="19269" customFormat="1" customHeight="1" ht="11.25">
      <c r="A170" s="1349"/>
      <c r="B170" s="2002"/>
      <c r="C170" s="2002"/>
      <c r="D170" s="712"/>
      <c r="K170" s="1523"/>
      <c r="L170" s="2002"/>
      <c r="M170" s="2002"/>
      <c r="N170" s="1523"/>
      <c r="O170" s="1523"/>
      <c r="P170" s="1523"/>
      <c r="Q170" s="1523"/>
      <c r="R170" s="2002"/>
      <c r="S170" s="1523"/>
      <c r="T170" s="1523"/>
      <c r="U170" s="905"/>
      <c r="V170" s="1523"/>
      <c r="W170" s="1523"/>
      <c r="X170" s="1523"/>
      <c r="Y170" s="1523"/>
      <c r="Z170" s="1523"/>
      <c r="AA170" s="1998"/>
      <c r="AB170" s="927"/>
      <c r="AC170" s="927"/>
      <c r="AD170" s="927"/>
      <c r="AE170" s="927"/>
    </row>
    <row s="19269" customFormat="1" customHeight="1" ht="11.25">
      <c r="A171" s="1349"/>
      <c r="B171" s="2002"/>
      <c r="C171" s="2002"/>
      <c r="D171" s="712"/>
      <c r="K171" s="1523"/>
      <c r="L171" s="2002"/>
      <c r="M171" s="2002"/>
      <c r="N171" s="1523"/>
      <c r="O171" s="1523"/>
      <c r="P171" s="1523"/>
      <c r="Q171" s="1523"/>
      <c r="R171" s="2002"/>
      <c r="S171" s="1523"/>
      <c r="T171" s="1523"/>
      <c r="U171" s="905"/>
      <c r="V171" s="1523"/>
      <c r="W171" s="1523"/>
      <c r="X171" s="1523"/>
      <c r="Y171" s="1523"/>
      <c r="Z171" s="1523"/>
      <c r="AA171" s="1998"/>
      <c r="AB171" s="927"/>
      <c r="AC171" s="927"/>
      <c r="AD171" s="927"/>
      <c r="AE171" s="927"/>
    </row>
    <row s="19269" customFormat="1" customHeight="1" ht="11.25">
      <c r="A172" s="1349"/>
      <c r="B172" s="2002"/>
      <c r="C172" s="2002"/>
      <c r="D172" s="712"/>
      <c r="K172" s="1523"/>
      <c r="L172" s="2002"/>
      <c r="M172" s="2002"/>
      <c r="N172" s="1523"/>
      <c r="O172" s="1523"/>
      <c r="P172" s="1523"/>
      <c r="Q172" s="1523"/>
      <c r="R172" s="2002"/>
      <c r="S172" s="1523"/>
      <c r="T172" s="1523"/>
      <c r="U172" s="905"/>
      <c r="V172" s="1523"/>
      <c r="W172" s="1523"/>
      <c r="X172" s="1523"/>
      <c r="Y172" s="1523"/>
      <c r="Z172" s="1523"/>
      <c r="AA172" s="1998"/>
      <c r="AB172" s="927"/>
      <c r="AC172" s="927"/>
      <c r="AD172" s="927"/>
      <c r="AE172" s="927"/>
    </row>
    <row s="19269" customFormat="1" customHeight="1" ht="11.25">
      <c r="A173" s="1349"/>
      <c r="B173" s="2002"/>
      <c r="C173" s="2002"/>
      <c r="D173" s="712"/>
      <c r="K173" s="1523"/>
      <c r="L173" s="2002"/>
      <c r="M173" s="2002"/>
      <c r="N173" s="1523"/>
      <c r="O173" s="1523"/>
      <c r="P173" s="1523"/>
      <c r="Q173" s="1523"/>
      <c r="R173" s="2002"/>
      <c r="S173" s="1523"/>
      <c r="T173" s="1523"/>
      <c r="U173" s="905"/>
      <c r="V173" s="1523"/>
      <c r="W173" s="1523"/>
      <c r="X173" s="1523"/>
      <c r="Y173" s="1523"/>
      <c r="Z173" s="1523"/>
      <c r="AA173" s="1998"/>
      <c r="AB173" s="927"/>
      <c r="AC173" s="927"/>
      <c r="AD173" s="927"/>
      <c r="AE173" s="927"/>
    </row>
    <row s="19269" customFormat="1" customHeight="1" ht="11.25">
      <c r="A174" s="1349"/>
      <c r="B174" s="2002"/>
      <c r="C174" s="2002"/>
      <c r="D174" s="712"/>
      <c r="K174" s="1523"/>
      <c r="L174" s="2002"/>
      <c r="M174" s="2002"/>
      <c r="N174" s="1523"/>
      <c r="O174" s="1523"/>
      <c r="P174" s="1523"/>
      <c r="Q174" s="1523"/>
      <c r="R174" s="2002"/>
      <c r="S174" s="1523"/>
      <c r="T174" s="1523"/>
      <c r="U174" s="905"/>
      <c r="V174" s="1523"/>
      <c r="W174" s="1523"/>
      <c r="X174" s="1523"/>
      <c r="Y174" s="1523"/>
      <c r="Z174" s="1523"/>
      <c r="AA174" s="1998"/>
      <c r="AB174" s="927"/>
      <c r="AC174" s="927"/>
      <c r="AD174" s="927"/>
      <c r="AE174" s="927"/>
    </row>
    <row s="19269" customFormat="1" customHeight="1" ht="11.25">
      <c r="A175" s="1349"/>
      <c r="B175" s="2002"/>
      <c r="C175" s="2002"/>
      <c r="D175" s="712"/>
      <c r="K175" s="1523"/>
      <c r="L175" s="2002"/>
      <c r="M175" s="2002"/>
      <c r="N175" s="1523"/>
      <c r="O175" s="1523"/>
      <c r="P175" s="1523"/>
      <c r="Q175" s="1523"/>
      <c r="R175" s="2002"/>
      <c r="S175" s="1523"/>
      <c r="T175" s="1523"/>
      <c r="U175" s="905"/>
      <c r="V175" s="1523"/>
      <c r="W175" s="1523"/>
      <c r="X175" s="1523"/>
      <c r="Y175" s="1523"/>
      <c r="Z175" s="1523"/>
      <c r="AA175" s="1998"/>
      <c r="AB175" s="927"/>
      <c r="AC175" s="927"/>
      <c r="AD175" s="927"/>
      <c r="AE175" s="927"/>
    </row>
    <row s="19269" customFormat="1" customHeight="1" ht="11.25">
      <c r="A176" s="1349"/>
      <c r="B176" s="2002"/>
      <c r="C176" s="2002"/>
      <c r="D176" s="712"/>
      <c r="K176" s="1523"/>
      <c r="L176" s="2002"/>
      <c r="M176" s="2002"/>
      <c r="N176" s="1523"/>
      <c r="O176" s="1523"/>
      <c r="P176" s="1523"/>
      <c r="Q176" s="1523"/>
      <c r="R176" s="2002"/>
      <c r="S176" s="1523"/>
      <c r="T176" s="1523"/>
      <c r="U176" s="905"/>
      <c r="V176" s="1523"/>
      <c r="W176" s="1523"/>
      <c r="X176" s="1523"/>
      <c r="Y176" s="1523"/>
      <c r="Z176" s="1523"/>
      <c r="AA176" s="1998"/>
      <c r="AB176" s="927"/>
      <c r="AC176" s="927"/>
      <c r="AD176" s="927"/>
      <c r="AE176" s="927"/>
    </row>
    <row s="19269" customFormat="1" customHeight="1" ht="11.25">
      <c r="A177" s="1349"/>
      <c r="B177" s="2002"/>
      <c r="C177" s="2002"/>
      <c r="D177" s="712"/>
      <c r="K177" s="1523"/>
      <c r="L177" s="2002"/>
      <c r="M177" s="2002"/>
      <c r="N177" s="1523"/>
      <c r="O177" s="1523"/>
      <c r="P177" s="1523"/>
      <c r="Q177" s="1523"/>
      <c r="R177" s="2002"/>
      <c r="S177" s="1523"/>
      <c r="T177" s="1523"/>
      <c r="U177" s="905"/>
      <c r="V177" s="1523"/>
      <c r="W177" s="1523"/>
      <c r="X177" s="1523"/>
      <c r="Y177" s="1523"/>
      <c r="Z177" s="1523"/>
      <c r="AA177" s="1998"/>
      <c r="AB177" s="927"/>
      <c r="AC177" s="927"/>
      <c r="AD177" s="927"/>
      <c r="AE177" s="927"/>
    </row>
    <row s="19269" customFormat="1" customHeight="1" ht="11.25">
      <c r="A178" s="1349"/>
      <c r="B178" s="2002"/>
      <c r="C178" s="2002"/>
      <c r="D178" s="712"/>
      <c r="K178" s="1523"/>
      <c r="L178" s="2002"/>
      <c r="M178" s="2002"/>
      <c r="N178" s="1523"/>
      <c r="O178" s="1523"/>
      <c r="P178" s="1523"/>
      <c r="Q178" s="1523"/>
      <c r="R178" s="2002"/>
      <c r="S178" s="1523"/>
      <c r="T178" s="1523"/>
      <c r="U178" s="905"/>
      <c r="V178" s="1523"/>
      <c r="W178" s="1523"/>
      <c r="X178" s="1523"/>
      <c r="Y178" s="1523"/>
      <c r="Z178" s="1523"/>
      <c r="AA178" s="1998"/>
      <c r="AB178" s="927"/>
      <c r="AC178" s="927"/>
      <c r="AD178" s="927"/>
      <c r="AE178" s="927"/>
    </row>
    <row s="19269" customFormat="1" customHeight="1" ht="11.25">
      <c r="A179" s="1349"/>
      <c r="B179" s="2002"/>
      <c r="C179" s="2002"/>
      <c r="D179" s="712"/>
      <c r="K179" s="1523"/>
      <c r="L179" s="2002"/>
      <c r="M179" s="2002"/>
      <c r="N179" s="1523"/>
      <c r="O179" s="1523"/>
      <c r="P179" s="1523"/>
      <c r="Q179" s="1523"/>
      <c r="R179" s="2002"/>
      <c r="S179" s="1523"/>
      <c r="T179" s="1523"/>
      <c r="U179" s="905"/>
      <c r="V179" s="1523"/>
      <c r="W179" s="1523"/>
      <c r="X179" s="1523"/>
      <c r="Y179" s="1523"/>
      <c r="Z179" s="1523"/>
      <c r="AA179" s="1998"/>
      <c r="AB179" s="927"/>
      <c r="AC179" s="927"/>
      <c r="AD179" s="927"/>
      <c r="AE179" s="927"/>
    </row>
    <row s="19269" customFormat="1" customHeight="1" ht="11.25">
      <c r="A180" s="1349"/>
      <c r="B180" s="2002"/>
      <c r="C180" s="2002"/>
      <c r="D180" s="712"/>
      <c r="K180" s="1523"/>
      <c r="L180" s="2002"/>
      <c r="M180" s="2002"/>
      <c r="N180" s="1523"/>
      <c r="O180" s="1523"/>
      <c r="P180" s="1523"/>
      <c r="Q180" s="1523"/>
      <c r="R180" s="2002"/>
      <c r="S180" s="1523"/>
      <c r="T180" s="1523"/>
      <c r="U180" s="905"/>
      <c r="V180" s="1523"/>
      <c r="W180" s="1523"/>
      <c r="X180" s="1523"/>
      <c r="Y180" s="1523"/>
      <c r="Z180" s="1523"/>
      <c r="AA180" s="1998"/>
      <c r="AB180" s="927"/>
      <c r="AC180" s="927"/>
      <c r="AD180" s="927"/>
      <c r="AE180" s="927"/>
    </row>
    <row s="19269" customFormat="1" customHeight="1" ht="11.25">
      <c r="A181" s="1349"/>
      <c r="B181" s="2002"/>
      <c r="C181" s="2002"/>
      <c r="D181" s="712"/>
      <c r="K181" s="1523"/>
      <c r="L181" s="2002"/>
      <c r="M181" s="2002"/>
      <c r="N181" s="1523"/>
      <c r="O181" s="1523"/>
      <c r="P181" s="1523"/>
      <c r="Q181" s="1523"/>
      <c r="R181" s="2002"/>
      <c r="S181" s="1523"/>
      <c r="T181" s="1523"/>
      <c r="U181" s="905"/>
      <c r="V181" s="1523"/>
      <c r="W181" s="1523"/>
      <c r="X181" s="1523"/>
      <c r="Y181" s="1523"/>
      <c r="Z181" s="1523"/>
      <c r="AA181" s="1998"/>
      <c r="AB181" s="927"/>
      <c r="AC181" s="927"/>
      <c r="AD181" s="927"/>
      <c r="AE181" s="927"/>
    </row>
    <row s="19269" customFormat="1" customHeight="1" ht="11.25">
      <c r="A182" s="1349"/>
      <c r="B182" s="2002"/>
      <c r="C182" s="2002"/>
      <c r="D182" s="712"/>
      <c r="K182" s="1523"/>
      <c r="L182" s="2002"/>
      <c r="M182" s="2002"/>
      <c r="N182" s="1523"/>
      <c r="O182" s="1523"/>
      <c r="P182" s="1523"/>
      <c r="Q182" s="1523"/>
      <c r="R182" s="2002"/>
      <c r="S182" s="1523"/>
      <c r="T182" s="1523"/>
      <c r="U182" s="905"/>
      <c r="V182" s="1523"/>
      <c r="W182" s="1523"/>
      <c r="X182" s="1523"/>
      <c r="Y182" s="1523"/>
      <c r="Z182" s="1523"/>
      <c r="AA182" s="1998"/>
      <c r="AB182" s="927"/>
      <c r="AC182" s="927"/>
      <c r="AD182" s="927"/>
      <c r="AE182" s="927"/>
    </row>
    <row s="19269" customFormat="1" customHeight="1" ht="11.25">
      <c r="A183" s="1349"/>
      <c r="B183" s="2002"/>
      <c r="C183" s="2002"/>
      <c r="D183" s="712"/>
      <c r="K183" s="1523"/>
      <c r="L183" s="2002"/>
      <c r="M183" s="2002"/>
      <c r="N183" s="1523"/>
      <c r="O183" s="1523"/>
      <c r="P183" s="1523"/>
      <c r="Q183" s="1523"/>
      <c r="R183" s="2002"/>
      <c r="S183" s="1523"/>
      <c r="T183" s="1523"/>
      <c r="U183" s="905"/>
      <c r="V183" s="1523"/>
      <c r="W183" s="1523"/>
      <c r="X183" s="1523"/>
      <c r="Y183" s="1523"/>
      <c r="Z183" s="1523"/>
      <c r="AA183" s="1998"/>
      <c r="AB183" s="927"/>
      <c r="AC183" s="927"/>
      <c r="AD183" s="927"/>
      <c r="AE183" s="927"/>
    </row>
    <row s="19269" customFormat="1" customHeight="1" ht="11.25">
      <c r="A184" s="1349"/>
      <c r="B184" s="2002"/>
      <c r="C184" s="2002"/>
      <c r="D184" s="712"/>
      <c r="K184" s="1523"/>
      <c r="L184" s="2002"/>
      <c r="M184" s="2002"/>
      <c r="N184" s="1523"/>
      <c r="O184" s="1523"/>
      <c r="P184" s="1523"/>
      <c r="Q184" s="1523"/>
      <c r="R184" s="2002"/>
      <c r="S184" s="1523"/>
      <c r="T184" s="1523"/>
      <c r="U184" s="905"/>
      <c r="V184" s="1523"/>
      <c r="W184" s="1523"/>
      <c r="X184" s="1523"/>
      <c r="Y184" s="1523"/>
      <c r="Z184" s="1523"/>
      <c r="AA184" s="1998"/>
      <c r="AB184" s="927"/>
      <c r="AC184" s="927"/>
      <c r="AD184" s="927"/>
      <c r="AE184" s="927"/>
    </row>
    <row s="19269" customFormat="1" customHeight="1" ht="11.25">
      <c r="A185" s="1349"/>
      <c r="B185" s="2002"/>
      <c r="C185" s="2002"/>
      <c r="D185" s="712"/>
      <c r="K185" s="1523"/>
      <c r="L185" s="2002"/>
      <c r="M185" s="2002"/>
      <c r="N185" s="1523"/>
      <c r="O185" s="1523"/>
      <c r="P185" s="1523"/>
      <c r="Q185" s="1523"/>
      <c r="R185" s="2002"/>
      <c r="S185" s="1523"/>
      <c r="T185" s="1523"/>
      <c r="U185" s="905"/>
      <c r="V185" s="1523"/>
      <c r="W185" s="1523"/>
      <c r="X185" s="1523"/>
      <c r="Y185" s="1523"/>
      <c r="Z185" s="1523"/>
      <c r="AA185" s="1998"/>
      <c r="AB185" s="927"/>
      <c r="AC185" s="927"/>
      <c r="AD185" s="927"/>
      <c r="AE185" s="927"/>
    </row>
    <row s="19269" customFormat="1" customHeight="1" ht="11.25">
      <c r="A186" s="1349"/>
      <c r="B186" s="2002"/>
      <c r="C186" s="2002"/>
      <c r="D186" s="712"/>
      <c r="K186" s="1523"/>
      <c r="L186" s="2002"/>
      <c r="M186" s="2002"/>
      <c r="N186" s="1523"/>
      <c r="O186" s="1523"/>
      <c r="P186" s="1523"/>
      <c r="Q186" s="1523"/>
      <c r="R186" s="2002"/>
      <c r="S186" s="1523"/>
      <c r="T186" s="1523"/>
      <c r="U186" s="905"/>
      <c r="V186" s="1523"/>
      <c r="W186" s="1523"/>
      <c r="X186" s="1523"/>
      <c r="Y186" s="1523"/>
      <c r="Z186" s="1523"/>
      <c r="AA186" s="1998"/>
      <c r="AB186" s="927"/>
      <c r="AC186" s="927"/>
      <c r="AD186" s="927"/>
      <c r="AE186" s="927"/>
    </row>
    <row s="19269" customFormat="1" customHeight="1" ht="11.25">
      <c r="A187" s="1349"/>
      <c r="B187" s="2002"/>
      <c r="C187" s="2002"/>
      <c r="D187" s="712"/>
      <c r="K187" s="1523"/>
      <c r="L187" s="2002"/>
      <c r="M187" s="2002"/>
      <c r="N187" s="1523"/>
      <c r="O187" s="1523"/>
      <c r="P187" s="1523"/>
      <c r="Q187" s="1523"/>
      <c r="R187" s="2002"/>
      <c r="S187" s="1523"/>
      <c r="T187" s="1523"/>
      <c r="U187" s="905"/>
      <c r="V187" s="1523"/>
      <c r="W187" s="1523"/>
      <c r="X187" s="1523"/>
      <c r="Y187" s="1523"/>
      <c r="Z187" s="1523"/>
      <c r="AA187" s="1998"/>
      <c r="AB187" s="927"/>
      <c r="AC187" s="927"/>
      <c r="AD187" s="927"/>
      <c r="AE187" s="927"/>
    </row>
    <row s="19269" customFormat="1" customHeight="1" ht="11.25">
      <c r="A188" s="1349"/>
      <c r="B188" s="2002"/>
      <c r="C188" s="2002"/>
      <c r="D188" s="712"/>
      <c r="K188" s="1523"/>
      <c r="L188" s="2002"/>
      <c r="M188" s="2002"/>
      <c r="N188" s="1523"/>
      <c r="O188" s="1523"/>
      <c r="P188" s="1523"/>
      <c r="Q188" s="1523"/>
      <c r="R188" s="2002"/>
      <c r="S188" s="1523"/>
      <c r="T188" s="1523"/>
      <c r="U188" s="905"/>
      <c r="V188" s="1523"/>
      <c r="W188" s="1523"/>
      <c r="X188" s="1523"/>
      <c r="Y188" s="1523"/>
      <c r="Z188" s="1523"/>
      <c r="AA188" s="1998"/>
      <c r="AB188" s="927"/>
      <c r="AC188" s="927"/>
      <c r="AD188" s="927"/>
      <c r="AE188" s="927"/>
    </row>
    <row s="19269" customFormat="1" customHeight="1" ht="11.25">
      <c r="A189" s="1349"/>
      <c r="B189" s="2002"/>
      <c r="C189" s="2002"/>
      <c r="D189" s="712"/>
      <c r="K189" s="1523"/>
      <c r="L189" s="2002"/>
      <c r="M189" s="2002"/>
      <c r="N189" s="1523"/>
      <c r="O189" s="1523"/>
      <c r="P189" s="1523"/>
      <c r="Q189" s="1523"/>
      <c r="R189" s="2002"/>
      <c r="S189" s="1523"/>
      <c r="T189" s="1523"/>
      <c r="U189" s="905"/>
      <c r="V189" s="1523"/>
      <c r="W189" s="1523"/>
      <c r="X189" s="1523"/>
      <c r="Y189" s="1523"/>
      <c r="Z189" s="1523"/>
      <c r="AA189" s="1998"/>
      <c r="AB189" s="927"/>
      <c r="AC189" s="927"/>
      <c r="AD189" s="927"/>
      <c r="AE189" s="927"/>
    </row>
    <row s="19269" customFormat="1" customHeight="1" ht="11.25">
      <c r="A190" s="1349"/>
      <c r="B190" s="2002"/>
      <c r="C190" s="2002"/>
      <c r="D190" s="712"/>
      <c r="K190" s="1523"/>
      <c r="L190" s="2002"/>
      <c r="M190" s="2002"/>
      <c r="N190" s="1523"/>
      <c r="O190" s="1523"/>
      <c r="P190" s="1523"/>
      <c r="Q190" s="1523"/>
      <c r="R190" s="2002"/>
      <c r="S190" s="1523"/>
      <c r="T190" s="1523"/>
      <c r="U190" s="905"/>
      <c r="V190" s="1523"/>
      <c r="W190" s="1523"/>
      <c r="X190" s="1523"/>
      <c r="Y190" s="1523"/>
      <c r="Z190" s="1523"/>
      <c r="AA190" s="1998"/>
      <c r="AB190" s="927"/>
      <c r="AC190" s="927"/>
      <c r="AD190" s="927"/>
      <c r="AE190" s="927"/>
    </row>
    <row s="19269" customFormat="1" customHeight="1" ht="11.25">
      <c r="A191" s="1349"/>
      <c r="B191" s="2002"/>
      <c r="C191" s="2002"/>
      <c r="D191" s="712"/>
      <c r="K191" s="1523"/>
      <c r="L191" s="2002"/>
      <c r="M191" s="2002"/>
      <c r="N191" s="1523"/>
      <c r="O191" s="1523"/>
      <c r="P191" s="1523"/>
      <c r="Q191" s="1523"/>
      <c r="R191" s="2002"/>
      <c r="S191" s="1523"/>
      <c r="T191" s="1523"/>
      <c r="U191" s="905"/>
      <c r="V191" s="1523"/>
      <c r="W191" s="1523"/>
      <c r="X191" s="1523"/>
      <c r="Y191" s="1523"/>
      <c r="Z191" s="1523"/>
      <c r="AA191" s="1998"/>
      <c r="AB191" s="927"/>
      <c r="AC191" s="927"/>
      <c r="AD191" s="927"/>
      <c r="AE191" s="927"/>
    </row>
    <row s="19269" customFormat="1" customHeight="1" ht="11.25">
      <c r="A192" s="1349"/>
      <c r="B192" s="2002"/>
      <c r="C192" s="2002"/>
      <c r="D192" s="712"/>
      <c r="K192" s="1523"/>
      <c r="L192" s="2002"/>
      <c r="M192" s="2002"/>
      <c r="N192" s="1523"/>
      <c r="O192" s="1523"/>
      <c r="P192" s="1523"/>
      <c r="Q192" s="1523"/>
      <c r="R192" s="2002"/>
      <c r="S192" s="1523"/>
      <c r="T192" s="1523"/>
      <c r="U192" s="905"/>
      <c r="V192" s="1523"/>
      <c r="W192" s="1523"/>
      <c r="X192" s="1523"/>
      <c r="Y192" s="1523"/>
      <c r="Z192" s="1523"/>
      <c r="AA192" s="1998"/>
      <c r="AB192" s="927"/>
      <c r="AC192" s="927"/>
      <c r="AD192" s="927"/>
      <c r="AE192" s="927"/>
    </row>
    <row s="19269" customFormat="1" customHeight="1" ht="11.25">
      <c r="A193" s="1349"/>
      <c r="B193" s="2002"/>
      <c r="C193" s="2002"/>
      <c r="D193" s="712"/>
      <c r="K193" s="1523"/>
      <c r="L193" s="2002"/>
      <c r="M193" s="2002"/>
      <c r="N193" s="1523"/>
      <c r="O193" s="1523"/>
      <c r="P193" s="1523"/>
      <c r="Q193" s="1523"/>
      <c r="R193" s="2002"/>
      <c r="S193" s="1523"/>
      <c r="T193" s="1523"/>
      <c r="U193" s="905"/>
      <c r="V193" s="1523"/>
      <c r="W193" s="1523"/>
      <c r="X193" s="1523"/>
      <c r="Y193" s="1523"/>
      <c r="Z193" s="1523"/>
      <c r="AA193" s="1998"/>
      <c r="AB193" s="927"/>
      <c r="AC193" s="927"/>
      <c r="AD193" s="927"/>
      <c r="AE193" s="927"/>
    </row>
    <row s="19269" customFormat="1" customHeight="1" ht="11.25">
      <c r="A194" s="1349"/>
      <c r="B194" s="2002"/>
      <c r="C194" s="2002"/>
      <c r="D194" s="712"/>
      <c r="K194" s="1523"/>
      <c r="L194" s="2002"/>
      <c r="M194" s="2002"/>
      <c r="N194" s="1523"/>
      <c r="O194" s="1523"/>
      <c r="P194" s="1523"/>
      <c r="Q194" s="1523"/>
      <c r="R194" s="2002"/>
      <c r="S194" s="1523"/>
      <c r="T194" s="1523"/>
      <c r="U194" s="905"/>
      <c r="V194" s="1523"/>
      <c r="W194" s="1523"/>
      <c r="X194" s="1523"/>
      <c r="Y194" s="1523"/>
      <c r="Z194" s="1523"/>
      <c r="AA194" s="1998"/>
      <c r="AB194" s="927"/>
      <c r="AC194" s="927"/>
      <c r="AD194" s="927"/>
      <c r="AE194" s="927"/>
    </row>
    <row s="19269" customFormat="1" customHeight="1" ht="11.25">
      <c r="A195" s="1349"/>
      <c r="B195" s="2002"/>
      <c r="C195" s="2002"/>
      <c r="D195" s="712"/>
      <c r="K195" s="1523"/>
      <c r="L195" s="2002"/>
      <c r="M195" s="2002"/>
      <c r="N195" s="1523"/>
      <c r="O195" s="1523"/>
      <c r="P195" s="1523"/>
      <c r="Q195" s="1523"/>
      <c r="R195" s="2002"/>
      <c r="S195" s="1523"/>
      <c r="T195" s="1523"/>
      <c r="U195" s="905"/>
      <c r="V195" s="1523"/>
      <c r="W195" s="1523"/>
      <c r="X195" s="1523"/>
      <c r="Y195" s="1523"/>
      <c r="Z195" s="1523"/>
      <c r="AA195" s="1998"/>
      <c r="AB195" s="927"/>
      <c r="AC195" s="927"/>
      <c r="AD195" s="927"/>
      <c r="AE195" s="927"/>
    </row>
    <row s="19269" customFormat="1" customHeight="1" ht="11.25">
      <c r="A196" s="1349"/>
      <c r="B196" s="2002"/>
      <c r="C196" s="2002"/>
      <c r="D196" s="712"/>
      <c r="K196" s="1523"/>
      <c r="L196" s="2002"/>
      <c r="M196" s="2002"/>
      <c r="N196" s="1523"/>
      <c r="O196" s="1523"/>
      <c r="P196" s="1523"/>
      <c r="Q196" s="1523"/>
      <c r="R196" s="2002"/>
      <c r="S196" s="1523"/>
      <c r="T196" s="1523"/>
      <c r="U196" s="905"/>
      <c r="V196" s="1523"/>
      <c r="W196" s="1523"/>
      <c r="X196" s="1523"/>
      <c r="Y196" s="1523"/>
      <c r="Z196" s="1523"/>
      <c r="AA196" s="1998"/>
      <c r="AB196" s="927"/>
      <c r="AC196" s="927"/>
      <c r="AD196" s="927"/>
      <c r="AE196" s="927"/>
    </row>
    <row s="19269" customFormat="1" customHeight="1" ht="11.25">
      <c r="A197" s="1349"/>
      <c r="B197" s="2002"/>
      <c r="C197" s="2002"/>
      <c r="D197" s="712"/>
      <c r="K197" s="1523"/>
      <c r="L197" s="2002"/>
      <c r="M197" s="2002"/>
      <c r="N197" s="1523"/>
      <c r="O197" s="1523"/>
      <c r="P197" s="1523"/>
      <c r="Q197" s="1523"/>
      <c r="R197" s="2002"/>
      <c r="S197" s="1523"/>
      <c r="T197" s="1523"/>
      <c r="U197" s="905"/>
      <c r="V197" s="1523"/>
      <c r="W197" s="1523"/>
      <c r="X197" s="1523"/>
      <c r="Y197" s="1523"/>
      <c r="Z197" s="1523"/>
      <c r="AA197" s="1998"/>
      <c r="AB197" s="927"/>
      <c r="AC197" s="927"/>
      <c r="AD197" s="927"/>
      <c r="AE197" s="927"/>
    </row>
    <row s="19269" customFormat="1" customHeight="1" ht="11.25">
      <c r="A198" s="1349"/>
      <c r="B198" s="2002"/>
      <c r="C198" s="2002"/>
      <c r="D198" s="712"/>
      <c r="K198" s="1523"/>
      <c r="L198" s="2002"/>
      <c r="M198" s="2002"/>
      <c r="N198" s="1523"/>
      <c r="O198" s="1523"/>
      <c r="P198" s="1523"/>
      <c r="Q198" s="1523"/>
      <c r="R198" s="2002"/>
      <c r="S198" s="1523"/>
      <c r="T198" s="1523"/>
      <c r="U198" s="905"/>
      <c r="V198" s="1523"/>
      <c r="W198" s="1523"/>
      <c r="X198" s="1523"/>
      <c r="Y198" s="1523"/>
      <c r="Z198" s="1523"/>
      <c r="AA198" s="1998"/>
      <c r="AB198" s="927"/>
      <c r="AC198" s="927"/>
      <c r="AD198" s="927"/>
      <c r="AE198" s="927"/>
    </row>
    <row s="19269" customFormat="1" customHeight="1" ht="11.25">
      <c r="A199" s="1349"/>
      <c r="B199" s="2002"/>
      <c r="C199" s="2002"/>
      <c r="D199" s="712"/>
      <c r="K199" s="1523"/>
      <c r="L199" s="2002"/>
      <c r="M199" s="2002"/>
      <c r="N199" s="1523"/>
      <c r="O199" s="1523"/>
      <c r="P199" s="1523"/>
      <c r="Q199" s="1523"/>
      <c r="R199" s="2002"/>
      <c r="S199" s="1523"/>
      <c r="T199" s="1523"/>
      <c r="U199" s="905"/>
      <c r="V199" s="1523"/>
      <c r="W199" s="1523"/>
      <c r="X199" s="1523"/>
      <c r="Y199" s="1523"/>
      <c r="Z199" s="1523"/>
      <c r="AA199" s="1998"/>
      <c r="AB199" s="927"/>
      <c r="AC199" s="927"/>
      <c r="AD199" s="927"/>
      <c r="AE199" s="927"/>
    </row>
    <row s="19269" customFormat="1" customHeight="1" ht="11.25">
      <c r="A200" s="1349"/>
      <c r="B200" s="2002"/>
      <c r="C200" s="2002"/>
      <c r="D200" s="712"/>
      <c r="K200" s="1523"/>
      <c r="L200" s="2002"/>
      <c r="M200" s="2002"/>
      <c r="N200" s="1523"/>
      <c r="O200" s="1523"/>
      <c r="P200" s="1523"/>
      <c r="Q200" s="1523"/>
      <c r="R200" s="2002"/>
      <c r="S200" s="1523"/>
      <c r="T200" s="1523"/>
      <c r="U200" s="905"/>
      <c r="V200" s="1523"/>
      <c r="W200" s="1523"/>
      <c r="X200" s="1523"/>
      <c r="Y200" s="1523"/>
      <c r="Z200" s="1523"/>
      <c r="AA200" s="1998"/>
      <c r="AB200" s="927"/>
      <c r="AC200" s="927"/>
      <c r="AD200" s="927"/>
      <c r="AE200" s="927"/>
    </row>
    <row s="19269" customFormat="1" customHeight="1" ht="11.25">
      <c r="A201" s="1349"/>
      <c r="B201" s="2002"/>
      <c r="C201" s="2002"/>
      <c r="D201" s="712"/>
      <c r="K201" s="1523"/>
      <c r="L201" s="2002"/>
      <c r="M201" s="2002"/>
      <c r="N201" s="1523"/>
      <c r="O201" s="1523"/>
      <c r="P201" s="1523"/>
      <c r="Q201" s="1523"/>
      <c r="R201" s="2002"/>
      <c r="S201" s="1523"/>
      <c r="T201" s="1523"/>
      <c r="U201" s="905"/>
      <c r="V201" s="1523"/>
      <c r="W201" s="1523"/>
      <c r="X201" s="1523"/>
      <c r="Y201" s="1523"/>
      <c r="Z201" s="1523"/>
      <c r="AA201" s="1998"/>
      <c r="AB201" s="927"/>
      <c r="AC201" s="927"/>
      <c r="AD201" s="927"/>
      <c r="AE201" s="927"/>
    </row>
    <row s="19269" customFormat="1" customHeight="1" ht="11.25">
      <c r="A202" s="1349"/>
      <c r="B202" s="2002"/>
      <c r="C202" s="2002"/>
      <c r="D202" s="712"/>
      <c r="K202" s="1523"/>
      <c r="L202" s="2002"/>
      <c r="M202" s="2002"/>
      <c r="N202" s="1523"/>
      <c r="O202" s="1523"/>
      <c r="P202" s="1523"/>
      <c r="Q202" s="1523"/>
      <c r="R202" s="2002"/>
      <c r="S202" s="1523"/>
      <c r="T202" s="1523"/>
      <c r="U202" s="905"/>
      <c r="V202" s="1523"/>
      <c r="W202" s="1523"/>
      <c r="X202" s="1523"/>
      <c r="Y202" s="1523"/>
      <c r="Z202" s="1523"/>
      <c r="AA202" s="1998"/>
      <c r="AB202" s="927"/>
      <c r="AC202" s="927"/>
      <c r="AD202" s="927"/>
      <c r="AE202" s="927"/>
    </row>
    <row s="19269" customFormat="1" customHeight="1" ht="11.25">
      <c r="A203" s="1349"/>
      <c r="B203" s="2002"/>
      <c r="C203" s="2002"/>
      <c r="D203" s="712"/>
      <c r="K203" s="1523"/>
      <c r="L203" s="2002"/>
      <c r="M203" s="2002"/>
      <c r="N203" s="1523"/>
      <c r="O203" s="1523"/>
      <c r="P203" s="1523"/>
      <c r="Q203" s="1523"/>
      <c r="R203" s="2002"/>
      <c r="S203" s="1523"/>
      <c r="T203" s="1523"/>
      <c r="U203" s="905"/>
      <c r="V203" s="1523"/>
      <c r="W203" s="1523"/>
      <c r="X203" s="1523"/>
      <c r="Y203" s="1523"/>
      <c r="Z203" s="1523"/>
      <c r="AA203" s="1998"/>
      <c r="AB203" s="927"/>
      <c r="AC203" s="927"/>
      <c r="AD203" s="927"/>
      <c r="AE203" s="927"/>
    </row>
    <row s="19269" customFormat="1" customHeight="1" ht="11.25">
      <c r="A204" s="1349"/>
      <c r="B204" s="2002"/>
      <c r="C204" s="2002"/>
      <c r="D204" s="712"/>
      <c r="K204" s="1523"/>
      <c r="L204" s="2002"/>
      <c r="M204" s="2002"/>
      <c r="N204" s="1523"/>
      <c r="O204" s="1523"/>
      <c r="P204" s="1523"/>
      <c r="Q204" s="1523"/>
      <c r="R204" s="2002"/>
      <c r="S204" s="1523"/>
      <c r="T204" s="1523"/>
      <c r="U204" s="905"/>
      <c r="V204" s="1523"/>
      <c r="W204" s="1523"/>
      <c r="X204" s="1523"/>
      <c r="Y204" s="1523"/>
      <c r="Z204" s="1523"/>
      <c r="AA204" s="1998"/>
      <c r="AB204" s="927"/>
      <c r="AC204" s="927"/>
      <c r="AD204" s="927"/>
      <c r="AE204" s="927"/>
    </row>
    <row s="19269" customFormat="1" customHeight="1" ht="11.25">
      <c r="A205" s="1349"/>
      <c r="B205" s="2002"/>
      <c r="C205" s="2002"/>
      <c r="D205" s="712"/>
      <c r="K205" s="1523"/>
      <c r="L205" s="2002"/>
      <c r="M205" s="2002"/>
      <c r="N205" s="1523"/>
      <c r="O205" s="1523"/>
      <c r="P205" s="1523"/>
      <c r="Q205" s="1523"/>
      <c r="R205" s="2002"/>
      <c r="S205" s="1523"/>
      <c r="T205" s="1523"/>
      <c r="U205" s="905"/>
      <c r="V205" s="1523"/>
      <c r="W205" s="1523"/>
      <c r="X205" s="1523"/>
      <c r="Y205" s="1523"/>
      <c r="Z205" s="1523"/>
      <c r="AA205" s="1998"/>
      <c r="AB205" s="927"/>
      <c r="AC205" s="927"/>
      <c r="AD205" s="927"/>
      <c r="AE205" s="927"/>
    </row>
    <row s="19269" customFormat="1" customHeight="1" ht="11.25">
      <c r="A206" s="1349"/>
      <c r="B206" s="2002"/>
      <c r="C206" s="2002"/>
      <c r="D206" s="712"/>
      <c r="K206" s="1523"/>
      <c r="L206" s="2002"/>
      <c r="M206" s="2002"/>
      <c r="N206" s="1523"/>
      <c r="O206" s="1523"/>
      <c r="P206" s="1523"/>
      <c r="Q206" s="1523"/>
      <c r="R206" s="2002"/>
      <c r="S206" s="1523"/>
      <c r="T206" s="1523"/>
      <c r="U206" s="905"/>
      <c r="V206" s="1523"/>
      <c r="W206" s="1523"/>
      <c r="X206" s="1523"/>
      <c r="Y206" s="1523"/>
      <c r="Z206" s="1523"/>
      <c r="AA206" s="1998"/>
      <c r="AB206" s="927"/>
      <c r="AC206" s="927"/>
      <c r="AD206" s="927"/>
      <c r="AE206" s="927"/>
    </row>
    <row s="19269" customFormat="1" customHeight="1" ht="11.25">
      <c r="A207" s="1349"/>
      <c r="B207" s="2002"/>
      <c r="C207" s="2002"/>
      <c r="D207" s="712"/>
      <c r="K207" s="1523"/>
      <c r="L207" s="2002"/>
      <c r="M207" s="2002"/>
      <c r="N207" s="1523"/>
      <c r="O207" s="1523"/>
      <c r="P207" s="1523"/>
      <c r="Q207" s="1523"/>
      <c r="R207" s="2002"/>
      <c r="S207" s="1523"/>
      <c r="T207" s="1523"/>
      <c r="U207" s="905"/>
      <c r="V207" s="1523"/>
      <c r="W207" s="1523"/>
      <c r="X207" s="1523"/>
      <c r="Y207" s="1523"/>
      <c r="Z207" s="1523"/>
      <c r="AA207" s="1998"/>
      <c r="AB207" s="927"/>
      <c r="AC207" s="927"/>
      <c r="AD207" s="927"/>
      <c r="AE207" s="927"/>
    </row>
    <row s="19269" customFormat="1" customHeight="1" ht="11.25">
      <c r="A208" s="1349"/>
      <c r="B208" s="2002"/>
      <c r="C208" s="2002"/>
      <c r="D208" s="712"/>
      <c r="K208" s="1523"/>
      <c r="L208" s="2002"/>
      <c r="M208" s="2002"/>
      <c r="N208" s="1523"/>
      <c r="O208" s="1523"/>
      <c r="P208" s="1523"/>
      <c r="Q208" s="1523"/>
      <c r="R208" s="2002"/>
      <c r="S208" s="1523"/>
      <c r="T208" s="1523"/>
      <c r="U208" s="905"/>
      <c r="V208" s="1523"/>
      <c r="W208" s="1523"/>
      <c r="X208" s="1523"/>
      <c r="Y208" s="1523"/>
      <c r="Z208" s="1523"/>
      <c r="AA208" s="1998"/>
      <c r="AB208" s="927"/>
      <c r="AC208" s="927"/>
      <c r="AD208" s="927"/>
      <c r="AE208" s="927"/>
    </row>
    <row s="19269" customFormat="1" customHeight="1" ht="11.25">
      <c r="A209" s="1349"/>
      <c r="B209" s="2002"/>
      <c r="C209" s="2002"/>
      <c r="D209" s="712"/>
      <c r="K209" s="1523"/>
      <c r="L209" s="2002"/>
      <c r="M209" s="2002"/>
      <c r="N209" s="1523"/>
      <c r="O209" s="1523"/>
      <c r="P209" s="1523"/>
      <c r="Q209" s="1523"/>
      <c r="R209" s="2002"/>
      <c r="S209" s="1523"/>
      <c r="T209" s="1523"/>
      <c r="U209" s="905"/>
      <c r="V209" s="1523"/>
      <c r="W209" s="1523"/>
      <c r="X209" s="1523"/>
      <c r="Y209" s="1523"/>
      <c r="Z209" s="1523"/>
      <c r="AA209" s="1998"/>
      <c r="AB209" s="927"/>
      <c r="AC209" s="927"/>
      <c r="AD209" s="927"/>
      <c r="AE209" s="927"/>
    </row>
    <row s="19269" customFormat="1" customHeight="1" ht="11.25">
      <c r="A210" s="1349"/>
      <c r="B210" s="2002"/>
      <c r="C210" s="2002"/>
      <c r="D210" s="712"/>
      <c r="K210" s="1523"/>
      <c r="L210" s="2002"/>
      <c r="M210" s="2002"/>
      <c r="N210" s="1523"/>
      <c r="O210" s="1523"/>
      <c r="P210" s="1523"/>
      <c r="Q210" s="1523"/>
      <c r="R210" s="2002"/>
      <c r="S210" s="1523"/>
      <c r="T210" s="1523"/>
      <c r="U210" s="905"/>
      <c r="V210" s="1523"/>
      <c r="W210" s="1523"/>
      <c r="X210" s="1523"/>
      <c r="Y210" s="1523"/>
      <c r="Z210" s="1523"/>
      <c r="AA210" s="1998"/>
      <c r="AB210" s="927"/>
      <c r="AC210" s="927"/>
      <c r="AD210" s="927"/>
      <c r="AE210" s="927"/>
    </row>
    <row s="19269" customFormat="1" customHeight="1" ht="11.25">
      <c r="A211" s="1349"/>
      <c r="B211" s="2002"/>
      <c r="C211" s="2002"/>
      <c r="D211" s="712"/>
      <c r="K211" s="1523"/>
      <c r="L211" s="2002"/>
      <c r="M211" s="2002"/>
      <c r="N211" s="1523"/>
      <c r="O211" s="1523"/>
      <c r="P211" s="1523"/>
      <c r="Q211" s="1523"/>
      <c r="R211" s="2002"/>
      <c r="S211" s="1523"/>
      <c r="T211" s="1523"/>
      <c r="U211" s="905"/>
      <c r="V211" s="1523"/>
      <c r="W211" s="1523"/>
      <c r="X211" s="1523"/>
      <c r="Y211" s="1523"/>
      <c r="Z211" s="1523"/>
      <c r="AA211" s="1998"/>
      <c r="AB211" s="927"/>
      <c r="AC211" s="927"/>
      <c r="AD211" s="927"/>
      <c r="AE211" s="927"/>
    </row>
    <row s="19269" customFormat="1" customHeight="1" ht="11.25">
      <c r="A212" s="1349"/>
      <c r="B212" s="2002"/>
      <c r="C212" s="2002"/>
      <c r="D212" s="712"/>
      <c r="K212" s="1523"/>
      <c r="L212" s="2002"/>
      <c r="M212" s="2002"/>
      <c r="N212" s="1523"/>
      <c r="O212" s="1523"/>
      <c r="P212" s="1523"/>
      <c r="Q212" s="1523"/>
      <c r="R212" s="2002"/>
      <c r="S212" s="1523"/>
      <c r="T212" s="1523"/>
      <c r="U212" s="905"/>
      <c r="V212" s="1523"/>
      <c r="W212" s="1523"/>
      <c r="X212" s="1523"/>
      <c r="Y212" s="1523"/>
      <c r="Z212" s="1523"/>
      <c r="AA212" s="1998"/>
      <c r="AB212" s="927"/>
      <c r="AC212" s="927"/>
      <c r="AD212" s="927"/>
      <c r="AE212" s="927"/>
    </row>
    <row s="19269" customFormat="1" customHeight="1" ht="11.25">
      <c r="A213" s="1349"/>
      <c r="B213" s="2002"/>
      <c r="C213" s="2002"/>
      <c r="D213" s="712"/>
      <c r="K213" s="1523"/>
      <c r="L213" s="2002"/>
      <c r="M213" s="2002"/>
      <c r="N213" s="1523"/>
      <c r="O213" s="1523"/>
      <c r="P213" s="1523"/>
      <c r="Q213" s="1523"/>
      <c r="R213" s="2002"/>
      <c r="S213" s="1523"/>
      <c r="T213" s="1523"/>
      <c r="U213" s="905"/>
      <c r="V213" s="1523"/>
      <c r="W213" s="1523"/>
      <c r="X213" s="1523"/>
      <c r="Y213" s="1523"/>
      <c r="Z213" s="1523"/>
      <c r="AA213" s="1998"/>
      <c r="AB213" s="927"/>
      <c r="AC213" s="927"/>
      <c r="AD213" s="927"/>
      <c r="AE213" s="927"/>
    </row>
    <row s="19269" customFormat="1" customHeight="1" ht="11.25">
      <c r="A214" s="1349"/>
      <c r="B214" s="2002"/>
      <c r="C214" s="2002"/>
      <c r="D214" s="712"/>
      <c r="K214" s="1523"/>
      <c r="L214" s="2002"/>
      <c r="M214" s="2002"/>
      <c r="N214" s="1523"/>
      <c r="O214" s="1523"/>
      <c r="P214" s="1523"/>
      <c r="Q214" s="1523"/>
      <c r="R214" s="2002"/>
      <c r="S214" s="1523"/>
      <c r="T214" s="1523"/>
      <c r="U214" s="905"/>
      <c r="V214" s="1523"/>
      <c r="W214" s="1523"/>
      <c r="X214" s="1523"/>
      <c r="Y214" s="1523"/>
      <c r="Z214" s="1523"/>
      <c r="AA214" s="1998"/>
      <c r="AB214" s="927"/>
      <c r="AC214" s="927"/>
      <c r="AD214" s="927"/>
      <c r="AE214" s="927"/>
    </row>
    <row s="19269" customFormat="1" customHeight="1" ht="11.25">
      <c r="A215" s="1349"/>
      <c r="B215" s="2002"/>
      <c r="C215" s="2002"/>
      <c r="D215" s="712"/>
      <c r="K215" s="1523"/>
      <c r="L215" s="2002"/>
      <c r="M215" s="2002"/>
      <c r="N215" s="1523"/>
      <c r="O215" s="1523"/>
      <c r="P215" s="1523"/>
      <c r="Q215" s="1523"/>
      <c r="R215" s="2002"/>
      <c r="S215" s="1523"/>
      <c r="T215" s="1523"/>
      <c r="U215" s="905"/>
      <c r="V215" s="1523"/>
      <c r="W215" s="1523"/>
      <c r="X215" s="1523"/>
      <c r="Y215" s="1523"/>
      <c r="Z215" s="1523"/>
      <c r="AA215" s="1998"/>
      <c r="AB215" s="927"/>
      <c r="AC215" s="927"/>
      <c r="AD215" s="927"/>
      <c r="AE215" s="927"/>
    </row>
    <row s="19269" customFormat="1" customHeight="1" ht="11.25">
      <c r="A216" s="1349"/>
      <c r="B216" s="2002"/>
      <c r="C216" s="2002"/>
      <c r="D216" s="712"/>
      <c r="K216" s="1523"/>
      <c r="L216" s="2002"/>
      <c r="M216" s="2002"/>
      <c r="N216" s="1523"/>
      <c r="O216" s="1523"/>
      <c r="P216" s="1523"/>
      <c r="Q216" s="1523"/>
      <c r="R216" s="2002"/>
      <c r="S216" s="1523"/>
      <c r="T216" s="1523"/>
      <c r="U216" s="905"/>
      <c r="V216" s="1523"/>
      <c r="W216" s="1523"/>
      <c r="X216" s="1523"/>
      <c r="Y216" s="1523"/>
      <c r="Z216" s="1523"/>
      <c r="AA216" s="1998"/>
      <c r="AB216" s="927"/>
      <c r="AC216" s="927"/>
      <c r="AD216" s="927"/>
      <c r="AE216" s="927"/>
    </row>
    <row s="19269" customFormat="1" customHeight="1" ht="11.25">
      <c r="A217" s="1349"/>
      <c r="B217" s="2002"/>
      <c r="C217" s="2002"/>
      <c r="D217" s="712"/>
      <c r="K217" s="1523"/>
      <c r="L217" s="2002"/>
      <c r="M217" s="2002"/>
      <c r="N217" s="1523"/>
      <c r="O217" s="1523"/>
      <c r="P217" s="1523"/>
      <c r="Q217" s="1523"/>
      <c r="R217" s="2002"/>
      <c r="S217" s="1523"/>
      <c r="T217" s="1523"/>
      <c r="U217" s="905"/>
      <c r="V217" s="1523"/>
      <c r="W217" s="1523"/>
      <c r="X217" s="1523"/>
      <c r="Y217" s="1523"/>
      <c r="Z217" s="1523"/>
      <c r="AA217" s="1998"/>
      <c r="AB217" s="927"/>
      <c r="AC217" s="927"/>
      <c r="AD217" s="927"/>
      <c r="AE217" s="927"/>
    </row>
    <row s="19269" customFormat="1" customHeight="1" ht="11.25">
      <c r="A218" s="1349"/>
      <c r="B218" s="2002"/>
      <c r="C218" s="2002"/>
      <c r="D218" s="712"/>
      <c r="K218" s="1523"/>
      <c r="L218" s="2002"/>
      <c r="M218" s="2002"/>
      <c r="N218" s="1523"/>
      <c r="O218" s="1523"/>
      <c r="P218" s="1523"/>
      <c r="Q218" s="1523"/>
      <c r="R218" s="2002"/>
      <c r="S218" s="1523"/>
      <c r="T218" s="1523"/>
      <c r="U218" s="905"/>
      <c r="V218" s="1523"/>
      <c r="W218" s="1523"/>
      <c r="X218" s="1523"/>
      <c r="Y218" s="1523"/>
      <c r="Z218" s="1523"/>
      <c r="AA218" s="1998"/>
      <c r="AB218" s="927"/>
      <c r="AC218" s="927"/>
      <c r="AD218" s="927"/>
      <c r="AE218" s="927"/>
    </row>
    <row s="19269" customFormat="1" customHeight="1" ht="11.25">
      <c r="A219" s="1349"/>
      <c r="B219" s="2002"/>
      <c r="C219" s="2002"/>
      <c r="D219" s="712"/>
      <c r="K219" s="1523"/>
      <c r="L219" s="2002"/>
      <c r="M219" s="2002"/>
      <c r="N219" s="1523"/>
      <c r="O219" s="1523"/>
      <c r="P219" s="1523"/>
      <c r="Q219" s="1523"/>
      <c r="R219" s="2002"/>
      <c r="S219" s="1523"/>
      <c r="T219" s="1523"/>
      <c r="U219" s="905"/>
      <c r="V219" s="1523"/>
      <c r="W219" s="1523"/>
      <c r="X219" s="1523"/>
      <c r="Y219" s="1523"/>
      <c r="Z219" s="1523"/>
      <c r="AA219" s="1998"/>
      <c r="AB219" s="927"/>
      <c r="AC219" s="927"/>
      <c r="AD219" s="927"/>
      <c r="AE219" s="927"/>
    </row>
    <row s="19269" customFormat="1" customHeight="1" ht="11.25">
      <c r="A220" s="1349"/>
      <c r="B220" s="2002"/>
      <c r="C220" s="2002"/>
      <c r="D220" s="712"/>
      <c r="K220" s="1523"/>
      <c r="L220" s="2002"/>
      <c r="M220" s="2002"/>
      <c r="N220" s="1523"/>
      <c r="O220" s="1523"/>
      <c r="P220" s="1523"/>
      <c r="Q220" s="1523"/>
      <c r="R220" s="2002"/>
      <c r="S220" s="1523"/>
      <c r="T220" s="1523"/>
      <c r="U220" s="905"/>
      <c r="V220" s="1523"/>
      <c r="W220" s="1523"/>
      <c r="X220" s="1523"/>
      <c r="Y220" s="1523"/>
      <c r="Z220" s="1523"/>
      <c r="AA220" s="1998"/>
      <c r="AB220" s="927"/>
      <c r="AC220" s="927"/>
      <c r="AD220" s="927"/>
      <c r="AE220" s="927"/>
    </row>
    <row s="19269" customFormat="1" customHeight="1" ht="11.25">
      <c r="A221" s="1349"/>
      <c r="B221" s="2002"/>
      <c r="C221" s="2002"/>
      <c r="D221" s="712"/>
      <c r="K221" s="1523"/>
      <c r="L221" s="2002"/>
      <c r="M221" s="2002"/>
      <c r="N221" s="1523"/>
      <c r="O221" s="1523"/>
      <c r="P221" s="1523"/>
      <c r="Q221" s="1523"/>
      <c r="R221" s="2002"/>
      <c r="S221" s="1523"/>
      <c r="T221" s="1523"/>
      <c r="U221" s="905"/>
      <c r="V221" s="1523"/>
      <c r="W221" s="1523"/>
      <c r="X221" s="1523"/>
      <c r="Y221" s="1523"/>
      <c r="Z221" s="1523"/>
      <c r="AA221" s="1998"/>
      <c r="AB221" s="927"/>
      <c r="AC221" s="927"/>
      <c r="AD221" s="927"/>
      <c r="AE221" s="927"/>
    </row>
    <row s="19269" customFormat="1" customHeight="1" ht="11.25">
      <c r="A222" s="1349"/>
      <c r="B222" s="2002"/>
      <c r="C222" s="2002"/>
      <c r="D222" s="712"/>
      <c r="K222" s="1523"/>
      <c r="L222" s="2002"/>
      <c r="M222" s="2002"/>
      <c r="N222" s="1523"/>
      <c r="O222" s="1523"/>
      <c r="P222" s="1523"/>
      <c r="Q222" s="1523"/>
      <c r="R222" s="2002"/>
      <c r="S222" s="1523"/>
      <c r="T222" s="1523"/>
      <c r="U222" s="905"/>
      <c r="V222" s="1523"/>
      <c r="W222" s="1523"/>
      <c r="X222" s="1523"/>
      <c r="Y222" s="1523"/>
      <c r="Z222" s="1523"/>
      <c r="AA222" s="1998"/>
      <c r="AB222" s="927"/>
      <c r="AC222" s="927"/>
      <c r="AD222" s="927"/>
      <c r="AE222" s="927"/>
    </row>
    <row s="19269" customFormat="1" customHeight="1" ht="11.25">
      <c r="A223" s="1349"/>
      <c r="B223" s="2002"/>
      <c r="C223" s="2002"/>
      <c r="D223" s="712"/>
      <c r="K223" s="1523"/>
      <c r="L223" s="2002"/>
      <c r="M223" s="2002"/>
      <c r="N223" s="1523"/>
      <c r="O223" s="1523"/>
      <c r="P223" s="1523"/>
      <c r="Q223" s="1523"/>
      <c r="R223" s="2002"/>
      <c r="S223" s="1523"/>
      <c r="T223" s="1523"/>
      <c r="U223" s="905"/>
      <c r="V223" s="1523"/>
      <c r="W223" s="1523"/>
      <c r="X223" s="1523"/>
      <c r="Y223" s="1523"/>
      <c r="Z223" s="1523"/>
      <c r="AA223" s="1998"/>
      <c r="AB223" s="927"/>
      <c r="AC223" s="927"/>
      <c r="AD223" s="927"/>
      <c r="AE223" s="927"/>
    </row>
    <row s="19269" customFormat="1" customHeight="1" ht="11.25">
      <c r="A224" s="1349"/>
      <c r="B224" s="2002"/>
      <c r="C224" s="2002"/>
      <c r="D224" s="712"/>
      <c r="K224" s="1523"/>
      <c r="L224" s="2002"/>
      <c r="M224" s="2002"/>
      <c r="N224" s="1523"/>
      <c r="O224" s="1523"/>
      <c r="P224" s="1523"/>
      <c r="Q224" s="1523"/>
      <c r="R224" s="2002"/>
      <c r="S224" s="1523"/>
      <c r="T224" s="1523"/>
      <c r="U224" s="905"/>
      <c r="V224" s="1523"/>
      <c r="W224" s="1523"/>
      <c r="X224" s="1523"/>
      <c r="Y224" s="1523"/>
      <c r="Z224" s="1523"/>
      <c r="AA224" s="1998"/>
      <c r="AB224" s="927"/>
      <c r="AC224" s="927"/>
      <c r="AD224" s="927"/>
      <c r="AE224" s="927"/>
    </row>
    <row s="19269" customFormat="1" customHeight="1" ht="11.25">
      <c r="A225" s="1349"/>
      <c r="B225" s="2002"/>
      <c r="C225" s="2002"/>
      <c r="D225" s="712"/>
      <c r="K225" s="1523"/>
      <c r="L225" s="2002"/>
      <c r="M225" s="2002"/>
      <c r="N225" s="1523"/>
      <c r="O225" s="1523"/>
      <c r="P225" s="1523"/>
      <c r="Q225" s="1523"/>
      <c r="R225" s="2002"/>
      <c r="S225" s="1523"/>
      <c r="T225" s="1523"/>
      <c r="U225" s="905"/>
      <c r="V225" s="1523"/>
      <c r="W225" s="1523"/>
      <c r="X225" s="1523"/>
      <c r="Y225" s="1523"/>
      <c r="Z225" s="1523"/>
      <c r="AA225" s="1998"/>
      <c r="AB225" s="927"/>
      <c r="AC225" s="927"/>
      <c r="AD225" s="927"/>
      <c r="AE225" s="927"/>
    </row>
    <row s="19269" customFormat="1" customHeight="1" ht="11.25">
      <c r="A226" s="1349"/>
      <c r="B226" s="2002"/>
      <c r="C226" s="2002"/>
      <c r="D226" s="712"/>
      <c r="K226" s="1523"/>
      <c r="L226" s="2002"/>
      <c r="M226" s="2002"/>
      <c r="N226" s="1523"/>
      <c r="O226" s="1523"/>
      <c r="P226" s="1523"/>
      <c r="Q226" s="1523"/>
      <c r="R226" s="2002"/>
      <c r="S226" s="1523"/>
      <c r="T226" s="1523"/>
      <c r="U226" s="905"/>
      <c r="V226" s="1523"/>
      <c r="W226" s="1523"/>
      <c r="X226" s="1523"/>
      <c r="Y226" s="1523"/>
      <c r="Z226" s="1523"/>
      <c r="AA226" s="1998"/>
      <c r="AB226" s="927"/>
      <c r="AC226" s="927"/>
      <c r="AD226" s="927"/>
      <c r="AE226" s="927"/>
    </row>
    <row s="19269" customFormat="1" customHeight="1" ht="11.25">
      <c r="A227" s="1349"/>
      <c r="B227" s="2002"/>
      <c r="C227" s="2002"/>
      <c r="D227" s="712"/>
      <c r="K227" s="1523"/>
      <c r="L227" s="2002"/>
      <c r="M227" s="2002"/>
      <c r="N227" s="1523"/>
      <c r="O227" s="1523"/>
      <c r="P227" s="1523"/>
      <c r="Q227" s="1523"/>
      <c r="R227" s="2002"/>
      <c r="S227" s="1523"/>
      <c r="T227" s="1523"/>
      <c r="U227" s="905"/>
      <c r="V227" s="1523"/>
      <c r="W227" s="1523"/>
      <c r="X227" s="1523"/>
      <c r="Y227" s="1523"/>
      <c r="Z227" s="1523"/>
      <c r="AA227" s="1998"/>
      <c r="AB227" s="927"/>
      <c r="AC227" s="927"/>
      <c r="AD227" s="927"/>
      <c r="AE227" s="927"/>
    </row>
    <row s="19269" customFormat="1" customHeight="1" ht="11.25">
      <c r="A228" s="1349"/>
      <c r="B228" s="2002"/>
      <c r="C228" s="2002"/>
      <c r="D228" s="712"/>
      <c r="K228" s="1523"/>
      <c r="L228" s="2002"/>
      <c r="M228" s="2002"/>
      <c r="N228" s="1523"/>
      <c r="O228" s="1523"/>
      <c r="P228" s="1523"/>
      <c r="Q228" s="1523"/>
      <c r="R228" s="2002"/>
      <c r="S228" s="1523"/>
      <c r="T228" s="1523"/>
      <c r="U228" s="905"/>
      <c r="V228" s="1523"/>
      <c r="W228" s="1523"/>
      <c r="X228" s="1523"/>
      <c r="Y228" s="1523"/>
      <c r="Z228" s="1523"/>
      <c r="AA228" s="1998"/>
      <c r="AB228" s="927"/>
      <c r="AC228" s="927"/>
      <c r="AD228" s="927"/>
      <c r="AE228" s="927"/>
    </row>
    <row s="19269" customFormat="1" customHeight="1" ht="11.25">
      <c r="A229" s="1349"/>
      <c r="B229" s="2002"/>
      <c r="C229" s="2002"/>
      <c r="D229" s="712"/>
      <c r="K229" s="1523"/>
      <c r="L229" s="2002"/>
      <c r="M229" s="2002"/>
      <c r="N229" s="1523"/>
      <c r="O229" s="1523"/>
      <c r="P229" s="1523"/>
      <c r="Q229" s="1523"/>
      <c r="R229" s="2002"/>
      <c r="S229" s="1523"/>
      <c r="T229" s="1523"/>
      <c r="U229" s="905"/>
      <c r="V229" s="1523"/>
      <c r="W229" s="1523"/>
      <c r="X229" s="1523"/>
      <c r="Y229" s="1523"/>
      <c r="Z229" s="1523"/>
      <c r="AA229" s="1998"/>
      <c r="AB229" s="927"/>
      <c r="AC229" s="927"/>
      <c r="AD229" s="927"/>
      <c r="AE229" s="927"/>
    </row>
    <row s="19269" customFormat="1" customHeight="1" ht="11.25">
      <c r="A230" s="1349"/>
      <c r="B230" s="2002"/>
      <c r="C230" s="2002"/>
      <c r="D230" s="712"/>
      <c r="K230" s="1523"/>
      <c r="L230" s="2002"/>
      <c r="M230" s="2002"/>
      <c r="N230" s="1523"/>
      <c r="O230" s="1523"/>
      <c r="P230" s="1523"/>
      <c r="Q230" s="1523"/>
      <c r="R230" s="2002"/>
      <c r="S230" s="1523"/>
      <c r="T230" s="1523"/>
      <c r="U230" s="905"/>
      <c r="V230" s="1523"/>
      <c r="W230" s="1523"/>
      <c r="X230" s="1523"/>
      <c r="Y230" s="1523"/>
      <c r="Z230" s="1523"/>
      <c r="AA230" s="1998"/>
      <c r="AB230" s="927"/>
      <c r="AC230" s="927"/>
      <c r="AD230" s="927"/>
      <c r="AE230" s="927"/>
    </row>
    <row s="19269" customFormat="1" customHeight="1" ht="11.25">
      <c r="A231" s="1349"/>
      <c r="B231" s="2002"/>
      <c r="C231" s="2002"/>
      <c r="D231" s="712"/>
      <c r="K231" s="1523"/>
      <c r="L231" s="2002"/>
      <c r="M231" s="2002"/>
      <c r="N231" s="1523"/>
      <c r="O231" s="1523"/>
      <c r="P231" s="1523"/>
      <c r="Q231" s="1523"/>
      <c r="R231" s="2002"/>
      <c r="S231" s="1523"/>
      <c r="T231" s="1523"/>
      <c r="U231" s="905"/>
      <c r="V231" s="1523"/>
      <c r="W231" s="1523"/>
      <c r="X231" s="1523"/>
      <c r="Y231" s="1523"/>
      <c r="Z231" s="1523"/>
      <c r="AA231" s="1998"/>
      <c r="AB231" s="927"/>
      <c r="AC231" s="927"/>
      <c r="AD231" s="927"/>
      <c r="AE231" s="927"/>
    </row>
    <row s="19269" customFormat="1" customHeight="1" ht="11.25">
      <c r="A232" s="1349"/>
      <c r="B232" s="2002"/>
      <c r="C232" s="2002"/>
      <c r="D232" s="712"/>
      <c r="K232" s="1523"/>
      <c r="L232" s="2002"/>
      <c r="M232" s="2002"/>
      <c r="N232" s="1523"/>
      <c r="O232" s="1523"/>
      <c r="P232" s="1523"/>
      <c r="Q232" s="1523"/>
      <c r="R232" s="2002"/>
      <c r="S232" s="1523"/>
      <c r="T232" s="1523"/>
      <c r="U232" s="905"/>
      <c r="V232" s="1523"/>
      <c r="W232" s="1523"/>
      <c r="X232" s="1523"/>
      <c r="Y232" s="1523"/>
      <c r="Z232" s="1523"/>
      <c r="AA232" s="1998"/>
      <c r="AB232" s="927"/>
      <c r="AC232" s="927"/>
      <c r="AD232" s="927"/>
      <c r="AE232" s="927"/>
    </row>
    <row s="19269" customFormat="1" customHeight="1" ht="11.25">
      <c r="A233" s="1349"/>
      <c r="B233" s="2002"/>
      <c r="C233" s="2002"/>
      <c r="D233" s="712"/>
      <c r="K233" s="1523"/>
      <c r="L233" s="2002"/>
      <c r="M233" s="2002"/>
      <c r="N233" s="1523"/>
      <c r="O233" s="1523"/>
      <c r="P233" s="1523"/>
      <c r="Q233" s="1523"/>
      <c r="R233" s="2002"/>
      <c r="S233" s="1523"/>
      <c r="T233" s="1523"/>
      <c r="U233" s="905"/>
      <c r="V233" s="1523"/>
      <c r="W233" s="1523"/>
      <c r="X233" s="1523"/>
      <c r="Y233" s="1523"/>
      <c r="Z233" s="1523"/>
      <c r="AA233" s="1998"/>
      <c r="AB233" s="927"/>
      <c r="AC233" s="927"/>
      <c r="AD233" s="927"/>
      <c r="AE233" s="927"/>
    </row>
    <row s="19269" customFormat="1" customHeight="1" ht="11.25">
      <c r="A234" s="1349"/>
      <c r="B234" s="2002"/>
      <c r="C234" s="2002"/>
      <c r="D234" s="712"/>
      <c r="K234" s="1523"/>
      <c r="L234" s="2002"/>
      <c r="M234" s="2002"/>
      <c r="N234" s="1523"/>
      <c r="O234" s="1523"/>
      <c r="P234" s="1523"/>
      <c r="Q234" s="1523"/>
      <c r="R234" s="2002"/>
      <c r="S234" s="1523"/>
      <c r="T234" s="1523"/>
      <c r="U234" s="905"/>
      <c r="V234" s="1523"/>
      <c r="W234" s="1523"/>
      <c r="X234" s="1523"/>
      <c r="Y234" s="1523"/>
      <c r="Z234" s="1523"/>
      <c r="AA234" s="1998"/>
      <c r="AB234" s="927"/>
      <c r="AC234" s="927"/>
      <c r="AD234" s="927"/>
      <c r="AE234" s="927"/>
    </row>
    <row s="19269" customFormat="1" customHeight="1" ht="11.25">
      <c r="A235" s="1349"/>
      <c r="B235" s="2002"/>
      <c r="C235" s="2002"/>
      <c r="D235" s="712"/>
      <c r="K235" s="1523"/>
      <c r="L235" s="2002"/>
      <c r="M235" s="2002"/>
      <c r="N235" s="1523"/>
      <c r="O235" s="1523"/>
      <c r="P235" s="1523"/>
      <c r="Q235" s="1523"/>
      <c r="R235" s="2002"/>
      <c r="S235" s="1523"/>
      <c r="T235" s="1523"/>
      <c r="U235" s="905"/>
      <c r="V235" s="1523"/>
      <c r="W235" s="1523"/>
      <c r="X235" s="1523"/>
      <c r="Y235" s="1523"/>
      <c r="Z235" s="1523"/>
      <c r="AA235" s="1998"/>
      <c r="AB235" s="927"/>
      <c r="AC235" s="927"/>
      <c r="AD235" s="927"/>
      <c r="AE235" s="927"/>
    </row>
    <row s="19269" customFormat="1" customHeight="1" ht="11.25">
      <c r="A236" s="1349"/>
      <c r="B236" s="2002"/>
      <c r="C236" s="2002"/>
      <c r="D236" s="712"/>
      <c r="K236" s="1523"/>
      <c r="L236" s="2002"/>
      <c r="M236" s="2002"/>
      <c r="N236" s="1523"/>
      <c r="O236" s="1523"/>
      <c r="P236" s="1523"/>
      <c r="Q236" s="1523"/>
      <c r="R236" s="2002"/>
      <c r="S236" s="1523"/>
      <c r="T236" s="1523"/>
      <c r="U236" s="905"/>
      <c r="V236" s="1523"/>
      <c r="W236" s="1523"/>
      <c r="X236" s="1523"/>
      <c r="Y236" s="1523"/>
      <c r="Z236" s="1523"/>
      <c r="AA236" s="1998"/>
      <c r="AB236" s="927"/>
      <c r="AC236" s="927"/>
      <c r="AD236" s="927"/>
      <c r="AE236" s="927"/>
    </row>
    <row s="19269" customFormat="1" customHeight="1" ht="11.25">
      <c r="A237" s="1349"/>
      <c r="B237" s="2002"/>
      <c r="C237" s="2002"/>
      <c r="D237" s="712"/>
      <c r="K237" s="1523"/>
      <c r="L237" s="2002"/>
      <c r="M237" s="2002"/>
      <c r="N237" s="1523"/>
      <c r="O237" s="1523"/>
      <c r="P237" s="1523"/>
      <c r="Q237" s="1523"/>
      <c r="R237" s="2002"/>
      <c r="S237" s="1523"/>
      <c r="T237" s="1523"/>
      <c r="U237" s="905"/>
      <c r="V237" s="1523"/>
      <c r="W237" s="1523"/>
      <c r="X237" s="1523"/>
      <c r="Y237" s="1523"/>
      <c r="Z237" s="1523"/>
      <c r="AA237" s="1998"/>
      <c r="AB237" s="927"/>
      <c r="AC237" s="927"/>
      <c r="AD237" s="927"/>
      <c r="AE237" s="927"/>
    </row>
    <row s="19269" customFormat="1" customHeight="1" ht="11.25">
      <c r="A238" s="1349"/>
      <c r="B238" s="2002"/>
      <c r="C238" s="2002"/>
      <c r="D238" s="712"/>
      <c r="K238" s="1523"/>
      <c r="L238" s="2002"/>
      <c r="M238" s="2002"/>
      <c r="N238" s="1523"/>
      <c r="O238" s="1523"/>
      <c r="P238" s="1523"/>
      <c r="Q238" s="1523"/>
      <c r="R238" s="2002"/>
      <c r="S238" s="1523"/>
      <c r="T238" s="1523"/>
      <c r="U238" s="905"/>
      <c r="V238" s="1523"/>
      <c r="W238" s="1523"/>
      <c r="X238" s="1523"/>
      <c r="Y238" s="1523"/>
      <c r="Z238" s="1523"/>
      <c r="AA238" s="1998"/>
      <c r="AB238" s="927"/>
      <c r="AC238" s="927"/>
      <c r="AD238" s="927"/>
      <c r="AE238" s="927"/>
    </row>
    <row s="19269" customFormat="1" customHeight="1" ht="11.25">
      <c r="A239" s="1349"/>
      <c r="B239" s="2002"/>
      <c r="C239" s="2002"/>
      <c r="D239" s="712"/>
      <c r="K239" s="1523"/>
      <c r="L239" s="2002"/>
      <c r="M239" s="2002"/>
      <c r="N239" s="1523"/>
      <c r="O239" s="1523"/>
      <c r="P239" s="1523"/>
      <c r="Q239" s="1523"/>
      <c r="R239" s="2002"/>
      <c r="S239" s="1523"/>
      <c r="T239" s="1523"/>
      <c r="U239" s="905"/>
      <c r="V239" s="1523"/>
      <c r="W239" s="1523"/>
      <c r="X239" s="1523"/>
      <c r="Y239" s="1523"/>
      <c r="Z239" s="1523"/>
      <c r="AA239" s="1998"/>
      <c r="AB239" s="927"/>
      <c r="AC239" s="927"/>
      <c r="AD239" s="927"/>
      <c r="AE239" s="927"/>
    </row>
    <row s="19269" customFormat="1" customHeight="1" ht="11.25">
      <c r="A240" s="1349"/>
      <c r="B240" s="2002"/>
      <c r="C240" s="2002"/>
      <c r="D240" s="712"/>
      <c r="K240" s="1523"/>
      <c r="L240" s="2002"/>
      <c r="M240" s="2002"/>
      <c r="N240" s="1523"/>
      <c r="O240" s="1523"/>
      <c r="P240" s="1523"/>
      <c r="Q240" s="1523"/>
      <c r="R240" s="2002"/>
      <c r="S240" s="1523"/>
      <c r="T240" s="1523"/>
      <c r="U240" s="905"/>
      <c r="V240" s="1523"/>
      <c r="W240" s="1523"/>
      <c r="X240" s="1523"/>
      <c r="Y240" s="1523"/>
      <c r="Z240" s="1523"/>
      <c r="AA240" s="1998"/>
      <c r="AB240" s="927"/>
      <c r="AC240" s="927"/>
      <c r="AD240" s="927"/>
      <c r="AE240" s="927"/>
    </row>
    <row s="19269" customFormat="1" customHeight="1" ht="11.25">
      <c r="A241" s="1349"/>
      <c r="B241" s="2002"/>
      <c r="C241" s="2002"/>
      <c r="D241" s="712"/>
      <c r="K241" s="1523"/>
      <c r="L241" s="2002"/>
      <c r="M241" s="2002"/>
      <c r="N241" s="1523"/>
      <c r="O241" s="1523"/>
      <c r="P241" s="1523"/>
      <c r="Q241" s="1523"/>
      <c r="R241" s="2002"/>
      <c r="S241" s="1523"/>
      <c r="T241" s="1523"/>
      <c r="U241" s="905"/>
      <c r="V241" s="1523"/>
      <c r="W241" s="1523"/>
      <c r="X241" s="1523"/>
      <c r="Y241" s="1523"/>
      <c r="Z241" s="1523"/>
      <c r="AA241" s="1998"/>
      <c r="AB241" s="927"/>
      <c r="AC241" s="927"/>
      <c r="AD241" s="927"/>
      <c r="AE241" s="927"/>
    </row>
    <row s="19269" customFormat="1" customHeight="1" ht="11.25">
      <c r="A242" s="1349"/>
      <c r="B242" s="2002"/>
      <c r="C242" s="2002"/>
      <c r="D242" s="712"/>
      <c r="K242" s="1523"/>
      <c r="L242" s="2002"/>
      <c r="M242" s="2002"/>
      <c r="N242" s="1523"/>
      <c r="O242" s="1523"/>
      <c r="P242" s="1523"/>
      <c r="Q242" s="1523"/>
      <c r="R242" s="2002"/>
      <c r="S242" s="1523"/>
      <c r="T242" s="1523"/>
      <c r="U242" s="905"/>
      <c r="V242" s="1523"/>
      <c r="W242" s="1523"/>
      <c r="X242" s="1523"/>
      <c r="Y242" s="1523"/>
      <c r="Z242" s="1523"/>
      <c r="AA242" s="1998"/>
      <c r="AB242" s="927"/>
      <c r="AC242" s="927"/>
      <c r="AD242" s="927"/>
      <c r="AE242" s="927"/>
    </row>
    <row s="19269" customFormat="1" customHeight="1" ht="11.25">
      <c r="A243" s="1349"/>
      <c r="B243" s="2002"/>
      <c r="C243" s="2002"/>
      <c r="D243" s="712"/>
      <c r="K243" s="1523"/>
      <c r="L243" s="2002"/>
      <c r="M243" s="2002"/>
      <c r="N243" s="1523"/>
      <c r="O243" s="1523"/>
      <c r="P243" s="1523"/>
      <c r="Q243" s="1523"/>
      <c r="R243" s="2002"/>
      <c r="S243" s="1523"/>
      <c r="T243" s="1523"/>
      <c r="U243" s="905"/>
      <c r="V243" s="1523"/>
      <c r="W243" s="1523"/>
      <c r="X243" s="1523"/>
      <c r="Y243" s="1523"/>
      <c r="Z243" s="1523"/>
      <c r="AA243" s="1998"/>
      <c r="AB243" s="927"/>
      <c r="AC243" s="927"/>
      <c r="AD243" s="927"/>
      <c r="AE243" s="927"/>
    </row>
    <row s="19269" customFormat="1" customHeight="1" ht="11.25">
      <c r="A244" s="1349"/>
      <c r="B244" s="2002"/>
      <c r="C244" s="2002"/>
      <c r="D244" s="712"/>
      <c r="K244" s="1523"/>
      <c r="L244" s="2002"/>
      <c r="M244" s="2002"/>
      <c r="N244" s="1523"/>
      <c r="O244" s="1523"/>
      <c r="P244" s="1523"/>
      <c r="Q244" s="1523"/>
      <c r="R244" s="2002"/>
      <c r="S244" s="1523"/>
      <c r="T244" s="1523"/>
      <c r="U244" s="905"/>
      <c r="V244" s="1523"/>
      <c r="W244" s="1523"/>
      <c r="X244" s="1523"/>
      <c r="Y244" s="1523"/>
      <c r="Z244" s="1523"/>
      <c r="AA244" s="1998"/>
      <c r="AB244" s="927"/>
      <c r="AC244" s="927"/>
      <c r="AD244" s="927"/>
      <c r="AE244" s="927"/>
    </row>
    <row s="19269" customFormat="1" customHeight="1" ht="11.25">
      <c r="A245" s="1349"/>
      <c r="B245" s="2002"/>
      <c r="C245" s="2002"/>
      <c r="D245" s="712"/>
      <c r="K245" s="1523"/>
      <c r="L245" s="2002"/>
      <c r="M245" s="2002"/>
      <c r="N245" s="1523"/>
      <c r="O245" s="1523"/>
      <c r="P245" s="1523"/>
      <c r="Q245" s="1523"/>
      <c r="R245" s="2002"/>
      <c r="S245" s="1523"/>
      <c r="T245" s="1523"/>
      <c r="U245" s="905"/>
      <c r="V245" s="1523"/>
      <c r="W245" s="1523"/>
      <c r="X245" s="1523"/>
      <c r="Y245" s="1523"/>
      <c r="Z245" s="1523"/>
      <c r="AA245" s="1998"/>
      <c r="AB245" s="927"/>
      <c r="AC245" s="927"/>
      <c r="AD245" s="927"/>
      <c r="AE245" s="927"/>
    </row>
    <row s="19269" customFormat="1" customHeight="1" ht="11.25">
      <c r="A246" s="1349"/>
      <c r="B246" s="2002"/>
      <c r="C246" s="2002"/>
      <c r="D246" s="712"/>
      <c r="K246" s="1523"/>
      <c r="L246" s="2002"/>
      <c r="M246" s="2002"/>
      <c r="N246" s="1523"/>
      <c r="O246" s="1523"/>
      <c r="P246" s="1523"/>
      <c r="Q246" s="1523"/>
      <c r="R246" s="2002"/>
      <c r="S246" s="1523"/>
      <c r="T246" s="1523"/>
      <c r="U246" s="905"/>
      <c r="V246" s="1523"/>
      <c r="W246" s="1523"/>
      <c r="X246" s="1523"/>
      <c r="Y246" s="1523"/>
      <c r="Z246" s="1523"/>
      <c r="AA246" s="1998"/>
      <c r="AB246" s="927"/>
      <c r="AC246" s="927"/>
      <c r="AD246" s="927"/>
      <c r="AE246" s="927"/>
    </row>
    <row s="19269" customFormat="1" customHeight="1" ht="11.25">
      <c r="A247" s="1349"/>
      <c r="B247" s="2002"/>
      <c r="C247" s="2002"/>
      <c r="D247" s="712"/>
      <c r="K247" s="1523"/>
      <c r="L247" s="2002"/>
      <c r="M247" s="2002"/>
      <c r="N247" s="1523"/>
      <c r="O247" s="1523"/>
      <c r="P247" s="1523"/>
      <c r="Q247" s="1523"/>
      <c r="R247" s="2002"/>
      <c r="S247" s="1523"/>
      <c r="T247" s="1523"/>
      <c r="U247" s="905"/>
      <c r="V247" s="1523"/>
      <c r="W247" s="1523"/>
      <c r="X247" s="1523"/>
      <c r="Y247" s="1523"/>
      <c r="Z247" s="1523"/>
      <c r="AA247" s="1998"/>
      <c r="AB247" s="927"/>
      <c r="AC247" s="927"/>
      <c r="AD247" s="927"/>
      <c r="AE247" s="927"/>
    </row>
    <row s="19269" customFormat="1" customHeight="1" ht="11.25">
      <c r="A248" s="1349"/>
      <c r="B248" s="2002"/>
      <c r="C248" s="2002"/>
      <c r="D248" s="712"/>
      <c r="K248" s="1523"/>
      <c r="L248" s="2002"/>
      <c r="M248" s="2002"/>
      <c r="N248" s="1523"/>
      <c r="O248" s="1523"/>
      <c r="P248" s="1523"/>
      <c r="Q248" s="1523"/>
      <c r="R248" s="2002"/>
      <c r="S248" s="1523"/>
      <c r="T248" s="1523"/>
      <c r="U248" s="905"/>
      <c r="V248" s="1523"/>
      <c r="W248" s="1523"/>
      <c r="X248" s="1523"/>
      <c r="Y248" s="1523"/>
      <c r="Z248" s="1523"/>
      <c r="AA248" s="1998"/>
      <c r="AB248" s="927"/>
      <c r="AC248" s="927"/>
      <c r="AD248" s="927"/>
      <c r="AE248" s="927"/>
    </row>
    <row s="19269" customFormat="1" customHeight="1" ht="11.25">
      <c r="A249" s="1349"/>
      <c r="B249" s="2002"/>
      <c r="C249" s="2002"/>
      <c r="D249" s="712"/>
      <c r="K249" s="1523"/>
      <c r="L249" s="2002"/>
      <c r="M249" s="2002"/>
      <c r="N249" s="1523"/>
      <c r="O249" s="1523"/>
      <c r="P249" s="1523"/>
      <c r="Q249" s="1523"/>
      <c r="R249" s="2002"/>
      <c r="S249" s="1523"/>
      <c r="T249" s="1523"/>
      <c r="U249" s="905"/>
      <c r="V249" s="1523"/>
      <c r="W249" s="1523"/>
      <c r="X249" s="1523"/>
      <c r="Y249" s="1523"/>
      <c r="Z249" s="1523"/>
      <c r="AA249" s="1998"/>
      <c r="AB249" s="927"/>
      <c r="AC249" s="927"/>
      <c r="AD249" s="927"/>
      <c r="AE249" s="927"/>
    </row>
    <row s="19269" customFormat="1" customHeight="1" ht="11.25">
      <c r="A250" s="1349"/>
      <c r="B250" s="2002"/>
      <c r="C250" s="2002"/>
      <c r="D250" s="712"/>
      <c r="K250" s="1523"/>
      <c r="L250" s="2002"/>
      <c r="M250" s="2002"/>
      <c r="N250" s="1523"/>
      <c r="O250" s="1523"/>
      <c r="P250" s="1523"/>
      <c r="Q250" s="1523"/>
      <c r="R250" s="2002"/>
      <c r="S250" s="1523"/>
      <c r="T250" s="1523"/>
      <c r="U250" s="905"/>
      <c r="V250" s="1523"/>
      <c r="W250" s="1523"/>
      <c r="X250" s="1523"/>
      <c r="Y250" s="1523"/>
      <c r="Z250" s="1523"/>
      <c r="AA250" s="1998"/>
      <c r="AB250" s="927"/>
      <c r="AC250" s="927"/>
      <c r="AD250" s="927"/>
      <c r="AE250" s="927"/>
    </row>
    <row s="19269" customFormat="1" customHeight="1" ht="11.25">
      <c r="A251" s="1349"/>
      <c r="B251" s="2002"/>
      <c r="C251" s="2002"/>
      <c r="D251" s="712"/>
      <c r="K251" s="1523"/>
      <c r="L251" s="2002"/>
      <c r="M251" s="2002"/>
      <c r="N251" s="1523"/>
      <c r="O251" s="1523"/>
      <c r="P251" s="1523"/>
      <c r="Q251" s="1523"/>
      <c r="R251" s="2002"/>
      <c r="S251" s="1523"/>
      <c r="T251" s="1523"/>
      <c r="U251" s="905"/>
      <c r="V251" s="1523"/>
      <c r="W251" s="1523"/>
      <c r="X251" s="1523"/>
      <c r="Y251" s="1523"/>
      <c r="Z251" s="1523"/>
      <c r="AA251" s="1998"/>
      <c r="AB251" s="927"/>
      <c r="AC251" s="927"/>
      <c r="AD251" s="927"/>
      <c r="AE251" s="927"/>
    </row>
    <row s="19269" customFormat="1" customHeight="1" ht="11.25">
      <c r="A252" s="1349"/>
      <c r="B252" s="2002"/>
      <c r="C252" s="2002"/>
      <c r="D252" s="712"/>
      <c r="K252" s="1523"/>
      <c r="L252" s="2002"/>
      <c r="M252" s="2002"/>
      <c r="N252" s="1523"/>
      <c r="O252" s="1523"/>
      <c r="P252" s="1523"/>
      <c r="Q252" s="1523"/>
      <c r="R252" s="2002"/>
      <c r="S252" s="1523"/>
      <c r="T252" s="1523"/>
      <c r="U252" s="905"/>
      <c r="V252" s="1523"/>
      <c r="W252" s="1523"/>
      <c r="X252" s="1523"/>
      <c r="Y252" s="1523"/>
      <c r="Z252" s="1523"/>
      <c r="AA252" s="1998"/>
      <c r="AB252" s="927"/>
      <c r="AC252" s="927"/>
      <c r="AD252" s="927"/>
      <c r="AE252" s="927"/>
    </row>
    <row s="19269" customFormat="1" customHeight="1" ht="11.25">
      <c r="A253" s="1349"/>
      <c r="B253" s="2002"/>
      <c r="C253" s="2002"/>
      <c r="D253" s="712"/>
      <c r="K253" s="1523"/>
      <c r="L253" s="2002"/>
      <c r="M253" s="2002"/>
      <c r="N253" s="1523"/>
      <c r="O253" s="1523"/>
      <c r="P253" s="1523"/>
      <c r="Q253" s="1523"/>
      <c r="R253" s="2002"/>
      <c r="S253" s="1523"/>
      <c r="T253" s="1523"/>
      <c r="U253" s="905"/>
      <c r="V253" s="1523"/>
      <c r="W253" s="1523"/>
      <c r="X253" s="1523"/>
      <c r="Y253" s="1523"/>
      <c r="Z253" s="1523"/>
      <c r="AA253" s="1998"/>
      <c r="AB253" s="927"/>
      <c r="AC253" s="927"/>
      <c r="AD253" s="927"/>
      <c r="AE253" s="927"/>
    </row>
    <row s="19269" customFormat="1" customHeight="1" ht="11.25">
      <c r="A254" s="1349"/>
      <c r="B254" s="2002"/>
      <c r="C254" s="2002"/>
      <c r="D254" s="712"/>
      <c r="K254" s="1523"/>
      <c r="L254" s="2002"/>
      <c r="M254" s="2002"/>
      <c r="N254" s="1523"/>
      <c r="O254" s="1523"/>
      <c r="P254" s="1523"/>
      <c r="Q254" s="1523"/>
      <c r="R254" s="2002"/>
      <c r="S254" s="1523"/>
      <c r="T254" s="1523"/>
      <c r="U254" s="905"/>
      <c r="V254" s="1523"/>
      <c r="W254" s="1523"/>
      <c r="X254" s="1523"/>
      <c r="Y254" s="1523"/>
      <c r="Z254" s="1523"/>
      <c r="AA254" s="1998"/>
      <c r="AB254" s="927"/>
      <c r="AC254" s="927"/>
      <c r="AD254" s="927"/>
      <c r="AE254" s="927"/>
    </row>
    <row s="19269" customFormat="1" customHeight="1" ht="11.25">
      <c r="A255" s="1349"/>
      <c r="B255" s="2002"/>
      <c r="C255" s="2002"/>
      <c r="D255" s="712"/>
      <c r="K255" s="1523"/>
      <c r="L255" s="2002"/>
      <c r="M255" s="2002"/>
      <c r="N255" s="1523"/>
      <c r="O255" s="1523"/>
      <c r="P255" s="1523"/>
      <c r="Q255" s="1523"/>
      <c r="R255" s="2002"/>
      <c r="S255" s="1523"/>
      <c r="T255" s="1523"/>
      <c r="U255" s="905"/>
      <c r="V255" s="1523"/>
      <c r="W255" s="1523"/>
      <c r="X255" s="1523"/>
      <c r="Y255" s="1523"/>
      <c r="Z255" s="1523"/>
      <c r="AA255" s="1998"/>
      <c r="AB255" s="927"/>
      <c r="AC255" s="927"/>
      <c r="AD255" s="927"/>
      <c r="AE255" s="927"/>
    </row>
    <row s="19269" customFormat="1" customHeight="1" ht="11.25">
      <c r="A256" s="1349"/>
      <c r="B256" s="2002"/>
      <c r="C256" s="2002"/>
      <c r="D256" s="712"/>
      <c r="K256" s="1523"/>
      <c r="L256" s="2002"/>
      <c r="M256" s="2002"/>
      <c r="N256" s="1523"/>
      <c r="O256" s="1523"/>
      <c r="P256" s="1523"/>
      <c r="Q256" s="1523"/>
      <c r="R256" s="2002"/>
      <c r="S256" s="1523"/>
      <c r="T256" s="1523"/>
      <c r="U256" s="905"/>
      <c r="V256" s="1523"/>
      <c r="W256" s="1523"/>
      <c r="X256" s="1523"/>
      <c r="Y256" s="1523"/>
      <c r="Z256" s="1523"/>
      <c r="AA256" s="1998"/>
      <c r="AB256" s="927"/>
      <c r="AC256" s="927"/>
      <c r="AD256" s="927"/>
      <c r="AE256" s="927"/>
    </row>
    <row s="19269" customFormat="1" customHeight="1" ht="11.25">
      <c r="A257" s="1349"/>
      <c r="B257" s="2002"/>
      <c r="C257" s="2002"/>
      <c r="D257" s="712"/>
      <c r="K257" s="1523"/>
      <c r="L257" s="2002"/>
      <c r="M257" s="2002"/>
      <c r="N257" s="1523"/>
      <c r="O257" s="1523"/>
      <c r="P257" s="1523"/>
      <c r="Q257" s="1523"/>
      <c r="R257" s="2002"/>
      <c r="S257" s="1523"/>
      <c r="T257" s="1523"/>
      <c r="U257" s="905"/>
      <c r="V257" s="1523"/>
      <c r="W257" s="1523"/>
      <c r="X257" s="1523"/>
      <c r="Y257" s="1523"/>
      <c r="Z257" s="1523"/>
      <c r="AA257" s="1998"/>
      <c r="AB257" s="927"/>
      <c r="AC257" s="927"/>
      <c r="AD257" s="927"/>
      <c r="AE257" s="927"/>
    </row>
    <row s="19269" customFormat="1" customHeight="1" ht="11.25">
      <c r="A258" s="1349"/>
      <c r="B258" s="2002"/>
      <c r="C258" s="2002"/>
      <c r="D258" s="712"/>
      <c r="K258" s="1523"/>
      <c r="L258" s="2002"/>
      <c r="M258" s="2002"/>
      <c r="N258" s="1523"/>
      <c r="O258" s="1523"/>
      <c r="P258" s="1523"/>
      <c r="Q258" s="1523"/>
      <c r="R258" s="2002"/>
      <c r="S258" s="1523"/>
      <c r="T258" s="1523"/>
      <c r="U258" s="905"/>
      <c r="V258" s="1523"/>
      <c r="W258" s="1523"/>
      <c r="X258" s="1523"/>
      <c r="Y258" s="1523"/>
      <c r="Z258" s="1523"/>
      <c r="AA258" s="1998"/>
      <c r="AB258" s="927"/>
      <c r="AC258" s="927"/>
      <c r="AD258" s="927"/>
      <c r="AE258" s="927"/>
    </row>
    <row s="19269" customFormat="1" customHeight="1" ht="11.25">
      <c r="A259" s="1349"/>
      <c r="B259" s="2002"/>
      <c r="C259" s="2002"/>
      <c r="D259" s="712"/>
      <c r="K259" s="1523"/>
      <c r="L259" s="2002"/>
      <c r="M259" s="2002"/>
      <c r="N259" s="1523"/>
      <c r="O259" s="1523"/>
      <c r="P259" s="1523"/>
      <c r="Q259" s="1523"/>
      <c r="R259" s="2002"/>
      <c r="S259" s="1523"/>
      <c r="T259" s="1523"/>
      <c r="U259" s="905"/>
      <c r="V259" s="1523"/>
      <c r="W259" s="1523"/>
      <c r="X259" s="1523"/>
      <c r="Y259" s="1523"/>
      <c r="Z259" s="1523"/>
      <c r="AA259" s="1998"/>
      <c r="AB259" s="927"/>
      <c r="AC259" s="927"/>
      <c r="AD259" s="927"/>
      <c r="AE259" s="927"/>
    </row>
    <row s="19269" customFormat="1" customHeight="1" ht="11.25">
      <c r="A260" s="1349"/>
      <c r="B260" s="2002"/>
      <c r="C260" s="2002"/>
      <c r="D260" s="712"/>
      <c r="K260" s="1523"/>
      <c r="L260" s="2002"/>
      <c r="M260" s="2002"/>
      <c r="N260" s="1523"/>
      <c r="O260" s="1523"/>
      <c r="P260" s="1523"/>
      <c r="Q260" s="1523"/>
      <c r="R260" s="2002"/>
      <c r="S260" s="1523"/>
      <c r="T260" s="1523"/>
      <c r="U260" s="905"/>
      <c r="V260" s="1523"/>
      <c r="W260" s="1523"/>
      <c r="X260" s="1523"/>
      <c r="Y260" s="1523"/>
      <c r="Z260" s="1523"/>
      <c r="AA260" s="1998"/>
      <c r="AB260" s="927"/>
      <c r="AC260" s="927"/>
      <c r="AD260" s="927"/>
      <c r="AE260" s="927"/>
    </row>
    <row s="19269" customFormat="1" customHeight="1" ht="11.25">
      <c r="A261" s="1349"/>
      <c r="B261" s="2002"/>
      <c r="C261" s="2002"/>
      <c r="D261" s="712"/>
      <c r="K261" s="1523"/>
      <c r="L261" s="2002"/>
      <c r="M261" s="2002"/>
      <c r="N261" s="1523"/>
      <c r="O261" s="1523"/>
      <c r="P261" s="1523"/>
      <c r="Q261" s="1523"/>
      <c r="R261" s="2002"/>
      <c r="S261" s="1523"/>
      <c r="T261" s="1523"/>
      <c r="U261" s="905"/>
      <c r="V261" s="1523"/>
      <c r="W261" s="1523"/>
      <c r="X261" s="1523"/>
      <c r="Y261" s="1523"/>
      <c r="Z261" s="1523"/>
      <c r="AA261" s="1998"/>
      <c r="AB261" s="927"/>
      <c r="AC261" s="927"/>
      <c r="AD261" s="927"/>
      <c r="AE261" s="927"/>
    </row>
    <row s="19269" customFormat="1" customHeight="1" ht="11.25">
      <c r="A262" s="1349"/>
      <c r="B262" s="2002"/>
      <c r="C262" s="2002"/>
      <c r="D262" s="712"/>
      <c r="K262" s="1523"/>
      <c r="L262" s="2002"/>
      <c r="M262" s="2002"/>
      <c r="N262" s="1523"/>
      <c r="O262" s="1523"/>
      <c r="P262" s="1523"/>
      <c r="Q262" s="1523"/>
      <c r="R262" s="2002"/>
      <c r="S262" s="1523"/>
      <c r="T262" s="1523"/>
      <c r="U262" s="905"/>
      <c r="V262" s="1523"/>
      <c r="W262" s="1523"/>
      <c r="X262" s="1523"/>
      <c r="Y262" s="1523"/>
      <c r="Z262" s="1523"/>
      <c r="AA262" s="1998"/>
      <c r="AB262" s="927"/>
      <c r="AC262" s="927"/>
      <c r="AD262" s="927"/>
      <c r="AE262" s="927"/>
    </row>
    <row s="19269" customFormat="1" customHeight="1" ht="11.25">
      <c r="A263" s="1349"/>
      <c r="B263" s="2002"/>
      <c r="C263" s="2002"/>
      <c r="D263" s="712"/>
      <c r="K263" s="1523"/>
      <c r="L263" s="2002"/>
      <c r="M263" s="2002"/>
      <c r="N263" s="1523"/>
      <c r="O263" s="1523"/>
      <c r="P263" s="1523"/>
      <c r="Q263" s="1523"/>
      <c r="R263" s="2002"/>
      <c r="S263" s="1523"/>
      <c r="T263" s="1523"/>
      <c r="U263" s="905"/>
      <c r="V263" s="1523"/>
      <c r="W263" s="1523"/>
      <c r="X263" s="1523"/>
      <c r="Y263" s="1523"/>
      <c r="Z263" s="1523"/>
      <c r="AA263" s="1998"/>
      <c r="AB263" s="927"/>
      <c r="AC263" s="927"/>
      <c r="AD263" s="927"/>
      <c r="AE263" s="927"/>
    </row>
    <row s="19269" customFormat="1" customHeight="1" ht="11.25">
      <c r="A264" s="1349"/>
      <c r="B264" s="2002"/>
      <c r="C264" s="2002"/>
      <c r="D264" s="712"/>
      <c r="K264" s="1523"/>
      <c r="L264" s="2002"/>
      <c r="M264" s="2002"/>
      <c r="N264" s="1523"/>
      <c r="O264" s="1523"/>
      <c r="P264" s="1523"/>
      <c r="Q264" s="1523"/>
      <c r="R264" s="2002"/>
      <c r="S264" s="1523"/>
      <c r="T264" s="1523"/>
      <c r="U264" s="905"/>
      <c r="V264" s="1523"/>
      <c r="W264" s="1523"/>
      <c r="X264" s="1523"/>
      <c r="Y264" s="1523"/>
      <c r="Z264" s="1523"/>
      <c r="AA264" s="1998"/>
      <c r="AB264" s="927"/>
      <c r="AC264" s="927"/>
      <c r="AD264" s="927"/>
      <c r="AE264" s="927"/>
    </row>
    <row s="19269" customFormat="1" customHeight="1" ht="11.25">
      <c r="A265" s="1349"/>
      <c r="B265" s="2002"/>
      <c r="C265" s="2002"/>
      <c r="D265" s="712"/>
      <c r="K265" s="1523"/>
      <c r="L265" s="2002"/>
      <c r="M265" s="2002"/>
      <c r="N265" s="1523"/>
      <c r="O265" s="1523"/>
      <c r="P265" s="1523"/>
      <c r="Q265" s="1523"/>
      <c r="R265" s="2002"/>
      <c r="S265" s="1523"/>
      <c r="T265" s="1523"/>
      <c r="U265" s="905"/>
      <c r="V265" s="1523"/>
      <c r="W265" s="1523"/>
      <c r="X265" s="1523"/>
      <c r="Y265" s="1523"/>
      <c r="Z265" s="1523"/>
      <c r="AA265" s="1998"/>
      <c r="AB265" s="927"/>
      <c r="AC265" s="927"/>
      <c r="AD265" s="927"/>
      <c r="AE265" s="927"/>
    </row>
    <row s="19269" customFormat="1" customHeight="1" ht="11.25">
      <c r="A266" s="1349"/>
      <c r="B266" s="2002"/>
      <c r="C266" s="2002"/>
      <c r="D266" s="712"/>
      <c r="K266" s="1523"/>
      <c r="L266" s="2002"/>
      <c r="M266" s="2002"/>
      <c r="N266" s="1523"/>
      <c r="O266" s="1523"/>
      <c r="P266" s="1523"/>
      <c r="Q266" s="1523"/>
      <c r="R266" s="2002"/>
      <c r="S266" s="1523"/>
      <c r="T266" s="1523"/>
      <c r="U266" s="905"/>
      <c r="V266" s="1523"/>
      <c r="W266" s="1523"/>
      <c r="X266" s="1523"/>
      <c r="Y266" s="1523"/>
      <c r="Z266" s="1523"/>
      <c r="AA266" s="1998"/>
      <c r="AB266" s="927"/>
      <c r="AC266" s="927"/>
      <c r="AD266" s="927"/>
      <c r="AE266" s="927"/>
    </row>
    <row s="19269" customFormat="1" customHeight="1" ht="11.25">
      <c r="A267" s="1349"/>
      <c r="B267" s="2002"/>
      <c r="C267" s="2002"/>
      <c r="D267" s="712"/>
      <c r="K267" s="1523"/>
      <c r="L267" s="2002"/>
      <c r="M267" s="2002"/>
      <c r="N267" s="1523"/>
      <c r="O267" s="1523"/>
      <c r="P267" s="1523"/>
      <c r="Q267" s="1523"/>
      <c r="R267" s="2002"/>
      <c r="S267" s="1523"/>
      <c r="T267" s="1523"/>
      <c r="U267" s="905"/>
      <c r="V267" s="1523"/>
      <c r="W267" s="1523"/>
      <c r="X267" s="1523"/>
      <c r="Y267" s="1523"/>
      <c r="Z267" s="1523"/>
      <c r="AA267" s="1998"/>
      <c r="AB267" s="927"/>
      <c r="AC267" s="927"/>
      <c r="AD267" s="927"/>
      <c r="AE267" s="927"/>
    </row>
    <row s="19269" customFormat="1" customHeight="1" ht="11.25">
      <c r="A268" s="1349"/>
      <c r="B268" s="2002"/>
      <c r="C268" s="2002"/>
      <c r="D268" s="712"/>
      <c r="K268" s="1523"/>
      <c r="L268" s="2002"/>
      <c r="M268" s="2002"/>
      <c r="N268" s="1523"/>
      <c r="O268" s="1523"/>
      <c r="P268" s="1523"/>
      <c r="Q268" s="1523"/>
      <c r="R268" s="2002"/>
      <c r="S268" s="1523"/>
      <c r="T268" s="1523"/>
      <c r="U268" s="905"/>
      <c r="V268" s="1523"/>
      <c r="W268" s="1523"/>
      <c r="X268" s="1523"/>
      <c r="Y268" s="1523"/>
      <c r="Z268" s="1523"/>
      <c r="AA268" s="1998"/>
      <c r="AB268" s="927"/>
      <c r="AC268" s="927"/>
      <c r="AD268" s="927"/>
      <c r="AE268" s="927"/>
    </row>
    <row s="19269" customFormat="1" customHeight="1" ht="11.25">
      <c r="A269" s="1349"/>
      <c r="B269" s="2002"/>
      <c r="C269" s="2002"/>
      <c r="D269" s="712"/>
      <c r="K269" s="1523"/>
      <c r="L269" s="2002"/>
      <c r="M269" s="2002"/>
      <c r="N269" s="1523"/>
      <c r="O269" s="1523"/>
      <c r="P269" s="1523"/>
      <c r="Q269" s="1523"/>
      <c r="R269" s="2002"/>
      <c r="S269" s="1523"/>
      <c r="T269" s="1523"/>
      <c r="U269" s="905"/>
      <c r="V269" s="1523"/>
      <c r="W269" s="1523"/>
      <c r="X269" s="1523"/>
      <c r="Y269" s="1523"/>
      <c r="Z269" s="1523"/>
      <c r="AA269" s="1998"/>
      <c r="AB269" s="927"/>
      <c r="AC269" s="927"/>
      <c r="AD269" s="927"/>
      <c r="AE269" s="927"/>
    </row>
    <row s="19269" customFormat="1" customHeight="1" ht="11.25">
      <c r="A270" s="1349"/>
      <c r="B270" s="2002"/>
      <c r="C270" s="2002"/>
      <c r="D270" s="712"/>
      <c r="K270" s="1523"/>
      <c r="L270" s="2002"/>
      <c r="M270" s="2002"/>
      <c r="N270" s="1523"/>
      <c r="O270" s="1523"/>
      <c r="P270" s="1523"/>
      <c r="Q270" s="1523"/>
      <c r="R270" s="2002"/>
      <c r="S270" s="1523"/>
      <c r="T270" s="1523"/>
      <c r="U270" s="905"/>
      <c r="V270" s="1523"/>
      <c r="W270" s="1523"/>
      <c r="X270" s="1523"/>
      <c r="Y270" s="1523"/>
      <c r="Z270" s="1523"/>
      <c r="AA270" s="1998"/>
      <c r="AB270" s="927"/>
      <c r="AC270" s="927"/>
      <c r="AD270" s="927"/>
      <c r="AE270" s="927"/>
    </row>
    <row s="19269" customFormat="1" customHeight="1" ht="11.25">
      <c r="A271" s="1349"/>
      <c r="B271" s="2002"/>
      <c r="C271" s="2002"/>
      <c r="D271" s="712"/>
      <c r="K271" s="1523"/>
      <c r="L271" s="2002"/>
      <c r="M271" s="2002"/>
      <c r="N271" s="1523"/>
      <c r="O271" s="1523"/>
      <c r="P271" s="1523"/>
      <c r="Q271" s="1523"/>
      <c r="R271" s="2002"/>
      <c r="S271" s="1523"/>
      <c r="T271" s="1523"/>
      <c r="U271" s="905"/>
      <c r="V271" s="1523"/>
      <c r="W271" s="1523"/>
      <c r="X271" s="1523"/>
      <c r="Y271" s="1523"/>
      <c r="Z271" s="1523"/>
      <c r="AA271" s="1998"/>
      <c r="AB271" s="927"/>
      <c r="AC271" s="927"/>
      <c r="AD271" s="927"/>
      <c r="AE271" s="927"/>
    </row>
    <row s="19269" customFormat="1" customHeight="1" ht="11.25">
      <c r="A272" s="1349"/>
      <c r="B272" s="2002"/>
      <c r="C272" s="2002"/>
      <c r="D272" s="712"/>
      <c r="K272" s="1523"/>
      <c r="L272" s="2002"/>
      <c r="M272" s="2002"/>
      <c r="N272" s="1523"/>
      <c r="O272" s="1523"/>
      <c r="P272" s="1523"/>
      <c r="Q272" s="1523"/>
      <c r="R272" s="2002"/>
      <c r="S272" s="1523"/>
      <c r="T272" s="1523"/>
      <c r="U272" s="905"/>
      <c r="V272" s="1523"/>
      <c r="W272" s="1523"/>
      <c r="X272" s="1523"/>
      <c r="Y272" s="1523"/>
      <c r="Z272" s="1523"/>
      <c r="AA272" s="1998"/>
      <c r="AB272" s="927"/>
      <c r="AC272" s="927"/>
      <c r="AD272" s="927"/>
      <c r="AE272" s="927"/>
    </row>
    <row s="19269" customFormat="1" customHeight="1" ht="11.25">
      <c r="A273" s="1349"/>
      <c r="B273" s="2002"/>
      <c r="C273" s="2002"/>
      <c r="D273" s="712"/>
      <c r="K273" s="1523"/>
      <c r="L273" s="2002"/>
      <c r="M273" s="2002"/>
      <c r="N273" s="1523"/>
      <c r="O273" s="1523"/>
      <c r="P273" s="1523"/>
      <c r="Q273" s="1523"/>
      <c r="R273" s="2002"/>
      <c r="S273" s="1523"/>
      <c r="T273" s="1523"/>
      <c r="U273" s="905"/>
      <c r="V273" s="1523"/>
      <c r="W273" s="1523"/>
      <c r="X273" s="1523"/>
      <c r="Y273" s="1523"/>
      <c r="Z273" s="1523"/>
      <c r="AA273" s="1998"/>
      <c r="AB273" s="927"/>
      <c r="AC273" s="927"/>
      <c r="AD273" s="927"/>
      <c r="AE273" s="927"/>
    </row>
    <row s="19269" customFormat="1" customHeight="1" ht="11.25">
      <c r="A274" s="1349"/>
      <c r="B274" s="2002"/>
      <c r="C274" s="2002"/>
      <c r="D274" s="712"/>
      <c r="K274" s="1523"/>
      <c r="L274" s="2002"/>
      <c r="M274" s="2002"/>
      <c r="N274" s="1523"/>
      <c r="O274" s="1523"/>
      <c r="P274" s="1523"/>
      <c r="Q274" s="1523"/>
      <c r="R274" s="2002"/>
      <c r="S274" s="1523"/>
      <c r="T274" s="1523"/>
      <c r="U274" s="905"/>
      <c r="V274" s="1523"/>
      <c r="W274" s="1523"/>
      <c r="X274" s="1523"/>
      <c r="Y274" s="1523"/>
      <c r="Z274" s="1523"/>
      <c r="AA274" s="1998"/>
      <c r="AB274" s="927"/>
      <c r="AC274" s="927"/>
      <c r="AD274" s="927"/>
      <c r="AE274" s="927"/>
    </row>
    <row s="19269" customFormat="1" customHeight="1" ht="11.25">
      <c r="A275" s="1349"/>
      <c r="B275" s="2002"/>
      <c r="C275" s="2002"/>
      <c r="D275" s="712"/>
      <c r="K275" s="1523"/>
      <c r="L275" s="2002"/>
      <c r="M275" s="2002"/>
      <c r="N275" s="1523"/>
      <c r="O275" s="1523"/>
      <c r="P275" s="1523"/>
      <c r="Q275" s="1523"/>
      <c r="R275" s="2002"/>
      <c r="S275" s="1523"/>
      <c r="T275" s="1523"/>
      <c r="U275" s="905"/>
      <c r="V275" s="1523"/>
      <c r="W275" s="1523"/>
      <c r="X275" s="1523"/>
      <c r="Y275" s="1523"/>
      <c r="Z275" s="1523"/>
      <c r="AA275" s="1998"/>
      <c r="AB275" s="927"/>
      <c r="AC275" s="927"/>
      <c r="AD275" s="927"/>
      <c r="AE275" s="927"/>
    </row>
    <row s="19269" customFormat="1" customHeight="1" ht="11.25">
      <c r="A276" s="1349"/>
      <c r="B276" s="2002"/>
      <c r="C276" s="2002"/>
      <c r="D276" s="712"/>
      <c r="K276" s="1523"/>
      <c r="L276" s="2002"/>
      <c r="M276" s="2002"/>
      <c r="N276" s="1523"/>
      <c r="O276" s="1523"/>
      <c r="P276" s="1523"/>
      <c r="Q276" s="1523"/>
      <c r="R276" s="2002"/>
      <c r="S276" s="1523"/>
      <c r="T276" s="1523"/>
      <c r="U276" s="905"/>
      <c r="V276" s="1523"/>
      <c r="W276" s="1523"/>
      <c r="X276" s="1523"/>
      <c r="Y276" s="1523"/>
      <c r="Z276" s="1523"/>
      <c r="AA276" s="1998"/>
      <c r="AB276" s="927"/>
      <c r="AC276" s="927"/>
      <c r="AD276" s="927"/>
      <c r="AE276" s="927"/>
    </row>
    <row s="19269" customFormat="1" customHeight="1" ht="11.25">
      <c r="A277" s="1349"/>
      <c r="B277" s="2002"/>
      <c r="C277" s="2002"/>
      <c r="D277" s="712"/>
      <c r="K277" s="1523"/>
      <c r="L277" s="2002"/>
      <c r="M277" s="2002"/>
      <c r="N277" s="1523"/>
      <c r="O277" s="1523"/>
      <c r="P277" s="1523"/>
      <c r="Q277" s="1523"/>
      <c r="R277" s="2002"/>
      <c r="S277" s="1523"/>
      <c r="T277" s="1523"/>
      <c r="U277" s="905"/>
      <c r="V277" s="1523"/>
      <c r="W277" s="1523"/>
      <c r="X277" s="1523"/>
      <c r="Y277" s="1523"/>
      <c r="Z277" s="1523"/>
      <c r="AA277" s="1998"/>
      <c r="AB277" s="927"/>
      <c r="AC277" s="927"/>
      <c r="AD277" s="927"/>
      <c r="AE277" s="927"/>
    </row>
    <row s="19269" customFormat="1" customHeight="1" ht="11.25">
      <c r="A278" s="1349"/>
      <c r="B278" s="2002"/>
      <c r="C278" s="2002"/>
      <c r="D278" s="712"/>
      <c r="K278" s="1523"/>
      <c r="L278" s="2002"/>
      <c r="M278" s="2002"/>
      <c r="N278" s="1523"/>
      <c r="O278" s="1523"/>
      <c r="P278" s="1523"/>
      <c r="Q278" s="1523"/>
      <c r="R278" s="2002"/>
      <c r="S278" s="1523"/>
      <c r="T278" s="1523"/>
      <c r="U278" s="905"/>
      <c r="V278" s="1523"/>
      <c r="W278" s="1523"/>
      <c r="X278" s="1523"/>
      <c r="Y278" s="1523"/>
      <c r="Z278" s="1523"/>
      <c r="AA278" s="1998"/>
      <c r="AB278" s="927"/>
      <c r="AC278" s="927"/>
      <c r="AD278" s="927"/>
      <c r="AE278" s="927"/>
    </row>
    <row s="19269" customFormat="1" customHeight="1" ht="11.25">
      <c r="A279" s="1349"/>
      <c r="B279" s="2002"/>
      <c r="C279" s="2002"/>
      <c r="D279" s="712"/>
      <c r="K279" s="1523"/>
      <c r="L279" s="2002"/>
      <c r="M279" s="2002"/>
      <c r="N279" s="1523"/>
      <c r="O279" s="1523"/>
      <c r="P279" s="1523"/>
      <c r="Q279" s="1523"/>
      <c r="R279" s="2002"/>
      <c r="S279" s="1523"/>
      <c r="T279" s="1523"/>
      <c r="U279" s="905"/>
      <c r="V279" s="1523"/>
      <c r="W279" s="1523"/>
      <c r="X279" s="1523"/>
      <c r="Y279" s="1523"/>
      <c r="Z279" s="1523"/>
      <c r="AA279" s="1998"/>
      <c r="AB279" s="927"/>
      <c r="AC279" s="927"/>
      <c r="AD279" s="927"/>
      <c r="AE279" s="927"/>
    </row>
    <row s="19269" customFormat="1" customHeight="1" ht="11.25">
      <c r="A280" s="1349"/>
      <c r="B280" s="2002"/>
      <c r="C280" s="2002"/>
      <c r="D280" s="712"/>
      <c r="K280" s="1523"/>
      <c r="L280" s="2002"/>
      <c r="M280" s="2002"/>
      <c r="N280" s="1523"/>
      <c r="O280" s="1523"/>
      <c r="P280" s="1523"/>
      <c r="Q280" s="1523"/>
      <c r="R280" s="2002"/>
      <c r="S280" s="1523"/>
      <c r="T280" s="1523"/>
      <c r="U280" s="905"/>
      <c r="V280" s="1523"/>
      <c r="W280" s="1523"/>
      <c r="X280" s="1523"/>
      <c r="Y280" s="1523"/>
      <c r="Z280" s="1523"/>
      <c r="AA280" s="1998"/>
      <c r="AB280" s="927"/>
      <c r="AC280" s="927"/>
      <c r="AD280" s="927"/>
      <c r="AE280" s="927"/>
    </row>
    <row s="19269" customFormat="1" customHeight="1" ht="11.25">
      <c r="A281" s="1349"/>
      <c r="B281" s="2002"/>
      <c r="C281" s="2002"/>
      <c r="D281" s="712"/>
      <c r="K281" s="1523"/>
      <c r="L281" s="2002"/>
      <c r="M281" s="2002"/>
      <c r="N281" s="1523"/>
      <c r="O281" s="1523"/>
      <c r="P281" s="1523"/>
      <c r="Q281" s="1523"/>
      <c r="R281" s="2002"/>
      <c r="S281" s="1523"/>
      <c r="T281" s="1523"/>
      <c r="U281" s="905"/>
      <c r="V281" s="1523"/>
      <c r="W281" s="1523"/>
      <c r="X281" s="1523"/>
      <c r="Y281" s="1523"/>
      <c r="Z281" s="1523"/>
      <c r="AA281" s="1998"/>
      <c r="AB281" s="927"/>
      <c r="AC281" s="927"/>
      <c r="AD281" s="927"/>
      <c r="AE281" s="927"/>
    </row>
    <row s="19269" customFormat="1" customHeight="1" ht="11.25">
      <c r="A282" s="1349"/>
      <c r="B282" s="2002"/>
      <c r="C282" s="2002"/>
      <c r="D282" s="712"/>
      <c r="K282" s="1523"/>
      <c r="L282" s="2002"/>
      <c r="M282" s="2002"/>
      <c r="N282" s="1523"/>
      <c r="O282" s="1523"/>
      <c r="P282" s="1523"/>
      <c r="Q282" s="1523"/>
      <c r="R282" s="2002"/>
      <c r="S282" s="1523"/>
      <c r="T282" s="1523"/>
      <c r="U282" s="905"/>
      <c r="V282" s="1523"/>
      <c r="W282" s="1523"/>
      <c r="X282" s="1523"/>
      <c r="Y282" s="1523"/>
      <c r="Z282" s="1523"/>
      <c r="AA282" s="1998"/>
      <c r="AB282" s="927"/>
      <c r="AC282" s="927"/>
      <c r="AD282" s="927"/>
      <c r="AE282" s="927"/>
    </row>
    <row s="19269" customFormat="1" customHeight="1" ht="11.25">
      <c r="A283" s="1349"/>
      <c r="B283" s="2002"/>
      <c r="C283" s="2002"/>
      <c r="D283" s="712"/>
      <c r="K283" s="1523"/>
      <c r="L283" s="2002"/>
      <c r="M283" s="2002"/>
      <c r="N283" s="1523"/>
      <c r="O283" s="1523"/>
      <c r="P283" s="1523"/>
      <c r="Q283" s="1523"/>
      <c r="R283" s="2002"/>
      <c r="S283" s="1523"/>
      <c r="T283" s="1523"/>
      <c r="U283" s="905"/>
      <c r="V283" s="1523"/>
      <c r="W283" s="1523"/>
      <c r="X283" s="1523"/>
      <c r="Y283" s="1523"/>
      <c r="Z283" s="1523"/>
      <c r="AA283" s="1998"/>
      <c r="AB283" s="927"/>
      <c r="AC283" s="927"/>
      <c r="AD283" s="927"/>
      <c r="AE283" s="927"/>
    </row>
    <row s="19269" customFormat="1" customHeight="1" ht="11.25">
      <c r="A284" s="1349"/>
      <c r="B284" s="2002"/>
      <c r="C284" s="2002"/>
      <c r="D284" s="712"/>
      <c r="K284" s="1523"/>
      <c r="L284" s="2002"/>
      <c r="M284" s="2002"/>
      <c r="N284" s="1523"/>
      <c r="O284" s="1523"/>
      <c r="P284" s="1523"/>
      <c r="Q284" s="1523"/>
      <c r="R284" s="2002"/>
      <c r="S284" s="1523"/>
      <c r="T284" s="1523"/>
      <c r="U284" s="905"/>
      <c r="V284" s="1523"/>
      <c r="W284" s="1523"/>
      <c r="X284" s="1523"/>
      <c r="Y284" s="1523"/>
      <c r="Z284" s="1523"/>
      <c r="AA284" s="1998"/>
      <c r="AB284" s="927"/>
      <c r="AC284" s="927"/>
      <c r="AD284" s="927"/>
      <c r="AE284" s="927"/>
    </row>
    <row s="19269" customFormat="1" customHeight="1" ht="11.25">
      <c r="A285" s="1349"/>
      <c r="B285" s="2002"/>
      <c r="C285" s="2002"/>
      <c r="D285" s="712"/>
      <c r="K285" s="1523"/>
      <c r="L285" s="2002"/>
      <c r="M285" s="2002"/>
      <c r="N285" s="1523"/>
      <c r="O285" s="1523"/>
      <c r="P285" s="1523"/>
      <c r="Q285" s="1523"/>
      <c r="R285" s="2002"/>
      <c r="S285" s="1523"/>
      <c r="T285" s="1523"/>
      <c r="U285" s="905"/>
      <c r="V285" s="1523"/>
      <c r="W285" s="1523"/>
      <c r="X285" s="1523"/>
      <c r="Y285" s="1523"/>
      <c r="Z285" s="1523"/>
      <c r="AA285" s="1998"/>
      <c r="AB285" s="927"/>
      <c r="AC285" s="927"/>
      <c r="AD285" s="927"/>
      <c r="AE285" s="927"/>
    </row>
    <row s="19269" customFormat="1" customHeight="1" ht="11.25">
      <c r="A286" s="1349"/>
      <c r="B286" s="2002"/>
      <c r="C286" s="2002"/>
      <c r="D286" s="712"/>
      <c r="K286" s="1523"/>
      <c r="L286" s="2002"/>
      <c r="M286" s="2002"/>
      <c r="N286" s="1523"/>
      <c r="O286" s="1523"/>
      <c r="P286" s="1523"/>
      <c r="Q286" s="1523"/>
      <c r="R286" s="2002"/>
      <c r="S286" s="1523"/>
      <c r="T286" s="1523"/>
      <c r="U286" s="905"/>
      <c r="V286" s="1523"/>
      <c r="W286" s="1523"/>
      <c r="X286" s="1523"/>
      <c r="Y286" s="1523"/>
      <c r="Z286" s="1523"/>
      <c r="AA286" s="1998"/>
      <c r="AB286" s="927"/>
      <c r="AC286" s="927"/>
      <c r="AD286" s="927"/>
      <c r="AE286" s="927"/>
    </row>
    <row s="19269" customFormat="1" customHeight="1" ht="11.25">
      <c r="A287" s="1349"/>
      <c r="B287" s="2002"/>
      <c r="C287" s="2002"/>
      <c r="D287" s="712"/>
      <c r="K287" s="1523"/>
      <c r="L287" s="2002"/>
      <c r="M287" s="2002"/>
      <c r="N287" s="1523"/>
      <c r="O287" s="1523"/>
      <c r="P287" s="1523"/>
      <c r="Q287" s="1523"/>
      <c r="R287" s="2002"/>
      <c r="S287" s="1523"/>
      <c r="T287" s="1523"/>
      <c r="U287" s="905"/>
      <c r="V287" s="1523"/>
      <c r="W287" s="1523"/>
      <c r="X287" s="1523"/>
      <c r="Y287" s="1523"/>
      <c r="Z287" s="1523"/>
      <c r="AA287" s="1998"/>
      <c r="AB287" s="927"/>
      <c r="AC287" s="927"/>
      <c r="AD287" s="927"/>
      <c r="AE287" s="927"/>
    </row>
    <row s="19269" customFormat="1" customHeight="1" ht="11.25">
      <c r="A288" s="1349"/>
      <c r="B288" s="2002"/>
      <c r="C288" s="2002"/>
      <c r="D288" s="712"/>
      <c r="K288" s="1523"/>
      <c r="L288" s="2002"/>
      <c r="M288" s="2002"/>
      <c r="N288" s="1523"/>
      <c r="O288" s="1523"/>
      <c r="P288" s="1523"/>
      <c r="Q288" s="1523"/>
      <c r="R288" s="2002"/>
      <c r="S288" s="1523"/>
      <c r="T288" s="1523"/>
      <c r="U288" s="905"/>
      <c r="V288" s="1523"/>
      <c r="W288" s="1523"/>
      <c r="X288" s="1523"/>
      <c r="Y288" s="1523"/>
      <c r="Z288" s="1523"/>
      <c r="AA288" s="1998"/>
      <c r="AB288" s="927"/>
      <c r="AC288" s="927"/>
      <c r="AD288" s="927"/>
      <c r="AE288" s="927"/>
    </row>
    <row r="292" customHeight="1" ht="11.25">
      <c r="A292" s="1352"/>
      <c r="B292" s="1997"/>
      <c r="D292" s="1997"/>
      <c r="K292" s="1997"/>
      <c r="N292" s="1997"/>
      <c r="O292" s="1997"/>
      <c r="P292" s="1997"/>
      <c r="Q292" s="1997"/>
      <c r="S292" s="1997"/>
      <c r="T292" s="1997"/>
      <c r="U292" s="1997"/>
      <c r="V292" s="1997"/>
      <c r="W292" s="1997"/>
      <c r="X292" s="1997"/>
      <c r="Y292" s="1997"/>
      <c r="Z292" s="1997"/>
      <c r="AA292" s="1997"/>
      <c r="AB292" s="1997"/>
      <c r="AC292" s="1997"/>
      <c r="AD292" s="1997"/>
      <c r="AE292" s="1997"/>
    </row>
    <row customHeight="1" ht="11.25">
      <c r="A293" s="1352"/>
      <c r="B293" s="1997"/>
      <c r="D293" s="1997"/>
      <c r="K293" s="1997"/>
      <c r="N293" s="1997"/>
      <c r="O293" s="1997"/>
      <c r="P293" s="1997"/>
      <c r="Q293" s="1997"/>
      <c r="S293" s="1997"/>
      <c r="T293" s="1997"/>
      <c r="U293" s="1997"/>
      <c r="V293" s="1997"/>
      <c r="W293" s="1997"/>
      <c r="X293" s="1997"/>
      <c r="Y293" s="1997"/>
      <c r="Z293" s="1997"/>
      <c r="AA293" s="1997"/>
      <c r="AB293" s="1997"/>
      <c r="AC293" s="1997"/>
      <c r="AD293" s="1997"/>
      <c r="AE293" s="1997"/>
    </row>
    <row customHeight="1" ht="11.25">
      <c r="A294" s="1352"/>
      <c r="B294" s="1997"/>
      <c r="D294" s="1997"/>
      <c r="K294" s="1997"/>
      <c r="N294" s="1997"/>
      <c r="O294" s="1997"/>
      <c r="P294" s="1997"/>
      <c r="Q294" s="1997"/>
      <c r="S294" s="1997"/>
      <c r="T294" s="1997"/>
      <c r="U294" s="1997"/>
      <c r="V294" s="1997"/>
      <c r="W294" s="1997"/>
      <c r="X294" s="1997"/>
      <c r="Y294" s="1997"/>
      <c r="Z294" s="1997"/>
      <c r="AA294" s="1997"/>
      <c r="AB294" s="1997"/>
      <c r="AC294" s="1997"/>
      <c r="AD294" s="1997"/>
      <c r="AE294" s="1997"/>
    </row>
    <row customHeight="1" ht="11.25">
      <c r="A295" s="1352"/>
      <c r="B295" s="1997"/>
      <c r="D295" s="1997"/>
      <c r="K295" s="1997"/>
      <c r="N295" s="1997"/>
      <c r="O295" s="1997"/>
      <c r="P295" s="1997"/>
      <c r="Q295" s="1997"/>
      <c r="S295" s="1997"/>
      <c r="T295" s="1997"/>
      <c r="U295" s="1997"/>
      <c r="V295" s="1997"/>
      <c r="W295" s="1997"/>
      <c r="X295" s="1997"/>
      <c r="Y295" s="1997"/>
      <c r="Z295" s="1997"/>
      <c r="AA295" s="1997"/>
      <c r="AB295" s="1997"/>
      <c r="AC295" s="1997"/>
      <c r="AD295" s="1997"/>
      <c r="AE295" s="1997"/>
    </row>
    <row customHeight="1" ht="11.25">
      <c r="A296" s="1352"/>
      <c r="B296" s="1997"/>
      <c r="D296" s="1997"/>
      <c r="K296" s="1997"/>
      <c r="N296" s="1997"/>
      <c r="O296" s="1997"/>
      <c r="P296" s="1997"/>
      <c r="Q296" s="1997"/>
      <c r="S296" s="1997"/>
      <c r="T296" s="1997"/>
      <c r="U296" s="1997"/>
      <c r="V296" s="1997"/>
      <c r="W296" s="1997"/>
      <c r="X296" s="1997"/>
      <c r="Y296" s="1997"/>
      <c r="Z296" s="1997"/>
      <c r="AA296" s="1997"/>
      <c r="AB296" s="1997"/>
      <c r="AC296" s="1997"/>
      <c r="AD296" s="1997"/>
      <c r="AE296" s="1997"/>
    </row>
    <row customHeight="1" ht="11.25">
      <c r="A297" s="1352"/>
      <c r="B297" s="1997"/>
      <c r="D297" s="1997"/>
      <c r="K297" s="1997"/>
      <c r="N297" s="1997"/>
      <c r="O297" s="1997"/>
      <c r="P297" s="1997"/>
      <c r="Q297" s="1997"/>
      <c r="S297" s="1997"/>
      <c r="T297" s="1997"/>
      <c r="U297" s="1997"/>
      <c r="V297" s="1997"/>
      <c r="W297" s="1997"/>
      <c r="X297" s="1997"/>
      <c r="Y297" s="1997"/>
      <c r="Z297" s="1997"/>
      <c r="AA297" s="1997"/>
      <c r="AB297" s="1997"/>
      <c r="AC297" s="1997"/>
      <c r="AD297" s="1997"/>
      <c r="AE297" s="1997"/>
    </row>
    <row customHeight="1" ht="11.25">
      <c r="A298" s="1352"/>
      <c r="B298" s="1997"/>
      <c r="D298" s="1997"/>
      <c r="K298" s="1997"/>
      <c r="N298" s="1997"/>
      <c r="O298" s="1997"/>
      <c r="P298" s="1997"/>
      <c r="Q298" s="1997"/>
      <c r="S298" s="1997"/>
      <c r="T298" s="1997"/>
      <c r="U298" s="1997"/>
      <c r="V298" s="1997"/>
      <c r="W298" s="1997"/>
      <c r="X298" s="1997"/>
      <c r="Y298" s="1997"/>
      <c r="Z298" s="1997"/>
      <c r="AA298" s="1997"/>
      <c r="AB298" s="1997"/>
      <c r="AC298" s="1997"/>
      <c r="AD298" s="1997"/>
      <c r="AE298" s="1997"/>
    </row>
    <row customHeight="1" ht="11.25">
      <c r="A299" s="1352"/>
      <c r="B299" s="1997"/>
      <c r="D299" s="1997"/>
      <c r="K299" s="1997"/>
      <c r="N299" s="1997"/>
      <c r="O299" s="1997"/>
      <c r="P299" s="1997"/>
      <c r="Q299" s="1997"/>
      <c r="S299" s="1997"/>
      <c r="T299" s="1997"/>
      <c r="U299" s="1997"/>
      <c r="V299" s="1997"/>
      <c r="W299" s="1997"/>
      <c r="X299" s="1997"/>
      <c r="Y299" s="1997"/>
      <c r="Z299" s="1997"/>
      <c r="AA299" s="1997"/>
      <c r="AB299" s="1997"/>
      <c r="AC299" s="1997"/>
      <c r="AD299" s="1997"/>
      <c r="AE299" s="1997"/>
    </row>
    <row customHeight="1" ht="11.25">
      <c r="A300" s="1352"/>
      <c r="B300" s="1997"/>
      <c r="D300" s="1997"/>
      <c r="K300" s="1997"/>
      <c r="N300" s="1997"/>
      <c r="O300" s="1997"/>
      <c r="P300" s="1997"/>
      <c r="Q300" s="1997"/>
      <c r="S300" s="1997"/>
      <c r="T300" s="1997"/>
      <c r="U300" s="1997"/>
      <c r="V300" s="1997"/>
      <c r="W300" s="1997"/>
      <c r="X300" s="1997"/>
      <c r="Y300" s="1997"/>
      <c r="Z300" s="1997"/>
      <c r="AA300" s="1997"/>
      <c r="AB300" s="1997"/>
      <c r="AC300" s="1997"/>
      <c r="AD300" s="1997"/>
      <c r="AE300" s="1997"/>
    </row>
    <row customHeight="1" ht="11.25">
      <c r="A301" s="1352"/>
      <c r="B301" s="1997"/>
      <c r="D301" s="1997"/>
      <c r="K301" s="1997"/>
      <c r="N301" s="1997"/>
      <c r="O301" s="1997"/>
      <c r="P301" s="1997"/>
      <c r="Q301" s="1997"/>
      <c r="S301" s="1997"/>
      <c r="T301" s="1997"/>
      <c r="U301" s="1997"/>
      <c r="V301" s="1997"/>
      <c r="W301" s="1997"/>
      <c r="X301" s="1997"/>
      <c r="Y301" s="1997"/>
      <c r="Z301" s="1997"/>
      <c r="AA301" s="1997"/>
      <c r="AB301" s="1997"/>
      <c r="AC301" s="1997"/>
      <c r="AD301" s="1997"/>
      <c r="AE301" s="1997"/>
    </row>
    <row customHeight="1" ht="11.25">
      <c r="A302" s="1352"/>
      <c r="B302" s="1997"/>
      <c r="D302" s="1997"/>
      <c r="K302" s="1997"/>
      <c r="N302" s="1997"/>
      <c r="O302" s="1997"/>
      <c r="P302" s="1997"/>
      <c r="Q302" s="1997"/>
      <c r="S302" s="1997"/>
      <c r="T302" s="1997"/>
      <c r="U302" s="1997"/>
      <c r="V302" s="1997"/>
      <c r="W302" s="1997"/>
      <c r="X302" s="1997"/>
      <c r="Y302" s="1997"/>
      <c r="Z302" s="1997"/>
      <c r="AA302" s="1997"/>
      <c r="AB302" s="1997"/>
      <c r="AC302" s="1997"/>
      <c r="AD302" s="1997"/>
      <c r="AE302" s="1997"/>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6B1D7E-F609-407E-CB4B-3E3C77E1828D}"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19821" width="14.7109375" hidden="1" customWidth="1"/>
    <col min="2" max="2" style="18998" width="17.00390625" hidden="1" customWidth="1"/>
    <col min="3" max="3" style="19001" width="3.7109375" customWidth="1"/>
    <col min="4" max="4" style="19001" width="1.8515625" hidden="1" customWidth="1"/>
    <col min="5" max="6" style="19001" width="7.7109375" customWidth="1"/>
    <col min="7" max="7" style="19001" width="29.7109375" customWidth="1"/>
    <col min="8" max="8" style="19001" width="3.7109375" customWidth="1"/>
    <col min="9" max="9" style="19001" width="5.421875" customWidth="1"/>
    <col min="10" max="10" style="19001" width="24.57421875" customWidth="1"/>
    <col min="11" max="11" style="19001" width="24.421875" customWidth="1"/>
    <col min="12" max="12" style="19001" width="3.7109375" customWidth="1"/>
    <col min="13" max="13" style="19001" width="6.28125" customWidth="1"/>
    <col min="14" max="14" style="19001" width="25.8515625" customWidth="1"/>
    <col min="15" max="18" style="19001" width="18.7109375" customWidth="1"/>
    <col min="19" max="19" style="19001" width="93.421875" customWidth="1"/>
    <col min="20" max="20" style="19001" width="10.57421875" customWidth="1"/>
    <col min="21" max="21" style="19822" width="10.57421875" customWidth="1"/>
    <col min="22" max="22" style="19822" width="11.7109375" customWidth="1"/>
    <col min="23" max="23" style="19823" width="10.57421875" customWidth="1"/>
    <col min="24" max="27" style="18998" width="10.57421875" customWidth="1"/>
    <col min="28" max="83" style="19001" width="9.140625"/>
  </cols>
  <sheetData>
    <row customHeight="1" ht="11.25" hidden="1"/>
    <row customHeight="1" ht="11.25" hidden="1"/>
    <row customHeight="1" ht="11.25" hidden="1"/>
    <row customHeight="1" ht="3">
      <c r="C4" s="870"/>
      <c r="D4" s="870"/>
      <c r="E4" s="870"/>
      <c r="F4" s="870"/>
      <c r="G4" s="870"/>
      <c r="H4" s="870"/>
      <c r="I4" s="870"/>
      <c r="J4" s="870"/>
      <c r="K4" s="528"/>
      <c r="L4" s="528"/>
      <c r="M4" s="528"/>
    </row>
    <row customHeight="1" ht="28.5">
      <c r="C5" s="870"/>
      <c r="D5" s="1419"/>
      <c r="E5" s="2505"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505"/>
      <c r="G5" s="2505"/>
      <c r="H5" s="2505"/>
      <c r="I5" s="2505"/>
      <c r="J5" s="2505"/>
      <c r="K5" s="2505"/>
      <c r="L5" s="974"/>
      <c r="M5" s="974"/>
    </row>
    <row s="18482" customFormat="1" customHeight="1" ht="16.5">
      <c r="A6" s="971"/>
      <c r="B6" s="1120"/>
      <c r="C6" s="870"/>
      <c r="D6" s="1420"/>
      <c r="E6" s="2474" t="str">
        <f>IF(org=0,"Не определено",org)</f>
        <v>Филиал "Шатурская ГРЭС" ПАО "Юнипро"</v>
      </c>
      <c r="F6" s="2474"/>
      <c r="G6" s="2474"/>
      <c r="H6" s="2474"/>
      <c r="I6" s="2474"/>
      <c r="J6" s="2474"/>
      <c r="K6" s="2474"/>
      <c r="L6" s="974"/>
      <c r="M6" s="974"/>
      <c r="U6" s="972"/>
      <c r="V6" s="972"/>
      <c r="W6" s="973"/>
      <c r="X6" s="1120"/>
      <c r="Y6" s="1120"/>
      <c r="Z6" s="1120"/>
      <c r="AA6" s="1120"/>
    </row>
    <row customHeight="1" ht="11.25">
      <c r="C7" s="870"/>
      <c r="D7" s="870"/>
      <c r="E7" s="870"/>
      <c r="F7" s="870"/>
      <c r="G7" s="883"/>
      <c r="H7" s="883"/>
      <c r="I7" s="883"/>
      <c r="J7" s="883"/>
      <c r="K7" s="975"/>
      <c r="L7" s="975"/>
      <c r="M7" s="975"/>
      <c r="R7" s="1113"/>
    </row>
    <row s="18977" customFormat="1" customHeight="1" ht="5.25">
      <c r="A8" s="982"/>
      <c r="B8" s="927"/>
      <c r="C8" s="712"/>
      <c r="D8" s="712"/>
      <c r="E8" s="712"/>
      <c r="F8" s="712"/>
      <c r="G8" s="1337"/>
      <c r="H8" s="1337"/>
      <c r="I8" s="1337"/>
      <c r="J8" s="1337"/>
      <c r="K8" s="1380"/>
      <c r="L8" s="1380"/>
      <c r="M8" s="1380"/>
      <c r="R8" s="1381"/>
      <c r="U8" s="972"/>
      <c r="V8" s="972"/>
      <c r="W8" s="983"/>
      <c r="X8" s="927"/>
      <c r="Y8" s="927"/>
      <c r="Z8" s="927"/>
      <c r="AA8" s="927"/>
    </row>
    <row customHeight="1" ht="18.75">
      <c r="D9" s="650"/>
      <c r="E9" s="2376" t="s">
        <v>300</v>
      </c>
      <c r="F9" s="2377"/>
      <c r="G9" s="2377"/>
      <c r="H9" s="2377"/>
      <c r="I9" s="2377"/>
      <c r="J9" s="2377"/>
      <c r="K9" s="2377"/>
      <c r="L9" s="2377"/>
      <c r="M9" s="2377"/>
      <c r="N9" s="2377"/>
      <c r="O9" s="2377"/>
      <c r="P9" s="2377"/>
      <c r="Q9" s="2377"/>
      <c r="R9" s="2378"/>
      <c r="S9" s="2392" t="s">
        <v>301</v>
      </c>
      <c r="T9" s="695"/>
    </row>
    <row customHeight="1" ht="33.75">
      <c r="D10" s="912" t="s">
        <v>85</v>
      </c>
      <c r="E10" s="2392" t="s">
        <v>85</v>
      </c>
      <c r="F10" s="2392"/>
      <c r="G10" s="882" t="s">
        <v>302</v>
      </c>
      <c r="H10" s="2392" t="s">
        <v>85</v>
      </c>
      <c r="I10" s="2392"/>
      <c r="J10" s="882" t="s">
        <v>602</v>
      </c>
      <c r="K10" s="882" t="s">
        <v>603</v>
      </c>
      <c r="L10" s="2392" t="s">
        <v>85</v>
      </c>
      <c r="M10" s="2392"/>
      <c r="N10" s="882" t="s">
        <v>604</v>
      </c>
      <c r="O10" s="882" t="s">
        <v>605</v>
      </c>
      <c r="P10" s="882" t="s">
        <v>606</v>
      </c>
      <c r="Q10" s="882" t="s">
        <v>607</v>
      </c>
      <c r="R10" s="882" t="s">
        <v>608</v>
      </c>
      <c r="S10" s="2392"/>
      <c r="T10" s="695"/>
    </row>
    <row s="19219" customFormat="1" customHeight="1" ht="15" hidden="1">
      <c r="A11" s="1414"/>
      <c r="D11" s="1387" t="s">
        <v>106</v>
      </c>
      <c r="E11" s="1387"/>
      <c r="F11" s="1387" t="s">
        <v>107</v>
      </c>
      <c r="G11" s="1387" t="s">
        <v>87</v>
      </c>
      <c r="H11" s="1387"/>
      <c r="I11" s="1387" t="s">
        <v>88</v>
      </c>
      <c r="J11" s="1387" t="s">
        <v>108</v>
      </c>
      <c r="K11" s="1387" t="s">
        <v>89</v>
      </c>
      <c r="L11" s="1387"/>
      <c r="M11" s="1387" t="s">
        <v>90</v>
      </c>
      <c r="N11" s="1387" t="s">
        <v>109</v>
      </c>
      <c r="O11" s="1387" t="s">
        <v>145</v>
      </c>
      <c r="P11" s="1387" t="s">
        <v>146</v>
      </c>
      <c r="Q11" s="1387" t="s">
        <v>147</v>
      </c>
      <c r="R11" s="1387" t="s">
        <v>148</v>
      </c>
      <c r="S11" s="1387" t="s">
        <v>149</v>
      </c>
      <c r="U11" s="972"/>
      <c r="V11" s="972"/>
      <c r="W11" s="972"/>
    </row>
    <row s="19770" customFormat="1" customHeight="1" ht="0.75">
      <c r="A12" s="976"/>
      <c r="B12" s="723"/>
      <c r="D12" s="909"/>
      <c r="E12" s="707"/>
      <c r="F12" s="707"/>
      <c r="Q12" s="977"/>
      <c r="R12" s="978"/>
      <c r="T12" s="979"/>
      <c r="U12" s="980"/>
      <c r="V12" s="980"/>
      <c r="W12" s="981"/>
      <c r="X12" s="723"/>
      <c r="Y12" s="723"/>
      <c r="Z12" s="723"/>
      <c r="AA12" s="723"/>
    </row>
    <row s="18977" customFormat="1" customHeight="1" ht="0.75">
      <c r="A13" s="982"/>
      <c r="B13" s="927"/>
      <c r="D13" s="909" t="s">
        <v>376</v>
      </c>
      <c r="E13" s="921"/>
      <c r="F13" s="921"/>
      <c r="G13" s="921"/>
      <c r="H13" s="921"/>
      <c r="I13" s="921"/>
      <c r="J13" s="921"/>
      <c r="K13" s="921"/>
      <c r="L13" s="921"/>
      <c r="M13" s="921"/>
      <c r="N13" s="921"/>
      <c r="O13" s="921"/>
      <c r="P13" s="921"/>
      <c r="Q13" s="921"/>
      <c r="R13" s="921"/>
      <c r="T13" s="695"/>
      <c r="U13" s="972"/>
      <c r="V13" s="972"/>
      <c r="W13" s="983"/>
      <c r="X13" s="927"/>
      <c r="Y13" s="927"/>
      <c r="Z13" s="927"/>
      <c r="AA13" s="927"/>
    </row>
    <row s="18848" customFormat="1" customHeight="1" ht="15" hidden="1">
      <c r="A14" s="984" t="s">
        <v>114</v>
      </c>
      <c r="B14" s="985"/>
      <c r="C14" s="985"/>
      <c r="D14" s="2640" t="s">
        <v>106</v>
      </c>
      <c r="E14" s="2648" t="s">
        <v>102</v>
      </c>
      <c r="F14" s="2649"/>
      <c r="G14" s="2650"/>
      <c r="H14" s="2643">
        <f>IF(A14="","",INDEX(DIFFERENTIATION_UNMERGE_VD,MATCH(A14,DIFFERENTIATION_ID_DIFF,0)))</f>
        <v>0</v>
      </c>
      <c r="I14" s="2643"/>
      <c r="J14" s="2643"/>
      <c r="K14" s="2643"/>
      <c r="L14" s="2643"/>
      <c r="M14" s="2643"/>
      <c r="N14" s="2643"/>
      <c r="O14" s="2643"/>
      <c r="P14" s="2643"/>
      <c r="Q14" s="2643"/>
      <c r="R14" s="2643"/>
      <c r="S14" s="1080"/>
      <c r="T14" s="1077"/>
      <c r="U14" s="986"/>
      <c r="V14" s="986"/>
      <c r="W14" s="987"/>
      <c r="X14" s="987"/>
      <c r="Y14" s="987"/>
      <c r="Z14" s="987"/>
      <c r="AA14" s="988"/>
      <c r="AB14" s="989"/>
      <c r="AC14" s="2647"/>
      <c r="AD14" s="990"/>
      <c r="AE14" s="991" t="s">
        <v>24</v>
      </c>
      <c r="AF14" s="991"/>
      <c r="AG14" s="992" t="s">
        <v>609</v>
      </c>
      <c r="AH14" s="993">
        <v>3</v>
      </c>
      <c r="AI14" s="986"/>
      <c r="AJ14" s="986"/>
      <c r="AK14" s="986"/>
      <c r="AL14" s="986"/>
      <c r="AM14" s="986"/>
      <c r="AN14" s="986"/>
      <c r="AO14" s="986"/>
      <c r="AP14" s="986"/>
      <c r="AQ14" s="986"/>
      <c r="AR14" s="986"/>
      <c r="AS14" s="986"/>
      <c r="AT14" s="986"/>
      <c r="AU14" s="986"/>
      <c r="AV14" s="986"/>
      <c r="AW14" s="986"/>
      <c r="AX14" s="986"/>
      <c r="AY14" s="986"/>
      <c r="AZ14" s="986"/>
      <c r="BA14" s="986"/>
      <c r="BB14" s="986"/>
      <c r="BC14" s="986"/>
      <c r="BD14" s="986"/>
      <c r="BE14" s="986"/>
      <c r="BF14" s="986"/>
      <c r="BG14" s="986"/>
      <c r="BH14" s="986"/>
      <c r="BI14" s="986"/>
      <c r="BJ14" s="986"/>
      <c r="BK14" s="986"/>
      <c r="BL14" s="986"/>
      <c r="BM14" s="986"/>
      <c r="BN14" s="986"/>
      <c r="BO14" s="986"/>
      <c r="BP14" s="986"/>
      <c r="BQ14" s="986"/>
      <c r="BR14" s="986"/>
      <c r="BS14" s="986"/>
      <c r="BT14" s="986"/>
      <c r="BU14" s="986"/>
      <c r="BV14" s="987"/>
      <c r="BW14" s="987"/>
      <c r="BX14" s="987"/>
      <c r="BY14" s="987"/>
      <c r="BZ14" s="987"/>
      <c r="CA14" s="987"/>
      <c r="CB14" s="987"/>
      <c r="CC14" s="987"/>
      <c r="CD14" s="987"/>
      <c r="CE14" s="987"/>
    </row>
    <row s="18848" customFormat="1" customHeight="1" ht="15" hidden="1">
      <c r="A15" s="984"/>
      <c r="B15" s="985"/>
      <c r="C15" s="985"/>
      <c r="D15" s="2641"/>
      <c r="E15" s="2648" t="s">
        <v>564</v>
      </c>
      <c r="F15" s="2649"/>
      <c r="G15" s="2650"/>
      <c r="H15" s="2643" t="str">
        <f>IF(A14="","",INDEX(DIFFERENTIATION_UNMERGE_AREA,MATCH(A14,DIFFERENTIATION_ID_DIFF,0)))</f>
        <v/>
      </c>
      <c r="I15" s="2643"/>
      <c r="J15" s="2643"/>
      <c r="K15" s="2643"/>
      <c r="L15" s="2643"/>
      <c r="M15" s="2643"/>
      <c r="N15" s="2643"/>
      <c r="O15" s="2643"/>
      <c r="P15" s="2643"/>
      <c r="Q15" s="2643"/>
      <c r="R15" s="2643"/>
      <c r="S15" s="1080"/>
      <c r="T15" s="1077"/>
      <c r="U15" s="986"/>
      <c r="V15" s="986"/>
      <c r="W15" s="987"/>
      <c r="X15" s="987"/>
      <c r="Y15" s="987"/>
      <c r="Z15" s="987"/>
      <c r="AA15" s="988"/>
      <c r="AB15" s="989"/>
      <c r="AC15" s="2647"/>
      <c r="AD15" s="990"/>
      <c r="AE15" s="991"/>
      <c r="AF15" s="991"/>
      <c r="AG15" s="992"/>
      <c r="AH15" s="993"/>
      <c r="AI15" s="986"/>
      <c r="AJ15" s="986"/>
      <c r="AK15" s="986"/>
      <c r="AL15" s="986"/>
      <c r="AM15" s="986"/>
      <c r="AN15" s="986"/>
      <c r="AO15" s="986"/>
      <c r="AP15" s="986"/>
      <c r="AQ15" s="986"/>
      <c r="AR15" s="986"/>
      <c r="AS15" s="986"/>
      <c r="AT15" s="986"/>
      <c r="AU15" s="986"/>
      <c r="AV15" s="986"/>
      <c r="AW15" s="986"/>
      <c r="AX15" s="986"/>
      <c r="AY15" s="986"/>
      <c r="AZ15" s="986"/>
      <c r="BA15" s="986"/>
      <c r="BB15" s="986"/>
      <c r="BC15" s="986"/>
      <c r="BD15" s="986"/>
      <c r="BE15" s="986"/>
      <c r="BF15" s="986"/>
      <c r="BG15" s="986"/>
      <c r="BH15" s="986"/>
      <c r="BI15" s="986"/>
      <c r="BJ15" s="986"/>
      <c r="BK15" s="986"/>
      <c r="BL15" s="986"/>
      <c r="BM15" s="986"/>
      <c r="BN15" s="986"/>
      <c r="BO15" s="986"/>
      <c r="BP15" s="986"/>
      <c r="BQ15" s="986"/>
      <c r="BR15" s="986"/>
      <c r="BS15" s="986"/>
      <c r="BT15" s="986"/>
      <c r="BU15" s="986"/>
      <c r="BV15" s="987"/>
      <c r="BW15" s="987"/>
      <c r="BX15" s="987"/>
      <c r="BY15" s="987"/>
      <c r="BZ15" s="987"/>
      <c r="CA15" s="987"/>
      <c r="CB15" s="987"/>
      <c r="CC15" s="987"/>
      <c r="CD15" s="987"/>
      <c r="CE15" s="987"/>
    </row>
    <row s="18848" customFormat="1" customHeight="1" ht="15" hidden="1">
      <c r="A16" s="984"/>
      <c r="B16" s="985"/>
      <c r="C16" s="985"/>
      <c r="D16" s="2641"/>
      <c r="E16" s="2648" t="s">
        <v>565</v>
      </c>
      <c r="F16" s="2649"/>
      <c r="G16" s="2650"/>
      <c r="H16" s="2643" t="str">
        <f>IF(A14="","",INDEX(DIFFERENTIATION_UNMERGE_SYSTEM,MATCH(A14,DIFFERENTIATION_ID_DIFF,0)))</f>
        <v>без дифференциации</v>
      </c>
      <c r="I16" s="2643"/>
      <c r="J16" s="2643"/>
      <c r="K16" s="2643"/>
      <c r="L16" s="2643"/>
      <c r="M16" s="2643"/>
      <c r="N16" s="2643"/>
      <c r="O16" s="2643"/>
      <c r="P16" s="2643"/>
      <c r="Q16" s="2643"/>
      <c r="R16" s="2643"/>
      <c r="S16" s="1080"/>
      <c r="T16" s="1077"/>
      <c r="U16" s="986"/>
      <c r="V16" s="986"/>
      <c r="W16" s="987"/>
      <c r="X16" s="987"/>
      <c r="Y16" s="987"/>
      <c r="Z16" s="987"/>
      <c r="AA16" s="988"/>
      <c r="AB16" s="989"/>
      <c r="AC16" s="2647"/>
      <c r="AD16" s="990"/>
      <c r="AE16" s="991"/>
      <c r="AF16" s="991"/>
      <c r="AG16" s="992"/>
      <c r="AH16" s="993"/>
      <c r="AI16" s="986"/>
      <c r="AJ16" s="986"/>
      <c r="AK16" s="986"/>
      <c r="AL16" s="986"/>
      <c r="AM16" s="986"/>
      <c r="AN16" s="986"/>
      <c r="AO16" s="986"/>
      <c r="AP16" s="986"/>
      <c r="AQ16" s="986"/>
      <c r="AR16" s="986"/>
      <c r="AS16" s="986"/>
      <c r="AT16" s="986"/>
      <c r="AU16" s="986"/>
      <c r="AV16" s="986"/>
      <c r="AW16" s="986"/>
      <c r="AX16" s="986"/>
      <c r="AY16" s="986"/>
      <c r="AZ16" s="986"/>
      <c r="BA16" s="986"/>
      <c r="BB16" s="986"/>
      <c r="BC16" s="986"/>
      <c r="BD16" s="986"/>
      <c r="BE16" s="986"/>
      <c r="BF16" s="986"/>
      <c r="BG16" s="986"/>
      <c r="BH16" s="986"/>
      <c r="BI16" s="986"/>
      <c r="BJ16" s="986"/>
      <c r="BK16" s="986"/>
      <c r="BL16" s="986"/>
      <c r="BM16" s="986"/>
      <c r="BN16" s="986"/>
      <c r="BO16" s="986"/>
      <c r="BP16" s="986"/>
      <c r="BQ16" s="986"/>
      <c r="BR16" s="986"/>
      <c r="BS16" s="986"/>
      <c r="BT16" s="986"/>
      <c r="BU16" s="986"/>
      <c r="BV16" s="987"/>
      <c r="BW16" s="987"/>
      <c r="BX16" s="987"/>
      <c r="BY16" s="987"/>
      <c r="BZ16" s="987"/>
      <c r="CA16" s="987"/>
      <c r="CB16" s="987"/>
      <c r="CC16" s="987"/>
      <c r="CD16" s="987"/>
      <c r="CE16" s="987"/>
    </row>
    <row s="18848" customFormat="1" customHeight="1" ht="22.5" hidden="1">
      <c r="A17" s="994"/>
      <c r="B17" s="778"/>
      <c r="C17" s="773"/>
      <c r="D17" s="2641"/>
      <c r="E17" s="2645" t="s">
        <v>610</v>
      </c>
      <c r="F17" s="2645"/>
      <c r="G17" s="2645"/>
      <c r="H17" s="2645"/>
      <c r="I17" s="2645"/>
      <c r="J17" s="2645"/>
      <c r="K17" s="2645"/>
      <c r="L17" s="2645"/>
      <c r="M17" s="2645"/>
      <c r="N17" s="2645"/>
      <c r="O17" s="2645"/>
      <c r="P17" s="2645"/>
      <c r="Q17" s="919">
        <f>SUMIF(T18:T19,"i",Q18:Q19)</f>
        <v>0</v>
      </c>
      <c r="R17" s="1379"/>
      <c r="S17" s="1258" t="s">
        <v>611</v>
      </c>
      <c r="T17" s="1078" t="s">
        <v>612</v>
      </c>
      <c r="U17" s="2646">
        <v>1</v>
      </c>
      <c r="V17" s="2646" t="str">
        <f>INDEX(B_FHD_FLAG_INDEX_1,1,MATCH(A14,B_FHD_FLAG_DIFFERENTIATION,0))</f>
        <v>отсутствует</v>
      </c>
      <c r="W17" s="778"/>
      <c r="X17" s="778"/>
      <c r="Y17" s="778"/>
      <c r="Z17" s="778"/>
      <c r="AA17" s="872"/>
      <c r="AB17" s="778"/>
      <c r="AC17" s="2647"/>
      <c r="AD17" s="990"/>
      <c r="AE17" s="778"/>
      <c r="AF17" s="778"/>
      <c r="AG17" s="872"/>
      <c r="AH17" s="872"/>
      <c r="AI17" s="872"/>
      <c r="AJ17" s="872"/>
      <c r="AK17" s="872"/>
      <c r="AL17" s="872"/>
      <c r="AM17" s="872"/>
      <c r="AN17" s="872"/>
      <c r="AO17" s="872"/>
      <c r="AP17" s="872"/>
      <c r="AQ17" s="872"/>
      <c r="AR17" s="872"/>
      <c r="AS17" s="872"/>
      <c r="AT17" s="872"/>
      <c r="AU17" s="872"/>
      <c r="AV17" s="872"/>
      <c r="AW17" s="872"/>
      <c r="AX17" s="872"/>
      <c r="AY17" s="872"/>
      <c r="AZ17" s="872"/>
      <c r="BA17" s="872"/>
      <c r="BB17" s="872"/>
      <c r="BC17" s="872"/>
      <c r="BD17" s="872"/>
      <c r="BE17" s="872"/>
      <c r="BF17" s="872"/>
      <c r="BG17" s="872"/>
      <c r="BH17" s="872"/>
      <c r="BI17" s="872"/>
      <c r="BJ17" s="872"/>
      <c r="BK17" s="872"/>
      <c r="BL17" s="872"/>
      <c r="BM17" s="872"/>
      <c r="BN17" s="872"/>
      <c r="BO17" s="872"/>
      <c r="BP17" s="872"/>
      <c r="BQ17" s="872"/>
      <c r="BR17" s="872"/>
      <c r="BS17" s="872"/>
      <c r="BT17" s="872"/>
      <c r="BU17" s="872"/>
      <c r="BV17" s="778"/>
      <c r="BW17" s="778"/>
      <c r="BX17" s="778"/>
      <c r="BY17" s="778"/>
      <c r="BZ17" s="778"/>
      <c r="CA17" s="778"/>
      <c r="CB17" s="778"/>
      <c r="CC17" s="778"/>
      <c r="CD17" s="778"/>
      <c r="CE17" s="778"/>
    </row>
    <row s="18848" customFormat="1" customHeight="1" ht="11.25" hidden="1">
      <c r="A18" s="995"/>
      <c r="B18" s="872"/>
      <c r="C18" s="872"/>
      <c r="D18" s="2641"/>
      <c r="E18" s="996"/>
      <c r="F18" s="996">
        <v>0</v>
      </c>
      <c r="G18" s="996"/>
      <c r="H18" s="996"/>
      <c r="I18" s="996"/>
      <c r="J18" s="996"/>
      <c r="K18" s="996"/>
      <c r="L18" s="996"/>
      <c r="M18" s="996"/>
      <c r="N18" s="996"/>
      <c r="O18" s="996"/>
      <c r="P18" s="996"/>
      <c r="Q18" s="996"/>
      <c r="R18" s="996"/>
      <c r="S18" s="997"/>
      <c r="T18" s="1079"/>
      <c r="U18" s="2646"/>
      <c r="V18" s="2646"/>
      <c r="W18" s="872"/>
      <c r="X18" s="872"/>
      <c r="Y18" s="872"/>
      <c r="Z18" s="872"/>
      <c r="AA18" s="872"/>
      <c r="AB18" s="778"/>
      <c r="AC18" s="2647"/>
      <c r="AD18" s="990"/>
      <c r="AE18" s="778"/>
      <c r="AF18" s="778"/>
      <c r="AG18" s="872"/>
      <c r="AH18" s="872"/>
      <c r="AI18" s="872"/>
      <c r="AJ18" s="872"/>
      <c r="AK18" s="872"/>
      <c r="AL18" s="872"/>
      <c r="AM18" s="872"/>
      <c r="AN18" s="872"/>
      <c r="AO18" s="872"/>
      <c r="AP18" s="872"/>
      <c r="AQ18" s="872"/>
      <c r="AR18" s="872"/>
      <c r="AS18" s="872"/>
      <c r="AT18" s="872"/>
      <c r="AU18" s="872"/>
      <c r="AV18" s="872"/>
      <c r="AW18" s="872"/>
      <c r="AX18" s="872"/>
      <c r="AY18" s="872"/>
      <c r="AZ18" s="872"/>
      <c r="BA18" s="872"/>
      <c r="BB18" s="872"/>
      <c r="BC18" s="872"/>
      <c r="BD18" s="872"/>
      <c r="BE18" s="872"/>
      <c r="BF18" s="872"/>
      <c r="BG18" s="872"/>
      <c r="BH18" s="872"/>
      <c r="BI18" s="872"/>
      <c r="BJ18" s="872"/>
      <c r="BK18" s="872"/>
      <c r="BL18" s="872"/>
      <c r="BM18" s="872"/>
      <c r="BN18" s="872"/>
      <c r="BO18" s="872"/>
      <c r="BP18" s="872"/>
      <c r="BQ18" s="872"/>
      <c r="BR18" s="872"/>
      <c r="BS18" s="872"/>
      <c r="BT18" s="872"/>
      <c r="BU18" s="872"/>
      <c r="BV18" s="872"/>
      <c r="BW18" s="872"/>
      <c r="BX18" s="872"/>
      <c r="BY18" s="872"/>
      <c r="BZ18" s="872"/>
      <c r="CA18" s="872"/>
      <c r="CB18" s="872"/>
      <c r="CC18" s="872"/>
      <c r="CD18" s="872"/>
      <c r="CE18" s="872"/>
    </row>
    <row s="18848" customFormat="1" customHeight="1" ht="11.25" hidden="1">
      <c r="A19" s="994"/>
      <c r="B19" s="778"/>
      <c r="C19" s="773"/>
      <c r="D19" s="2641"/>
      <c r="E19" s="1010" t="s">
        <v>24</v>
      </c>
      <c r="F19" s="1011" t="s">
        <v>24</v>
      </c>
      <c r="G19" s="1011" t="s">
        <v>24</v>
      </c>
      <c r="H19" s="1012" t="s">
        <v>24</v>
      </c>
      <c r="I19" s="1012"/>
      <c r="J19" s="1012"/>
      <c r="K19" s="1012"/>
      <c r="L19" s="1012"/>
      <c r="M19" s="1012"/>
      <c r="N19" s="1012"/>
      <c r="O19" s="1012"/>
      <c r="P19" s="1012"/>
      <c r="Q19" s="1012"/>
      <c r="R19" s="1013"/>
      <c r="S19" s="1382"/>
      <c r="T19" s="1079"/>
      <c r="U19" s="2646"/>
      <c r="V19" s="2646"/>
      <c r="W19" s="778"/>
      <c r="X19" s="778"/>
      <c r="Y19" s="778"/>
      <c r="Z19" s="778"/>
      <c r="AA19" s="872"/>
      <c r="AB19" s="778"/>
      <c r="AC19" s="2647"/>
      <c r="AD19" s="990"/>
      <c r="AE19" s="778"/>
      <c r="AF19" s="778"/>
      <c r="AG19" s="872"/>
      <c r="AH19" s="872"/>
      <c r="AI19" s="872"/>
      <c r="AJ19" s="872"/>
      <c r="AK19" s="872"/>
      <c r="AL19" s="872"/>
      <c r="AM19" s="872"/>
      <c r="AN19" s="872"/>
      <c r="AO19" s="872"/>
      <c r="AP19" s="872"/>
      <c r="AQ19" s="872"/>
      <c r="AR19" s="872"/>
      <c r="AS19" s="872"/>
      <c r="AT19" s="872"/>
      <c r="AU19" s="872"/>
      <c r="AV19" s="872"/>
      <c r="AW19" s="872"/>
      <c r="AX19" s="872"/>
      <c r="AY19" s="872"/>
      <c r="AZ19" s="872"/>
      <c r="BA19" s="872"/>
      <c r="BB19" s="872"/>
      <c r="BC19" s="872"/>
      <c r="BD19" s="872"/>
      <c r="BE19" s="872"/>
      <c r="BF19" s="872"/>
      <c r="BG19" s="872"/>
      <c r="BH19" s="872"/>
      <c r="BI19" s="872"/>
      <c r="BJ19" s="872"/>
      <c r="BK19" s="872"/>
      <c r="BL19" s="872"/>
      <c r="BM19" s="872"/>
      <c r="BN19" s="872"/>
      <c r="BO19" s="872"/>
      <c r="BP19" s="872"/>
      <c r="BQ19" s="872"/>
      <c r="BR19" s="872"/>
      <c r="BS19" s="872"/>
      <c r="BT19" s="872"/>
      <c r="BU19" s="872"/>
      <c r="BV19" s="778"/>
      <c r="BW19" s="778"/>
      <c r="BX19" s="778"/>
      <c r="BY19" s="778"/>
      <c r="BZ19" s="778"/>
      <c r="CA19" s="778"/>
      <c r="CB19" s="778"/>
      <c r="CC19" s="778"/>
      <c r="CD19" s="778"/>
      <c r="CE19" s="778"/>
    </row>
    <row s="18848" customFormat="1" customHeight="1" ht="22.5" hidden="1">
      <c r="A20" s="994"/>
      <c r="B20" s="778"/>
      <c r="C20" s="773"/>
      <c r="D20" s="2641"/>
      <c r="E20" s="2645" t="s">
        <v>613</v>
      </c>
      <c r="F20" s="2645"/>
      <c r="G20" s="2645"/>
      <c r="H20" s="2645"/>
      <c r="I20" s="2645"/>
      <c r="J20" s="2645"/>
      <c r="K20" s="2645"/>
      <c r="L20" s="2645"/>
      <c r="M20" s="2645"/>
      <c r="N20" s="2645"/>
      <c r="O20" s="2645"/>
      <c r="P20" s="2645"/>
      <c r="Q20" s="919">
        <f>SUMIF(T21:T22,"i",Q21:Q22)</f>
        <v>0</v>
      </c>
      <c r="R20" s="1379"/>
      <c r="S20" s="1070" t="s">
        <v>614</v>
      </c>
      <c r="T20" s="1078" t="s">
        <v>612</v>
      </c>
      <c r="U20" s="2646">
        <v>2</v>
      </c>
      <c r="V20" s="2646" t="str">
        <f>INDEX(B_FHD_FLAG_INDEX_2,1,MATCH(A14,B_FHD_FLAG_DIFFERENTIATION,0))</f>
        <v>отсутствует</v>
      </c>
      <c r="W20" s="778"/>
      <c r="X20" s="778"/>
      <c r="Y20" s="778"/>
      <c r="Z20" s="778"/>
      <c r="AA20" s="872"/>
      <c r="AB20" s="778"/>
      <c r="AC20" s="1067"/>
      <c r="AD20" s="990"/>
      <c r="AE20" s="778"/>
      <c r="AF20" s="778"/>
      <c r="AG20" s="872"/>
      <c r="AH20" s="872"/>
      <c r="AI20" s="872"/>
      <c r="AJ20" s="872"/>
      <c r="AK20" s="872"/>
      <c r="AL20" s="872"/>
      <c r="AM20" s="872"/>
      <c r="AN20" s="872"/>
      <c r="AO20" s="872"/>
      <c r="AP20" s="872"/>
      <c r="AQ20" s="872"/>
      <c r="AR20" s="872"/>
      <c r="AS20" s="872"/>
      <c r="AT20" s="872"/>
      <c r="AU20" s="872"/>
      <c r="AV20" s="872"/>
      <c r="AW20" s="872"/>
      <c r="AX20" s="872"/>
      <c r="AY20" s="872"/>
      <c r="AZ20" s="872"/>
      <c r="BA20" s="872"/>
      <c r="BB20" s="872"/>
      <c r="BC20" s="872"/>
      <c r="BD20" s="872"/>
      <c r="BE20" s="872"/>
      <c r="BF20" s="872"/>
      <c r="BG20" s="872"/>
      <c r="BH20" s="872"/>
      <c r="BI20" s="872"/>
      <c r="BJ20" s="872"/>
      <c r="BK20" s="872"/>
      <c r="BL20" s="872"/>
      <c r="BM20" s="872"/>
      <c r="BN20" s="872"/>
      <c r="BO20" s="872"/>
      <c r="BP20" s="872"/>
      <c r="BQ20" s="872"/>
      <c r="BR20" s="872"/>
      <c r="BS20" s="872"/>
      <c r="BT20" s="872"/>
      <c r="BU20" s="872"/>
      <c r="BV20" s="778"/>
      <c r="BW20" s="778"/>
      <c r="BX20" s="778"/>
      <c r="BY20" s="778"/>
      <c r="BZ20" s="778"/>
      <c r="CA20" s="778"/>
      <c r="CB20" s="778"/>
      <c r="CC20" s="778"/>
      <c r="CD20" s="778"/>
      <c r="CE20" s="778"/>
    </row>
    <row s="18848" customFormat="1" customHeight="1" ht="11.25" hidden="1">
      <c r="A21" s="1069"/>
      <c r="B21" s="872"/>
      <c r="C21" s="872"/>
      <c r="D21" s="2641"/>
      <c r="E21" s="996"/>
      <c r="F21" s="996">
        <v>0</v>
      </c>
      <c r="G21" s="996"/>
      <c r="H21" s="996"/>
      <c r="I21" s="996"/>
      <c r="J21" s="996"/>
      <c r="K21" s="996"/>
      <c r="L21" s="996"/>
      <c r="M21" s="996"/>
      <c r="N21" s="996"/>
      <c r="O21" s="996"/>
      <c r="P21" s="996"/>
      <c r="Q21" s="996"/>
      <c r="R21" s="996"/>
      <c r="S21" s="997"/>
      <c r="T21" s="1079"/>
      <c r="U21" s="2646"/>
      <c r="V21" s="2646"/>
      <c r="W21" s="872"/>
      <c r="X21" s="872"/>
      <c r="Y21" s="872"/>
      <c r="Z21" s="872"/>
      <c r="AA21" s="872"/>
      <c r="AB21" s="778"/>
      <c r="AC21" s="1067"/>
      <c r="AD21" s="990"/>
      <c r="AE21" s="778"/>
      <c r="AF21" s="778"/>
      <c r="AG21" s="872"/>
      <c r="AH21" s="872"/>
      <c r="AI21" s="872"/>
      <c r="AJ21" s="872"/>
      <c r="AK21" s="872"/>
      <c r="AL21" s="872"/>
      <c r="AM21" s="872"/>
      <c r="AN21" s="872"/>
      <c r="AO21" s="872"/>
      <c r="AP21" s="872"/>
      <c r="AQ21" s="872"/>
      <c r="AR21" s="872"/>
      <c r="AS21" s="872"/>
      <c r="AT21" s="872"/>
      <c r="AU21" s="872"/>
      <c r="AV21" s="872"/>
      <c r="AW21" s="872"/>
      <c r="AX21" s="872"/>
      <c r="AY21" s="872"/>
      <c r="AZ21" s="872"/>
      <c r="BA21" s="872"/>
      <c r="BB21" s="872"/>
      <c r="BC21" s="872"/>
      <c r="BD21" s="872"/>
      <c r="BE21" s="872"/>
      <c r="BF21" s="872"/>
      <c r="BG21" s="872"/>
      <c r="BH21" s="872"/>
      <c r="BI21" s="872"/>
      <c r="BJ21" s="872"/>
      <c r="BK21" s="872"/>
      <c r="BL21" s="872"/>
      <c r="BM21" s="872"/>
      <c r="BN21" s="872"/>
      <c r="BO21" s="872"/>
      <c r="BP21" s="872"/>
      <c r="BQ21" s="872"/>
      <c r="BR21" s="872"/>
      <c r="BS21" s="872"/>
      <c r="BT21" s="872"/>
      <c r="BU21" s="872"/>
      <c r="BV21" s="872"/>
      <c r="BW21" s="872"/>
      <c r="BX21" s="872"/>
      <c r="BY21" s="872"/>
      <c r="BZ21" s="872"/>
      <c r="CA21" s="872"/>
      <c r="CB21" s="872"/>
      <c r="CC21" s="872"/>
      <c r="CD21" s="872"/>
      <c r="CE21" s="872"/>
    </row>
    <row s="18848" customFormat="1" customHeight="1" ht="11.25" hidden="1">
      <c r="A22" s="994"/>
      <c r="B22" s="778"/>
      <c r="C22" s="773"/>
      <c r="D22" s="2642"/>
      <c r="E22" s="1010" t="s">
        <v>24</v>
      </c>
      <c r="F22" s="1011" t="s">
        <v>24</v>
      </c>
      <c r="G22" s="1011" t="s">
        <v>24</v>
      </c>
      <c r="H22" s="1012" t="s">
        <v>24</v>
      </c>
      <c r="I22" s="1012"/>
      <c r="J22" s="1012"/>
      <c r="K22" s="1012"/>
      <c r="L22" s="1012"/>
      <c r="M22" s="1012"/>
      <c r="N22" s="1012"/>
      <c r="O22" s="1012"/>
      <c r="P22" s="1012"/>
      <c r="Q22" s="1012"/>
      <c r="R22" s="1013"/>
      <c r="S22" s="1382"/>
      <c r="T22" s="1079"/>
      <c r="U22" s="2646"/>
      <c r="V22" s="2646"/>
      <c r="W22" s="778"/>
      <c r="X22" s="778"/>
      <c r="Y22" s="778"/>
      <c r="Z22" s="778"/>
      <c r="AA22" s="872"/>
      <c r="AB22" s="778"/>
      <c r="AC22" s="1067"/>
      <c r="AD22" s="990"/>
      <c r="AE22" s="778"/>
      <c r="AF22" s="778"/>
      <c r="AG22" s="872"/>
      <c r="AH22" s="872"/>
      <c r="AI22" s="872"/>
      <c r="AJ22" s="872"/>
      <c r="AK22" s="872"/>
      <c r="AL22" s="872"/>
      <c r="AM22" s="872"/>
      <c r="AN22" s="872"/>
      <c r="AO22" s="872"/>
      <c r="AP22" s="872"/>
      <c r="AQ22" s="872"/>
      <c r="AR22" s="872"/>
      <c r="AS22" s="872"/>
      <c r="AT22" s="872"/>
      <c r="AU22" s="872"/>
      <c r="AV22" s="872"/>
      <c r="AW22" s="872"/>
      <c r="AX22" s="872"/>
      <c r="AY22" s="872"/>
      <c r="AZ22" s="872"/>
      <c r="BA22" s="872"/>
      <c r="BB22" s="872"/>
      <c r="BC22" s="872"/>
      <c r="BD22" s="872"/>
      <c r="BE22" s="872"/>
      <c r="BF22" s="872"/>
      <c r="BG22" s="872"/>
      <c r="BH22" s="872"/>
      <c r="BI22" s="872"/>
      <c r="BJ22" s="872"/>
      <c r="BK22" s="872"/>
      <c r="BL22" s="872"/>
      <c r="BM22" s="872"/>
      <c r="BN22" s="872"/>
      <c r="BO22" s="872"/>
      <c r="BP22" s="872"/>
      <c r="BQ22" s="872"/>
      <c r="BR22" s="872"/>
      <c r="BS22" s="872"/>
      <c r="BT22" s="872"/>
      <c r="BU22" s="872"/>
      <c r="BV22" s="778"/>
      <c r="BW22" s="778"/>
      <c r="BX22" s="778"/>
      <c r="BY22" s="778"/>
      <c r="BZ22" s="778"/>
      <c r="CA22" s="778"/>
      <c r="CB22" s="778"/>
      <c r="CC22" s="778"/>
      <c r="CD22" s="778"/>
      <c r="CE22" s="778"/>
    </row>
    <row customHeight="1" ht="18.75">
      <c r="D23" s="1409"/>
      <c r="E23" s="1409"/>
      <c r="F23" s="1409"/>
      <c r="G23" s="1409"/>
      <c r="H23" s="1409"/>
      <c r="I23" s="1409"/>
      <c r="J23" s="1409"/>
      <c r="K23" s="1409"/>
      <c r="L23" s="1409"/>
      <c r="M23" s="1409"/>
      <c r="N23" s="1409"/>
      <c r="O23" s="1409"/>
      <c r="P23" s="1409"/>
      <c r="Q23" s="1409"/>
      <c r="R23" s="1409"/>
      <c r="S23" s="1409"/>
      <c r="T23" s="695"/>
    </row>
    <row customHeight="1" ht="11.25">
      <c r="D24" s="870"/>
    </row>
    <row customHeight="1" ht="11.25">
      <c r="D25" s="1015"/>
      <c r="E25" s="1015"/>
      <c r="F25" s="1015"/>
      <c r="G25" s="1016"/>
    </row>
    <row r="27" customHeight="1" ht="11.25">
      <c r="D27" s="1017"/>
      <c r="E27" s="2644"/>
      <c r="F27" s="2644"/>
      <c r="G27" s="2644"/>
      <c r="H27" s="2644"/>
      <c r="I27" s="2644"/>
      <c r="J27" s="2644"/>
      <c r="K27" s="2644"/>
      <c r="L27" s="2644"/>
      <c r="M27" s="2644"/>
      <c r="N27" s="2644"/>
      <c r="O27" s="2644"/>
      <c r="P27" s="2644"/>
      <c r="Q27" s="2644"/>
      <c r="R27" s="2644"/>
    </row>
    <row customHeight="1" ht="11.25">
      <c r="F28" s="1119"/>
      <c r="G28" s="1119"/>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7E052D-AF2F-D169-1026-4D0EAF07B71D}"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19751" width="10.7109375" hidden="1" customWidth="1"/>
    <col min="2" max="2" style="19146" width="16.8515625" hidden="1" customWidth="1"/>
    <col min="3" max="3" style="19272" width="5.57421875" hidden="1" customWidth="1"/>
    <col min="4" max="4" style="19752" width="3.7109375" customWidth="1"/>
    <col min="5" max="5" style="19274" width="7.7109375" customWidth="1"/>
    <col min="6" max="6" style="19274" width="56.140625" customWidth="1"/>
    <col min="7" max="7" style="19274" width="10.421875" customWidth="1"/>
    <col min="8" max="8" style="19274" width="40.7109375" hidden="1" customWidth="1"/>
    <col min="9" max="9" style="19274" width="40.7109375" customWidth="1"/>
    <col min="10" max="10" style="19274" width="102.8515625" customWidth="1"/>
    <col min="11" max="11" style="19146" width="9.7109375" customWidth="1"/>
    <col min="12" max="12" style="19272" width="5.28125" customWidth="1"/>
    <col min="13" max="13" style="19272" width="3.7109375" customWidth="1"/>
    <col min="14" max="17" style="19146" width="3.7109375" customWidth="1"/>
    <col min="18" max="18" style="19272" width="10.57421875" customWidth="1"/>
    <col min="19" max="19" style="19146" width="34.7109375" customWidth="1"/>
    <col min="20" max="20" style="19146" width="9.421875" customWidth="1"/>
    <col min="21" max="21" style="19753" width="9.140625"/>
    <col min="22" max="26" style="19146" width="9.140625"/>
    <col min="27" max="31" style="19655" width="9.140625"/>
  </cols>
  <sheetData>
    <row s="19146" customFormat="1" customHeight="1" ht="11.25" hidden="1">
      <c r="A1" s="1349"/>
      <c r="C1" s="2002"/>
      <c r="D1" s="898"/>
      <c r="H1" s="1523">
        <v>4</v>
      </c>
      <c r="I1" s="1523">
        <v>4</v>
      </c>
      <c r="L1" s="2002"/>
      <c r="M1" s="2002"/>
      <c r="R1" s="2002"/>
    </row>
    <row s="19146" customFormat="1" customHeight="1" ht="22.5" hidden="1">
      <c r="A2" s="1349"/>
      <c r="C2" s="2002"/>
      <c r="D2" s="899"/>
      <c r="E2" s="2003"/>
      <c r="F2" s="901"/>
      <c r="G2" s="2005" t="s">
        <v>552</v>
      </c>
      <c r="H2" s="902"/>
      <c r="I2" s="902"/>
      <c r="J2" s="903" t="s">
        <v>615</v>
      </c>
      <c r="K2" s="904"/>
      <c r="L2" s="2002"/>
      <c r="M2" s="2002"/>
      <c r="R2" s="2002"/>
      <c r="U2" s="905"/>
      <c r="AA2" s="1998"/>
      <c r="AB2" s="1998"/>
      <c r="AC2" s="1998"/>
      <c r="AD2" s="1998"/>
      <c r="AE2" s="1998"/>
    </row>
    <row customHeight="1" ht="11.25" hidden="1"/>
    <row s="19655" customFormat="1" customHeight="1" ht="11.25" hidden="1">
      <c r="A4" s="1349"/>
      <c r="B4" s="1523"/>
      <c r="C4" s="2002"/>
      <c r="D4" s="723"/>
      <c r="J4" s="1998">
        <v>4</v>
      </c>
      <c r="K4" s="1523"/>
      <c r="L4" s="2002"/>
      <c r="M4" s="2002"/>
      <c r="N4" s="1523"/>
      <c r="O4" s="1523"/>
      <c r="P4" s="1523"/>
      <c r="Q4" s="1523"/>
      <c r="R4" s="2002"/>
      <c r="S4" s="1523"/>
      <c r="T4" s="1523"/>
      <c r="U4" s="905"/>
      <c r="V4" s="1523"/>
      <c r="W4" s="1523"/>
      <c r="X4" s="1523"/>
      <c r="Y4" s="1523"/>
      <c r="Z4" s="1523"/>
    </row>
    <row r="6" customHeight="1" ht="22.5">
      <c r="E6" s="2573" t="s">
        <v>616</v>
      </c>
      <c r="F6" s="2573"/>
      <c r="G6" s="2573"/>
      <c r="H6" s="2573"/>
      <c r="I6" s="2573"/>
      <c r="J6" s="917"/>
    </row>
    <row customHeight="1" ht="24">
      <c r="E7" s="2561" t="str">
        <f>IF(org=0,"Не определено",org)</f>
        <v>Филиал "Шатурская ГРЭС" ПАО "Юнипро"</v>
      </c>
      <c r="F7" s="2561"/>
      <c r="G7" s="2561"/>
      <c r="H7" s="2561"/>
      <c r="I7" s="2561"/>
    </row>
    <row customHeight="1" ht="11.25">
      <c r="E8" s="1498"/>
      <c r="F8" s="1498"/>
      <c r="G8" s="1498"/>
      <c r="H8" s="1498"/>
      <c r="I8" s="1498"/>
    </row>
    <row s="19272" customFormat="1" customHeight="1" ht="0.75">
      <c r="A9" s="1530"/>
      <c r="D9" s="2008"/>
      <c r="H9" s="1250"/>
      <c r="I9" s="1250" t="s">
        <v>114</v>
      </c>
    </row>
    <row customHeight="1" ht="11.25">
      <c r="E10" s="1072"/>
      <c r="F10" s="2636" t="s">
        <v>102</v>
      </c>
      <c r="G10" s="2637"/>
      <c r="H10" s="1918" t="str">
        <f>IF(H9="","",INDEX(DIFFERENTIATION_UNMERGE_VD,MATCH(H9,DIFFERENTIATION_ID_DIFF,0)))</f>
        <v/>
      </c>
      <c r="I10" s="1918">
        <f>IF(I9="","",INDEX(DIFFERENTIATION_UNMERGE_VD,MATCH(I9,DIFFERENTIATION_ID_DIFF,0)))</f>
        <v>0</v>
      </c>
      <c r="J10" s="2392"/>
    </row>
    <row customHeight="1" ht="11.25">
      <c r="E11" s="1072"/>
      <c r="F11" s="2636" t="s">
        <v>564</v>
      </c>
      <c r="G11" s="2637"/>
      <c r="H11" s="1918" t="str">
        <f>IF(H9="","",INDEX(DIFFERENTIATION_UNMERGE_AREA,MATCH(H9,DIFFERENTIATION_ID_DIFF,0)))</f>
        <v/>
      </c>
      <c r="I11" s="1918" t="str">
        <f>IF(I9="","",INDEX(DIFFERENTIATION_UNMERGE_AREA,MATCH(I9,DIFFERENTIATION_ID_DIFF,0)))</f>
        <v/>
      </c>
      <c r="J11" s="2392"/>
    </row>
    <row customHeight="1" ht="11.25" hidden="1">
      <c r="E12" s="2028"/>
      <c r="F12" s="2651" t="s">
        <v>565</v>
      </c>
      <c r="G12" s="2652"/>
      <c r="H12" s="2029" t="str">
        <f>IF(H9="","",INDEX(DIFFERENTIATION_UNMERGE_SYSTEM,MATCH(H9,DIFFERENTIATION_ID_DIFF,0)))</f>
        <v/>
      </c>
      <c r="I12" s="2029" t="str">
        <f>IF(I9="","",INDEX(DIFFERENTIATION_UNMERGE_SYSTEM,MATCH(I9,DIFFERENTIATION_ID_DIFF,0)))</f>
        <v>без дифференциации</v>
      </c>
      <c r="J12" s="2392"/>
    </row>
    <row customHeight="1" ht="11.25">
      <c r="E13" s="2638" t="s">
        <v>300</v>
      </c>
      <c r="F13" s="2639"/>
      <c r="G13" s="2639"/>
      <c r="H13" s="1917"/>
      <c r="I13" s="1917"/>
      <c r="J13" s="2392"/>
    </row>
    <row customHeight="1" ht="22.5">
      <c r="E14" s="2005" t="s">
        <v>85</v>
      </c>
      <c r="F14" s="2000" t="s">
        <v>302</v>
      </c>
      <c r="G14" s="2000" t="s">
        <v>566</v>
      </c>
      <c r="H14" s="2000" t="s">
        <v>303</v>
      </c>
      <c r="I14" s="2000" t="s">
        <v>303</v>
      </c>
      <c r="J14" s="2392"/>
    </row>
    <row customHeight="1" ht="18.75">
      <c r="D15" s="2004"/>
      <c r="E15" s="1996" t="s">
        <v>106</v>
      </c>
      <c r="F15" s="1068" t="s">
        <v>617</v>
      </c>
      <c r="G15" s="2012" t="s">
        <v>552</v>
      </c>
      <c r="H15" s="918"/>
      <c r="I15" s="918"/>
      <c r="J15" s="650" t="s">
        <v>618</v>
      </c>
      <c r="K15" s="904" t="s">
        <v>619</v>
      </c>
    </row>
    <row customHeight="1" ht="33.75">
      <c r="D16" s="2004"/>
      <c r="E16" s="1996" t="s">
        <v>107</v>
      </c>
      <c r="F16" s="1068" t="s">
        <v>620</v>
      </c>
      <c r="G16" s="2012" t="s">
        <v>552</v>
      </c>
      <c r="H16" s="919">
        <f>SUM(H17,H20:H32)</f>
        <v>0</v>
      </c>
      <c r="I16" s="919">
        <f>SUM(I17,I20:I32)</f>
        <v>0</v>
      </c>
      <c r="J16" s="650" t="s">
        <v>621</v>
      </c>
      <c r="K16" s="904" t="s">
        <v>619</v>
      </c>
    </row>
    <row customHeight="1" ht="18.75">
      <c r="D17" s="2004"/>
      <c r="E17" s="2030" t="s">
        <v>622</v>
      </c>
      <c r="F17" s="1316" t="s">
        <v>623</v>
      </c>
      <c r="G17" s="2009" t="s">
        <v>552</v>
      </c>
      <c r="H17" s="918"/>
      <c r="I17" s="918"/>
      <c r="J17" s="650" t="s">
        <v>624</v>
      </c>
      <c r="K17" s="904"/>
    </row>
    <row customHeight="1" ht="22.5">
      <c r="D18" s="2004"/>
      <c r="E18" s="2030" t="s">
        <v>625</v>
      </c>
      <c r="F18" s="2016" t="s">
        <v>626</v>
      </c>
      <c r="G18" s="2009" t="s">
        <v>552</v>
      </c>
      <c r="H18" s="918"/>
      <c r="I18" s="918"/>
      <c r="J18" s="650" t="s">
        <v>627</v>
      </c>
      <c r="K18" s="904"/>
    </row>
    <row customHeight="1" ht="33.75">
      <c r="D19" s="2004"/>
      <c r="E19" s="2030" t="s">
        <v>628</v>
      </c>
      <c r="F19" s="2016" t="s">
        <v>629</v>
      </c>
      <c r="G19" s="2009" t="s">
        <v>552</v>
      </c>
      <c r="H19" s="918"/>
      <c r="I19" s="918"/>
      <c r="J19" s="650"/>
      <c r="K19" s="904"/>
    </row>
    <row customHeight="1" ht="18.75">
      <c r="D20" s="2004"/>
      <c r="E20" s="2030" t="s">
        <v>307</v>
      </c>
      <c r="F20" s="1316" t="s">
        <v>630</v>
      </c>
      <c r="G20" s="2009" t="s">
        <v>552</v>
      </c>
      <c r="H20" s="918"/>
      <c r="I20" s="918"/>
      <c r="J20" s="650" t="s">
        <v>631</v>
      </c>
      <c r="K20" s="904"/>
    </row>
    <row customHeight="1" ht="18.75">
      <c r="D21" s="2004"/>
      <c r="E21" s="2030" t="s">
        <v>632</v>
      </c>
      <c r="F21" s="2016" t="s">
        <v>633</v>
      </c>
      <c r="G21" s="2009" t="s">
        <v>552</v>
      </c>
      <c r="H21" s="918"/>
      <c r="I21" s="918"/>
      <c r="J21" s="650"/>
      <c r="K21" s="904"/>
    </row>
    <row customHeight="1" ht="18.75">
      <c r="D22" s="2004"/>
      <c r="E22" s="2030" t="s">
        <v>634</v>
      </c>
      <c r="F22" s="2016" t="s">
        <v>635</v>
      </c>
      <c r="G22" s="2009" t="s">
        <v>552</v>
      </c>
      <c r="H22" s="918"/>
      <c r="I22" s="918"/>
      <c r="J22" s="650"/>
      <c r="K22" s="904"/>
    </row>
    <row customHeight="1" ht="22.5">
      <c r="D23" s="2004"/>
      <c r="E23" s="2030" t="s">
        <v>310</v>
      </c>
      <c r="F23" s="1316" t="s">
        <v>636</v>
      </c>
      <c r="G23" s="2009" t="s">
        <v>552</v>
      </c>
      <c r="H23" s="918"/>
      <c r="I23" s="918"/>
      <c r="J23" s="650" t="s">
        <v>637</v>
      </c>
      <c r="K23" s="904"/>
    </row>
    <row customHeight="1" ht="18.75">
      <c r="D24" s="2004"/>
      <c r="E24" s="2030" t="s">
        <v>638</v>
      </c>
      <c r="F24" s="2016" t="s">
        <v>639</v>
      </c>
      <c r="G24" s="2009" t="s">
        <v>552</v>
      </c>
      <c r="H24" s="918"/>
      <c r="I24" s="918"/>
      <c r="J24" s="650"/>
      <c r="K24" s="904"/>
    </row>
    <row customHeight="1" ht="33.75">
      <c r="D25" s="2004"/>
      <c r="E25" s="2030" t="s">
        <v>640</v>
      </c>
      <c r="F25" s="2016" t="s">
        <v>641</v>
      </c>
      <c r="G25" s="2009" t="s">
        <v>552</v>
      </c>
      <c r="H25" s="918"/>
      <c r="I25" s="918"/>
      <c r="J25" s="650"/>
      <c r="K25" s="904"/>
    </row>
    <row customHeight="1" ht="22.5">
      <c r="D26" s="2004"/>
      <c r="E26" s="2030" t="s">
        <v>642</v>
      </c>
      <c r="F26" s="1316" t="s">
        <v>643</v>
      </c>
      <c r="G26" s="2009" t="s">
        <v>552</v>
      </c>
      <c r="H26" s="918"/>
      <c r="I26" s="918"/>
      <c r="J26" s="650" t="s">
        <v>644</v>
      </c>
      <c r="K26" s="904"/>
    </row>
    <row customHeight="1" ht="18.75">
      <c r="D27" s="2004"/>
      <c r="E27" s="2041" t="s">
        <v>645</v>
      </c>
      <c r="F27" s="2016" t="s">
        <v>646</v>
      </c>
      <c r="G27" s="2020" t="s">
        <v>552</v>
      </c>
      <c r="H27" s="2042"/>
      <c r="I27" s="2042"/>
      <c r="J27" s="650"/>
      <c r="K27" s="904"/>
    </row>
    <row customHeight="1" ht="18.75">
      <c r="D28" s="2004"/>
      <c r="E28" s="2041" t="s">
        <v>647</v>
      </c>
      <c r="F28" s="2016" t="s">
        <v>648</v>
      </c>
      <c r="G28" s="2020" t="s">
        <v>552</v>
      </c>
      <c r="H28" s="2042"/>
      <c r="I28" s="2042"/>
      <c r="J28" s="650"/>
      <c r="K28" s="904"/>
    </row>
    <row customHeight="1" ht="18.75">
      <c r="D29" s="2004"/>
      <c r="E29" s="2041" t="s">
        <v>649</v>
      </c>
      <c r="F29" s="1316" t="s">
        <v>650</v>
      </c>
      <c r="G29" s="2020" t="s">
        <v>552</v>
      </c>
      <c r="H29" s="2042"/>
      <c r="I29" s="2042"/>
      <c r="J29" s="650"/>
      <c r="K29" s="904"/>
    </row>
    <row customHeight="1" ht="18.75">
      <c r="D30" s="2004"/>
      <c r="E30" s="2041" t="s">
        <v>651</v>
      </c>
      <c r="F30" s="1316" t="s">
        <v>652</v>
      </c>
      <c r="G30" s="2020" t="s">
        <v>552</v>
      </c>
      <c r="H30" s="2042"/>
      <c r="I30" s="2042"/>
      <c r="J30" s="650"/>
      <c r="K30" s="904"/>
    </row>
    <row customHeight="1" ht="18.75">
      <c r="D31" s="2004"/>
      <c r="E31" s="2041" t="s">
        <v>653</v>
      </c>
      <c r="F31" s="1316" t="s">
        <v>654</v>
      </c>
      <c r="G31" s="2020" t="s">
        <v>552</v>
      </c>
      <c r="H31" s="2042"/>
      <c r="I31" s="2042"/>
      <c r="J31" s="650"/>
      <c r="K31" s="904"/>
    </row>
    <row s="19146" customFormat="1" customHeight="1" ht="22.5">
      <c r="A32" s="1349"/>
      <c r="C32" s="2002"/>
      <c r="D32" s="2004"/>
      <c r="E32" s="2041" t="s">
        <v>655</v>
      </c>
      <c r="F32" s="1316" t="s">
        <v>656</v>
      </c>
      <c r="G32" s="2010" t="s">
        <v>552</v>
      </c>
      <c r="H32" s="940">
        <f>SUM(H33:H34)</f>
        <v>0</v>
      </c>
      <c r="I32" s="940">
        <f>SUM(I33:I34)</f>
        <v>0</v>
      </c>
      <c r="J32" s="650" t="s">
        <v>657</v>
      </c>
      <c r="K32" s="904"/>
      <c r="L32" s="2002"/>
      <c r="M32" s="2002"/>
      <c r="R32" s="2002"/>
      <c r="U32" s="905"/>
      <c r="AA32" s="1998"/>
      <c r="AB32" s="1998"/>
      <c r="AC32" s="1998"/>
      <c r="AD32" s="1998"/>
      <c r="AE32" s="1998"/>
    </row>
    <row s="19272" customFormat="1" customHeight="1" ht="0.75">
      <c r="A33" s="1530"/>
      <c r="D33" s="909"/>
      <c r="E33" s="1163" t="str">
        <f>E32&amp;".0"</f>
        <v>2.8.0</v>
      </c>
      <c r="F33" s="1353"/>
      <c r="G33" s="912"/>
      <c r="H33" s="1354"/>
      <c r="I33" s="1354"/>
      <c r="J33" s="1355"/>
    </row>
    <row s="19146" customFormat="1" customHeight="1" ht="18.75">
      <c r="A34" s="1349"/>
      <c r="C34" s="2002"/>
      <c r="D34" s="1999"/>
      <c r="E34" s="931"/>
      <c r="F34" s="2032" t="s">
        <v>577</v>
      </c>
      <c r="G34" s="933"/>
      <c r="H34" s="934"/>
      <c r="I34" s="934"/>
      <c r="J34" s="662" t="s">
        <v>658</v>
      </c>
      <c r="K34" s="904"/>
      <c r="L34" s="2002"/>
      <c r="M34" s="2002"/>
      <c r="R34" s="2002"/>
      <c r="U34" s="905"/>
      <c r="AA34" s="1998"/>
      <c r="AB34" s="1998"/>
      <c r="AC34" s="1998"/>
      <c r="AD34" s="1998"/>
      <c r="AE34" s="1998"/>
    </row>
    <row customHeight="1" ht="56.25">
      <c r="D35" s="2004"/>
      <c r="E35" s="2041" t="s">
        <v>659</v>
      </c>
      <c r="F35" s="1316" t="s">
        <v>660</v>
      </c>
      <c r="G35" s="2020" t="s">
        <v>552</v>
      </c>
      <c r="H35" s="2042"/>
      <c r="I35" s="2042"/>
      <c r="J35" s="650" t="s">
        <v>661</v>
      </c>
      <c r="K35" s="904"/>
    </row>
    <row s="19146" customFormat="1" customHeight="1" ht="22.5">
      <c r="A36" s="1351" t="s">
        <v>578</v>
      </c>
      <c r="C36" s="2002"/>
      <c r="D36" s="2004"/>
      <c r="E36" s="2030" t="s">
        <v>87</v>
      </c>
      <c r="F36" s="1068" t="s">
        <v>662</v>
      </c>
      <c r="G36" s="2009" t="s">
        <v>552</v>
      </c>
      <c r="H36" s="918"/>
      <c r="I36" s="918"/>
      <c r="J36" s="650" t="s">
        <v>663</v>
      </c>
      <c r="K36" s="904"/>
      <c r="L36" s="2002"/>
      <c r="M36" s="2002"/>
      <c r="R36" s="2002"/>
      <c r="U36" s="905"/>
      <c r="AA36" s="1998"/>
      <c r="AB36" s="1998"/>
      <c r="AC36" s="1998"/>
      <c r="AD36" s="1998"/>
      <c r="AE36" s="1998"/>
    </row>
    <row s="19146" customFormat="1" customHeight="1" ht="22.5">
      <c r="A37" s="1351"/>
      <c r="C37" s="2002"/>
      <c r="D37" s="2004"/>
      <c r="E37" s="2030" t="s">
        <v>324</v>
      </c>
      <c r="F37" s="1316" t="s">
        <v>664</v>
      </c>
      <c r="G37" s="2020"/>
      <c r="H37" s="918"/>
      <c r="I37" s="918"/>
      <c r="J37" s="650"/>
      <c r="K37" s="904"/>
      <c r="L37" s="2002"/>
      <c r="M37" s="2002"/>
      <c r="R37" s="2002"/>
      <c r="U37" s="905"/>
      <c r="AA37" s="1998"/>
      <c r="AB37" s="1998"/>
      <c r="AC37" s="1998"/>
      <c r="AD37" s="1998"/>
      <c r="AE37" s="1998"/>
    </row>
    <row s="19146" customFormat="1" customHeight="1" ht="18.75">
      <c r="A38" s="1349"/>
      <c r="C38" s="2002"/>
      <c r="D38" s="936"/>
      <c r="E38" s="2030" t="s">
        <v>88</v>
      </c>
      <c r="F38" s="1068" t="s">
        <v>665</v>
      </c>
      <c r="G38" s="2009" t="s">
        <v>552</v>
      </c>
      <c r="H38" s="918"/>
      <c r="I38" s="918"/>
      <c r="J38" s="650" t="s">
        <v>666</v>
      </c>
      <c r="K38" s="904"/>
      <c r="L38" s="2002"/>
      <c r="M38" s="2002"/>
      <c r="R38" s="2002"/>
      <c r="U38" s="905"/>
      <c r="AA38" s="1998"/>
      <c r="AB38" s="1998"/>
      <c r="AC38" s="1998"/>
      <c r="AD38" s="1998"/>
      <c r="AE38" s="1998"/>
    </row>
    <row s="19146" customFormat="1" customHeight="1" ht="22.5">
      <c r="A39" s="1349"/>
      <c r="C39" s="2002"/>
      <c r="D39" s="936"/>
      <c r="E39" s="2030" t="s">
        <v>667</v>
      </c>
      <c r="F39" s="1316" t="s">
        <v>668</v>
      </c>
      <c r="G39" s="2020" t="s">
        <v>552</v>
      </c>
      <c r="H39" s="918"/>
      <c r="I39" s="918"/>
      <c r="J39" s="650" t="s">
        <v>669</v>
      </c>
      <c r="K39" s="904"/>
      <c r="L39" s="2002"/>
      <c r="M39" s="2002"/>
      <c r="R39" s="2002"/>
      <c r="U39" s="905"/>
      <c r="AA39" s="1998"/>
      <c r="AB39" s="1998"/>
      <c r="AC39" s="1998"/>
      <c r="AD39" s="1998"/>
      <c r="AE39" s="1998"/>
    </row>
    <row s="19146" customFormat="1" customHeight="1" ht="22.5">
      <c r="A40" s="1349"/>
      <c r="C40" s="2002"/>
      <c r="D40" s="2004"/>
      <c r="E40" s="2030" t="s">
        <v>670</v>
      </c>
      <c r="F40" s="2016" t="s">
        <v>671</v>
      </c>
      <c r="G40" s="2009" t="s">
        <v>552</v>
      </c>
      <c r="H40" s="918"/>
      <c r="I40" s="918"/>
      <c r="J40" s="650" t="s">
        <v>672</v>
      </c>
      <c r="K40" s="904"/>
      <c r="L40" s="2002"/>
      <c r="M40" s="2002"/>
      <c r="R40" s="2002"/>
      <c r="U40" s="905"/>
      <c r="AA40" s="1998"/>
      <c r="AB40" s="1998"/>
      <c r="AC40" s="1998"/>
      <c r="AD40" s="1998"/>
      <c r="AE40" s="1998"/>
    </row>
    <row s="19146" customFormat="1" customHeight="1" ht="22.5">
      <c r="A41" s="1349"/>
      <c r="C41" s="2002"/>
      <c r="D41" s="2004"/>
      <c r="E41" s="2030" t="s">
        <v>673</v>
      </c>
      <c r="F41" s="2016" t="s">
        <v>674</v>
      </c>
      <c r="G41" s="2009" t="s">
        <v>552</v>
      </c>
      <c r="H41" s="918"/>
      <c r="I41" s="918"/>
      <c r="J41" s="650" t="s">
        <v>675</v>
      </c>
      <c r="K41" s="904"/>
      <c r="L41" s="2002"/>
      <c r="M41" s="2002"/>
      <c r="R41" s="2002"/>
      <c r="U41" s="905"/>
      <c r="AA41" s="1998"/>
      <c r="AB41" s="1998"/>
      <c r="AC41" s="1998"/>
      <c r="AD41" s="1998"/>
      <c r="AE41" s="1998"/>
    </row>
    <row s="19146" customFormat="1" customHeight="1" ht="22.5">
      <c r="A42" s="1349"/>
      <c r="C42" s="2002"/>
      <c r="D42" s="2004"/>
      <c r="E42" s="2030" t="s">
        <v>676</v>
      </c>
      <c r="F42" s="2016" t="s">
        <v>677</v>
      </c>
      <c r="G42" s="2009" t="s">
        <v>552</v>
      </c>
      <c r="H42" s="918"/>
      <c r="I42" s="918"/>
      <c r="J42" s="650" t="s">
        <v>678</v>
      </c>
      <c r="K42" s="904"/>
      <c r="L42" s="2002"/>
      <c r="M42" s="2002"/>
      <c r="R42" s="2002"/>
      <c r="U42" s="905"/>
      <c r="AA42" s="1998"/>
      <c r="AB42" s="1998"/>
      <c r="AC42" s="1998"/>
      <c r="AD42" s="1998"/>
      <c r="AE42" s="1998"/>
    </row>
    <row s="19146" customFormat="1" customHeight="1" ht="33.75">
      <c r="A43" s="1349"/>
      <c r="C43" s="2002" t="s">
        <v>588</v>
      </c>
      <c r="D43" s="2004"/>
      <c r="E43" s="2030" t="s">
        <v>108</v>
      </c>
      <c r="F43" s="1068" t="s">
        <v>679</v>
      </c>
      <c r="G43" s="2012" t="s">
        <v>680</v>
      </c>
      <c r="H43" s="762"/>
      <c r="I43" s="762"/>
      <c r="J43" s="650" t="s">
        <v>681</v>
      </c>
      <c r="K43" s="904"/>
      <c r="L43" s="2002"/>
      <c r="M43" s="2002"/>
      <c r="R43" s="2002"/>
      <c r="U43" s="905"/>
      <c r="AA43" s="1998"/>
      <c r="AB43" s="1998"/>
      <c r="AC43" s="1998"/>
      <c r="AD43" s="1998"/>
      <c r="AE43" s="1998"/>
    </row>
    <row s="19146" customFormat="1" customHeight="1" ht="22.5">
      <c r="A44" s="1349"/>
      <c r="C44" s="2002"/>
      <c r="D44" s="2004"/>
      <c r="E44" s="2030" t="s">
        <v>89</v>
      </c>
      <c r="F44" s="1068" t="s">
        <v>682</v>
      </c>
      <c r="G44" s="2009" t="s">
        <v>683</v>
      </c>
      <c r="H44" s="906"/>
      <c r="I44" s="906"/>
      <c r="J44" s="650" t="s">
        <v>684</v>
      </c>
      <c r="K44" s="904"/>
      <c r="L44" s="2002"/>
      <c r="M44" s="2002"/>
      <c r="R44" s="2002"/>
      <c r="U44" s="905"/>
      <c r="AA44" s="1998"/>
      <c r="AB44" s="1998"/>
      <c r="AC44" s="1998"/>
      <c r="AD44" s="1998"/>
      <c r="AE44" s="1998"/>
    </row>
    <row s="19146" customFormat="1" customHeight="1" ht="22.5">
      <c r="A45" s="1349"/>
      <c r="C45" s="2002"/>
      <c r="D45" s="2004"/>
      <c r="E45" s="2030" t="s">
        <v>90</v>
      </c>
      <c r="F45" s="1068" t="s">
        <v>685</v>
      </c>
      <c r="G45" s="2020" t="s">
        <v>686</v>
      </c>
      <c r="H45" s="906"/>
      <c r="I45" s="906"/>
      <c r="J45" s="650" t="s">
        <v>687</v>
      </c>
      <c r="K45" s="904"/>
      <c r="L45" s="2002"/>
      <c r="M45" s="2002"/>
      <c r="R45" s="2002"/>
      <c r="U45" s="905"/>
      <c r="AA45" s="1998"/>
      <c r="AB45" s="1998"/>
      <c r="AC45" s="1998"/>
      <c r="AD45" s="1998"/>
      <c r="AE45" s="1998"/>
    </row>
    <row s="19146" customFormat="1" customHeight="1" ht="18.75">
      <c r="A46" s="1349"/>
      <c r="C46" s="2002"/>
      <c r="D46" s="2004"/>
      <c r="E46" s="2030" t="s">
        <v>109</v>
      </c>
      <c r="F46" s="1068" t="s">
        <v>688</v>
      </c>
      <c r="G46" s="2009" t="s">
        <v>590</v>
      </c>
      <c r="H46" s="938"/>
      <c r="I46" s="938"/>
      <c r="J46" s="650"/>
      <c r="K46" s="904"/>
      <c r="L46" s="2002"/>
      <c r="M46" s="2002"/>
      <c r="R46" s="2002"/>
      <c r="U46" s="905"/>
      <c r="AA46" s="1998"/>
      <c r="AB46" s="1998"/>
      <c r="AC46" s="1998"/>
      <c r="AD46" s="1998"/>
      <c r="AE46" s="1998"/>
    </row>
    <row customHeight="1" ht="11.25">
      <c r="D47" s="2004"/>
    </row>
    <row customHeight="1" ht="26.25">
      <c r="D48" s="2004"/>
      <c r="E48" s="1618"/>
      <c r="F48" s="2526"/>
      <c r="G48" s="2526"/>
      <c r="H48" s="2526"/>
      <c r="I48" s="2526"/>
      <c r="J48" s="2526"/>
    </row>
    <row s="19269" customFormat="1" customHeight="1" ht="37.5">
      <c r="A49" s="1349"/>
      <c r="B49" s="2002"/>
      <c r="C49" s="2002"/>
      <c r="D49" s="712"/>
      <c r="F49" s="2526"/>
      <c r="G49" s="2526"/>
      <c r="H49" s="2526"/>
      <c r="I49" s="2526"/>
      <c r="J49" s="2526"/>
      <c r="K49" s="1523"/>
      <c r="L49" s="2002"/>
      <c r="M49" s="2002"/>
      <c r="N49" s="1523"/>
      <c r="O49" s="1523"/>
      <c r="P49" s="1523"/>
      <c r="Q49" s="1523"/>
      <c r="R49" s="2002"/>
      <c r="S49" s="1523"/>
      <c r="T49" s="1523"/>
      <c r="U49" s="905"/>
      <c r="V49" s="1523"/>
      <c r="W49" s="1523"/>
      <c r="X49" s="1523"/>
      <c r="Y49" s="1523"/>
      <c r="Z49" s="1523"/>
      <c r="AA49" s="1998"/>
      <c r="AB49" s="927"/>
      <c r="AC49" s="927"/>
      <c r="AD49" s="927"/>
      <c r="AE49" s="927"/>
    </row>
    <row s="19269" customFormat="1" customHeight="1" ht="11.25">
      <c r="A50" s="1349"/>
      <c r="B50" s="2002"/>
      <c r="C50" s="2002"/>
      <c r="D50" s="712"/>
      <c r="K50" s="1523"/>
      <c r="L50" s="2002"/>
      <c r="M50" s="2002"/>
      <c r="N50" s="1523"/>
      <c r="O50" s="1523"/>
      <c r="P50" s="1523"/>
      <c r="Q50" s="1523"/>
      <c r="R50" s="2002"/>
      <c r="S50" s="1523"/>
      <c r="T50" s="1523"/>
      <c r="U50" s="905"/>
      <c r="V50" s="1523"/>
      <c r="W50" s="1523"/>
      <c r="X50" s="1523"/>
      <c r="Y50" s="1523"/>
      <c r="Z50" s="1523"/>
      <c r="AA50" s="1998"/>
      <c r="AB50" s="927"/>
      <c r="AC50" s="927"/>
      <c r="AD50" s="927"/>
      <c r="AE50" s="927"/>
    </row>
    <row s="19269" customFormat="1" customHeight="1" ht="11.25">
      <c r="A51" s="1349"/>
      <c r="B51" s="2002"/>
      <c r="C51" s="2002"/>
      <c r="D51" s="712"/>
      <c r="K51" s="1523"/>
      <c r="L51" s="2002"/>
      <c r="M51" s="2002"/>
      <c r="N51" s="1523"/>
      <c r="O51" s="1523"/>
      <c r="P51" s="1523"/>
      <c r="Q51" s="1523"/>
      <c r="R51" s="2002"/>
      <c r="S51" s="1523"/>
      <c r="T51" s="1523"/>
      <c r="U51" s="905"/>
      <c r="V51" s="1523"/>
      <c r="W51" s="1523"/>
      <c r="X51" s="1523"/>
      <c r="Y51" s="1523"/>
      <c r="Z51" s="1523"/>
      <c r="AA51" s="1998"/>
      <c r="AB51" s="927"/>
      <c r="AC51" s="927"/>
      <c r="AD51" s="927"/>
      <c r="AE51" s="927"/>
    </row>
    <row s="19269" customFormat="1" customHeight="1" ht="11.25">
      <c r="A52" s="1349"/>
      <c r="B52" s="2002"/>
      <c r="C52" s="2002"/>
      <c r="D52" s="712"/>
      <c r="H52" s="927"/>
      <c r="I52" s="927"/>
      <c r="K52" s="1523"/>
      <c r="L52" s="2002"/>
      <c r="M52" s="2002"/>
      <c r="N52" s="1523"/>
      <c r="O52" s="1523"/>
      <c r="P52" s="1523"/>
      <c r="Q52" s="1523"/>
      <c r="R52" s="2002"/>
      <c r="S52" s="1523"/>
      <c r="T52" s="1523"/>
      <c r="U52" s="905"/>
      <c r="V52" s="1523"/>
      <c r="W52" s="1523"/>
      <c r="X52" s="1523"/>
      <c r="Y52" s="1523"/>
      <c r="Z52" s="1523"/>
      <c r="AA52" s="1998"/>
      <c r="AB52" s="927"/>
      <c r="AC52" s="927"/>
      <c r="AD52" s="927"/>
      <c r="AE52" s="927"/>
    </row>
    <row s="19269" customFormat="1" customHeight="1" ht="11.25">
      <c r="A53" s="1349"/>
      <c r="B53" s="2002"/>
      <c r="C53" s="2002"/>
      <c r="D53" s="712"/>
      <c r="K53" s="1523"/>
      <c r="L53" s="2002"/>
      <c r="M53" s="2002"/>
      <c r="N53" s="1523"/>
      <c r="O53" s="1523"/>
      <c r="P53" s="1523"/>
      <c r="Q53" s="1523"/>
      <c r="R53" s="2002"/>
      <c r="S53" s="1523"/>
      <c r="T53" s="1523"/>
      <c r="U53" s="905"/>
      <c r="V53" s="1523"/>
      <c r="W53" s="1523"/>
      <c r="X53" s="1523"/>
      <c r="Y53" s="1523"/>
      <c r="Z53" s="1523"/>
      <c r="AA53" s="1998"/>
      <c r="AB53" s="927"/>
      <c r="AC53" s="927"/>
      <c r="AD53" s="927"/>
      <c r="AE53" s="927"/>
    </row>
    <row s="19269" customFormat="1" customHeight="1" ht="11.25">
      <c r="A54" s="1349"/>
      <c r="B54" s="2002"/>
      <c r="C54" s="2002"/>
      <c r="D54" s="712"/>
      <c r="K54" s="1523"/>
      <c r="L54" s="2002"/>
      <c r="M54" s="2002"/>
      <c r="N54" s="1523"/>
      <c r="O54" s="1523"/>
      <c r="P54" s="1523"/>
      <c r="Q54" s="1523"/>
      <c r="R54" s="2002"/>
      <c r="S54" s="1523"/>
      <c r="T54" s="1523"/>
      <c r="U54" s="905"/>
      <c r="V54" s="1523"/>
      <c r="W54" s="1523"/>
      <c r="X54" s="1523"/>
      <c r="Y54" s="1523"/>
      <c r="Z54" s="1523"/>
      <c r="AA54" s="1998"/>
      <c r="AB54" s="927"/>
      <c r="AC54" s="927"/>
      <c r="AD54" s="927"/>
      <c r="AE54" s="927"/>
    </row>
    <row s="19269" customFormat="1" customHeight="1" ht="11.25">
      <c r="A55" s="1349"/>
      <c r="B55" s="2002"/>
      <c r="C55" s="2002"/>
      <c r="D55" s="712"/>
      <c r="K55" s="1523"/>
      <c r="L55" s="2002"/>
      <c r="M55" s="2002"/>
      <c r="N55" s="1523"/>
      <c r="O55" s="1523"/>
      <c r="P55" s="1523"/>
      <c r="Q55" s="1523"/>
      <c r="R55" s="2002"/>
      <c r="S55" s="1523"/>
      <c r="T55" s="1523"/>
      <c r="U55" s="905"/>
      <c r="V55" s="1523"/>
      <c r="W55" s="1523"/>
      <c r="X55" s="1523"/>
      <c r="Y55" s="1523"/>
      <c r="Z55" s="1523"/>
      <c r="AA55" s="1998"/>
      <c r="AB55" s="927"/>
      <c r="AC55" s="927"/>
      <c r="AD55" s="927"/>
      <c r="AE55" s="927"/>
    </row>
    <row s="19269" customFormat="1" customHeight="1" ht="11.25">
      <c r="A56" s="1349"/>
      <c r="B56" s="2002"/>
      <c r="C56" s="2002"/>
      <c r="D56" s="712"/>
      <c r="K56" s="1523"/>
      <c r="L56" s="2002"/>
      <c r="M56" s="2002"/>
      <c r="N56" s="1523"/>
      <c r="O56" s="1523"/>
      <c r="P56" s="1523"/>
      <c r="Q56" s="1523"/>
      <c r="R56" s="2002"/>
      <c r="S56" s="1523"/>
      <c r="T56" s="1523"/>
      <c r="U56" s="905"/>
      <c r="V56" s="1523"/>
      <c r="W56" s="1523"/>
      <c r="X56" s="1523"/>
      <c r="Y56" s="1523"/>
      <c r="Z56" s="1523"/>
      <c r="AA56" s="1998"/>
      <c r="AB56" s="927"/>
      <c r="AC56" s="927"/>
      <c r="AD56" s="927"/>
      <c r="AE56" s="927"/>
    </row>
    <row s="19269" customFormat="1" customHeight="1" ht="11.25">
      <c r="A57" s="1349"/>
      <c r="B57" s="2002"/>
      <c r="C57" s="2002"/>
      <c r="D57" s="712"/>
      <c r="K57" s="1523"/>
      <c r="L57" s="2002"/>
      <c r="M57" s="2002"/>
      <c r="N57" s="1523"/>
      <c r="O57" s="1523"/>
      <c r="P57" s="1523"/>
      <c r="Q57" s="1523"/>
      <c r="R57" s="2002"/>
      <c r="S57" s="1523"/>
      <c r="T57" s="1523"/>
      <c r="U57" s="905"/>
      <c r="V57" s="1523"/>
      <c r="W57" s="1523"/>
      <c r="X57" s="1523"/>
      <c r="Y57" s="1523"/>
      <c r="Z57" s="1523"/>
      <c r="AA57" s="1998"/>
      <c r="AB57" s="927"/>
      <c r="AC57" s="927"/>
      <c r="AD57" s="927"/>
      <c r="AE57" s="927"/>
    </row>
    <row s="19269" customFormat="1" customHeight="1" ht="11.25">
      <c r="A58" s="1349"/>
      <c r="B58" s="2002"/>
      <c r="C58" s="2002"/>
      <c r="D58" s="712"/>
      <c r="K58" s="1523"/>
      <c r="L58" s="2002"/>
      <c r="M58" s="2002"/>
      <c r="N58" s="1523"/>
      <c r="O58" s="1523"/>
      <c r="P58" s="1523"/>
      <c r="Q58" s="1523"/>
      <c r="R58" s="2002"/>
      <c r="S58" s="1523"/>
      <c r="T58" s="1523"/>
      <c r="U58" s="905"/>
      <c r="V58" s="1523"/>
      <c r="W58" s="1523"/>
      <c r="X58" s="1523"/>
      <c r="Y58" s="1523"/>
      <c r="Z58" s="1523"/>
      <c r="AA58" s="1998"/>
      <c r="AB58" s="927"/>
      <c r="AC58" s="927"/>
      <c r="AD58" s="927"/>
      <c r="AE58" s="927"/>
    </row>
    <row s="19269" customFormat="1" customHeight="1" ht="11.25">
      <c r="A59" s="1349"/>
      <c r="B59" s="2002"/>
      <c r="C59" s="2002"/>
      <c r="D59" s="712"/>
      <c r="K59" s="1523"/>
      <c r="L59" s="2002"/>
      <c r="M59" s="2002"/>
      <c r="N59" s="1523"/>
      <c r="O59" s="1523"/>
      <c r="P59" s="1523"/>
      <c r="Q59" s="1523"/>
      <c r="R59" s="2002"/>
      <c r="S59" s="1523"/>
      <c r="T59" s="1523"/>
      <c r="U59" s="905"/>
      <c r="V59" s="1523"/>
      <c r="W59" s="1523"/>
      <c r="X59" s="1523"/>
      <c r="Y59" s="1523"/>
      <c r="Z59" s="1523"/>
      <c r="AA59" s="1998"/>
      <c r="AB59" s="927"/>
      <c r="AC59" s="927"/>
      <c r="AD59" s="927"/>
      <c r="AE59" s="927"/>
    </row>
    <row s="19269" customFormat="1" customHeight="1" ht="11.25">
      <c r="A60" s="1349"/>
      <c r="B60" s="2002"/>
      <c r="C60" s="2002"/>
      <c r="D60" s="712"/>
      <c r="K60" s="1523"/>
      <c r="L60" s="2002"/>
      <c r="M60" s="2002"/>
      <c r="N60" s="1523"/>
      <c r="O60" s="1523"/>
      <c r="P60" s="1523"/>
      <c r="Q60" s="1523"/>
      <c r="R60" s="2002"/>
      <c r="S60" s="1523"/>
      <c r="T60" s="1523"/>
      <c r="U60" s="905"/>
      <c r="V60" s="1523"/>
      <c r="W60" s="1523"/>
      <c r="X60" s="1523"/>
      <c r="Y60" s="1523"/>
      <c r="Z60" s="1523"/>
      <c r="AA60" s="1998"/>
      <c r="AB60" s="927"/>
      <c r="AC60" s="927"/>
      <c r="AD60" s="927"/>
      <c r="AE60" s="927"/>
    </row>
    <row s="19269" customFormat="1" customHeight="1" ht="11.25">
      <c r="A61" s="1349"/>
      <c r="B61" s="2002"/>
      <c r="C61" s="2002"/>
      <c r="D61" s="712"/>
      <c r="K61" s="1523"/>
      <c r="L61" s="2002"/>
      <c r="M61" s="2002"/>
      <c r="N61" s="1523"/>
      <c r="O61" s="1523"/>
      <c r="P61" s="1523"/>
      <c r="Q61" s="1523"/>
      <c r="R61" s="2002"/>
      <c r="S61" s="1523"/>
      <c r="T61" s="1523"/>
      <c r="U61" s="905"/>
      <c r="V61" s="1523"/>
      <c r="W61" s="1523"/>
      <c r="X61" s="1523"/>
      <c r="Y61" s="1523"/>
      <c r="Z61" s="1523"/>
      <c r="AA61" s="1998"/>
      <c r="AB61" s="927"/>
      <c r="AC61" s="927"/>
      <c r="AD61" s="927"/>
      <c r="AE61" s="927"/>
    </row>
    <row s="19269" customFormat="1" customHeight="1" ht="11.25">
      <c r="A62" s="1349"/>
      <c r="B62" s="2002"/>
      <c r="C62" s="2002"/>
      <c r="D62" s="712"/>
      <c r="K62" s="1523"/>
      <c r="L62" s="2002"/>
      <c r="M62" s="2002"/>
      <c r="N62" s="1523"/>
      <c r="O62" s="1523"/>
      <c r="P62" s="1523"/>
      <c r="Q62" s="1523"/>
      <c r="R62" s="2002"/>
      <c r="S62" s="1523"/>
      <c r="T62" s="1523"/>
      <c r="U62" s="905"/>
      <c r="V62" s="1523"/>
      <c r="W62" s="1523"/>
      <c r="X62" s="1523"/>
      <c r="Y62" s="1523"/>
      <c r="Z62" s="1523"/>
      <c r="AA62" s="1998"/>
      <c r="AB62" s="927"/>
      <c r="AC62" s="927"/>
      <c r="AD62" s="927"/>
      <c r="AE62" s="927"/>
    </row>
    <row s="19269" customFormat="1" customHeight="1" ht="11.25">
      <c r="A63" s="1349"/>
      <c r="B63" s="2002"/>
      <c r="C63" s="2002"/>
      <c r="D63" s="712"/>
      <c r="K63" s="1523"/>
      <c r="L63" s="2002"/>
      <c r="M63" s="2002"/>
      <c r="N63" s="1523"/>
      <c r="O63" s="1523"/>
      <c r="P63" s="1523"/>
      <c r="Q63" s="1523"/>
      <c r="R63" s="2002"/>
      <c r="S63" s="1523"/>
      <c r="T63" s="1523"/>
      <c r="U63" s="905"/>
      <c r="V63" s="1523"/>
      <c r="W63" s="1523"/>
      <c r="X63" s="1523"/>
      <c r="Y63" s="1523"/>
      <c r="Z63" s="1523"/>
      <c r="AA63" s="1998"/>
      <c r="AB63" s="927"/>
      <c r="AC63" s="927"/>
      <c r="AD63" s="927"/>
      <c r="AE63" s="927"/>
    </row>
    <row s="19269" customFormat="1" customHeight="1" ht="11.25">
      <c r="A64" s="1349"/>
      <c r="B64" s="2002"/>
      <c r="C64" s="2002"/>
      <c r="D64" s="712"/>
      <c r="K64" s="1523"/>
      <c r="L64" s="2002"/>
      <c r="M64" s="2002"/>
      <c r="N64" s="1523"/>
      <c r="O64" s="1523"/>
      <c r="P64" s="1523"/>
      <c r="Q64" s="1523"/>
      <c r="R64" s="2002"/>
      <c r="S64" s="1523"/>
      <c r="T64" s="1523"/>
      <c r="U64" s="905"/>
      <c r="V64" s="1523"/>
      <c r="W64" s="1523"/>
      <c r="X64" s="1523"/>
      <c r="Y64" s="1523"/>
      <c r="Z64" s="1523"/>
      <c r="AA64" s="1998"/>
      <c r="AB64" s="927"/>
      <c r="AC64" s="927"/>
      <c r="AD64" s="927"/>
      <c r="AE64" s="927"/>
    </row>
    <row s="19269" customFormat="1" customHeight="1" ht="11.25">
      <c r="A65" s="1349"/>
      <c r="B65" s="2002"/>
      <c r="C65" s="2002"/>
      <c r="D65" s="712"/>
      <c r="K65" s="1523"/>
      <c r="L65" s="2002"/>
      <c r="M65" s="2002"/>
      <c r="N65" s="1523"/>
      <c r="O65" s="1523"/>
      <c r="P65" s="1523"/>
      <c r="Q65" s="1523"/>
      <c r="R65" s="2002"/>
      <c r="S65" s="1523"/>
      <c r="T65" s="1523"/>
      <c r="U65" s="905"/>
      <c r="V65" s="1523"/>
      <c r="W65" s="1523"/>
      <c r="X65" s="1523"/>
      <c r="Y65" s="1523"/>
      <c r="Z65" s="1523"/>
      <c r="AA65" s="1998"/>
      <c r="AB65" s="927"/>
      <c r="AC65" s="927"/>
      <c r="AD65" s="927"/>
      <c r="AE65" s="927"/>
    </row>
    <row s="19269" customFormat="1" customHeight="1" ht="11.25">
      <c r="A66" s="1349"/>
      <c r="B66" s="2002"/>
      <c r="C66" s="2002"/>
      <c r="D66" s="712"/>
      <c r="K66" s="1523"/>
      <c r="L66" s="2002"/>
      <c r="M66" s="2002"/>
      <c r="N66" s="1523"/>
      <c r="O66" s="1523"/>
      <c r="P66" s="1523"/>
      <c r="Q66" s="1523"/>
      <c r="R66" s="2002"/>
      <c r="S66" s="1523"/>
      <c r="T66" s="1523"/>
      <c r="U66" s="905"/>
      <c r="V66" s="1523"/>
      <c r="W66" s="1523"/>
      <c r="X66" s="1523"/>
      <c r="Y66" s="1523"/>
      <c r="Z66" s="1523"/>
      <c r="AA66" s="1998"/>
      <c r="AB66" s="927"/>
      <c r="AC66" s="927"/>
      <c r="AD66" s="927"/>
      <c r="AE66" s="927"/>
    </row>
    <row s="19269" customFormat="1" customHeight="1" ht="11.25">
      <c r="A67" s="1349"/>
      <c r="B67" s="2002"/>
      <c r="C67" s="2002"/>
      <c r="D67" s="712"/>
      <c r="K67" s="1523"/>
      <c r="L67" s="2002"/>
      <c r="M67" s="2002"/>
      <c r="N67" s="1523"/>
      <c r="O67" s="1523"/>
      <c r="P67" s="1523"/>
      <c r="Q67" s="1523"/>
      <c r="R67" s="2002"/>
      <c r="S67" s="1523"/>
      <c r="T67" s="1523"/>
      <c r="U67" s="905"/>
      <c r="V67" s="1523"/>
      <c r="W67" s="1523"/>
      <c r="X67" s="1523"/>
      <c r="Y67" s="1523"/>
      <c r="Z67" s="1523"/>
      <c r="AA67" s="1998"/>
      <c r="AB67" s="927"/>
      <c r="AC67" s="927"/>
      <c r="AD67" s="927"/>
      <c r="AE67" s="927"/>
    </row>
    <row s="19269" customFormat="1" customHeight="1" ht="11.25">
      <c r="A68" s="1349"/>
      <c r="B68" s="2002"/>
      <c r="C68" s="2002"/>
      <c r="D68" s="712"/>
      <c r="K68" s="1523"/>
      <c r="L68" s="2002"/>
      <c r="M68" s="2002"/>
      <c r="N68" s="1523"/>
      <c r="O68" s="1523"/>
      <c r="P68" s="1523"/>
      <c r="Q68" s="1523"/>
      <c r="R68" s="2002"/>
      <c r="S68" s="1523"/>
      <c r="T68" s="1523"/>
      <c r="U68" s="905"/>
      <c r="V68" s="1523"/>
      <c r="W68" s="1523"/>
      <c r="X68" s="1523"/>
      <c r="Y68" s="1523"/>
      <c r="Z68" s="1523"/>
      <c r="AA68" s="1998"/>
      <c r="AB68" s="927"/>
      <c r="AC68" s="927"/>
      <c r="AD68" s="927"/>
      <c r="AE68" s="927"/>
    </row>
    <row s="19269" customFormat="1" customHeight="1" ht="11.25">
      <c r="A69" s="1349"/>
      <c r="B69" s="2002"/>
      <c r="C69" s="2002"/>
      <c r="D69" s="712"/>
      <c r="K69" s="1523"/>
      <c r="L69" s="2002"/>
      <c r="M69" s="2002"/>
      <c r="N69" s="1523"/>
      <c r="O69" s="1523"/>
      <c r="P69" s="1523"/>
      <c r="Q69" s="1523"/>
      <c r="R69" s="2002"/>
      <c r="S69" s="1523"/>
      <c r="T69" s="1523"/>
      <c r="U69" s="905"/>
      <c r="V69" s="1523"/>
      <c r="W69" s="1523"/>
      <c r="X69" s="1523"/>
      <c r="Y69" s="1523"/>
      <c r="Z69" s="1523"/>
      <c r="AA69" s="1998"/>
      <c r="AB69" s="927"/>
      <c r="AC69" s="927"/>
      <c r="AD69" s="927"/>
      <c r="AE69" s="927"/>
    </row>
    <row s="19269" customFormat="1" customHeight="1" ht="11.25">
      <c r="A70" s="1349"/>
      <c r="B70" s="2002"/>
      <c r="C70" s="2002"/>
      <c r="D70" s="712"/>
      <c r="K70" s="1523"/>
      <c r="L70" s="2002"/>
      <c r="M70" s="2002"/>
      <c r="N70" s="1523"/>
      <c r="O70" s="1523"/>
      <c r="P70" s="1523"/>
      <c r="Q70" s="1523"/>
      <c r="R70" s="2002"/>
      <c r="S70" s="1523"/>
      <c r="T70" s="1523"/>
      <c r="U70" s="905"/>
      <c r="V70" s="1523"/>
      <c r="W70" s="1523"/>
      <c r="X70" s="1523"/>
      <c r="Y70" s="1523"/>
      <c r="Z70" s="1523"/>
      <c r="AA70" s="1998"/>
      <c r="AB70" s="927"/>
      <c r="AC70" s="927"/>
      <c r="AD70" s="927"/>
      <c r="AE70" s="927"/>
    </row>
    <row s="19269" customFormat="1" customHeight="1" ht="11.25">
      <c r="A71" s="1349"/>
      <c r="B71" s="2002"/>
      <c r="C71" s="2002"/>
      <c r="D71" s="712"/>
      <c r="K71" s="1523"/>
      <c r="L71" s="2002"/>
      <c r="M71" s="2002"/>
      <c r="N71" s="1523"/>
      <c r="O71" s="1523"/>
      <c r="P71" s="1523"/>
      <c r="Q71" s="1523"/>
      <c r="R71" s="2002"/>
      <c r="S71" s="1523"/>
      <c r="T71" s="1523"/>
      <c r="U71" s="905"/>
      <c r="V71" s="1523"/>
      <c r="W71" s="1523"/>
      <c r="X71" s="1523"/>
      <c r="Y71" s="1523"/>
      <c r="Z71" s="1523"/>
      <c r="AA71" s="1998"/>
      <c r="AB71" s="927"/>
      <c r="AC71" s="927"/>
      <c r="AD71" s="927"/>
      <c r="AE71" s="927"/>
    </row>
    <row s="19269" customFormat="1" customHeight="1" ht="11.25">
      <c r="A72" s="1349"/>
      <c r="B72" s="2002"/>
      <c r="C72" s="2002"/>
      <c r="D72" s="712"/>
      <c r="K72" s="1523"/>
      <c r="L72" s="2002"/>
      <c r="M72" s="2002"/>
      <c r="N72" s="1523"/>
      <c r="O72" s="1523"/>
      <c r="P72" s="1523"/>
      <c r="Q72" s="1523"/>
      <c r="R72" s="2002"/>
      <c r="S72" s="1523"/>
      <c r="T72" s="1523"/>
      <c r="U72" s="905"/>
      <c r="V72" s="1523"/>
      <c r="W72" s="1523"/>
      <c r="X72" s="1523"/>
      <c r="Y72" s="1523"/>
      <c r="Z72" s="1523"/>
      <c r="AA72" s="1998"/>
      <c r="AB72" s="927"/>
      <c r="AC72" s="927"/>
      <c r="AD72" s="927"/>
      <c r="AE72" s="927"/>
    </row>
    <row s="19269" customFormat="1" customHeight="1" ht="11.25">
      <c r="A73" s="1349"/>
      <c r="B73" s="2002"/>
      <c r="C73" s="2002"/>
      <c r="D73" s="712"/>
      <c r="K73" s="1523"/>
      <c r="L73" s="2002"/>
      <c r="M73" s="2002"/>
      <c r="N73" s="1523"/>
      <c r="O73" s="1523"/>
      <c r="P73" s="1523"/>
      <c r="Q73" s="1523"/>
      <c r="R73" s="2002"/>
      <c r="S73" s="1523"/>
      <c r="T73" s="1523"/>
      <c r="U73" s="905"/>
      <c r="V73" s="1523"/>
      <c r="W73" s="1523"/>
      <c r="X73" s="1523"/>
      <c r="Y73" s="1523"/>
      <c r="Z73" s="1523"/>
      <c r="AA73" s="1998"/>
      <c r="AB73" s="927"/>
      <c r="AC73" s="927"/>
      <c r="AD73" s="927"/>
      <c r="AE73" s="927"/>
    </row>
    <row s="19269" customFormat="1" customHeight="1" ht="11.25">
      <c r="A74" s="1349"/>
      <c r="B74" s="2002"/>
      <c r="C74" s="2002"/>
      <c r="D74" s="712"/>
      <c r="K74" s="1523"/>
      <c r="L74" s="2002"/>
      <c r="M74" s="2002"/>
      <c r="N74" s="1523"/>
      <c r="O74" s="1523"/>
      <c r="P74" s="1523"/>
      <c r="Q74" s="1523"/>
      <c r="R74" s="2002"/>
      <c r="S74" s="1523"/>
      <c r="T74" s="1523"/>
      <c r="U74" s="905"/>
      <c r="V74" s="1523"/>
      <c r="W74" s="1523"/>
      <c r="X74" s="1523"/>
      <c r="Y74" s="1523"/>
      <c r="Z74" s="1523"/>
      <c r="AA74" s="1998"/>
      <c r="AB74" s="927"/>
      <c r="AC74" s="927"/>
      <c r="AD74" s="927"/>
      <c r="AE74" s="927"/>
    </row>
    <row s="19269" customFormat="1" customHeight="1" ht="11.25">
      <c r="A75" s="1349"/>
      <c r="B75" s="2002"/>
      <c r="C75" s="2002"/>
      <c r="D75" s="712"/>
      <c r="K75" s="1523"/>
      <c r="L75" s="2002"/>
      <c r="M75" s="2002"/>
      <c r="N75" s="1523"/>
      <c r="O75" s="1523"/>
      <c r="P75" s="1523"/>
      <c r="Q75" s="1523"/>
      <c r="R75" s="2002"/>
      <c r="S75" s="1523"/>
      <c r="T75" s="1523"/>
      <c r="U75" s="905"/>
      <c r="V75" s="1523"/>
      <c r="W75" s="1523"/>
      <c r="X75" s="1523"/>
      <c r="Y75" s="1523"/>
      <c r="Z75" s="1523"/>
      <c r="AA75" s="1998"/>
      <c r="AB75" s="927"/>
      <c r="AC75" s="927"/>
      <c r="AD75" s="927"/>
      <c r="AE75" s="927"/>
    </row>
    <row s="19269" customFormat="1" customHeight="1" ht="11.25">
      <c r="A76" s="1349"/>
      <c r="B76" s="2002"/>
      <c r="C76" s="2002"/>
      <c r="D76" s="712"/>
      <c r="K76" s="1523"/>
      <c r="L76" s="2002"/>
      <c r="M76" s="2002"/>
      <c r="N76" s="1523"/>
      <c r="O76" s="1523"/>
      <c r="P76" s="1523"/>
      <c r="Q76" s="1523"/>
      <c r="R76" s="2002"/>
      <c r="S76" s="1523"/>
      <c r="T76" s="1523"/>
      <c r="U76" s="905"/>
      <c r="V76" s="1523"/>
      <c r="W76" s="1523"/>
      <c r="X76" s="1523"/>
      <c r="Y76" s="1523"/>
      <c r="Z76" s="1523"/>
      <c r="AA76" s="1998"/>
      <c r="AB76" s="927"/>
      <c r="AC76" s="927"/>
      <c r="AD76" s="927"/>
      <c r="AE76" s="927"/>
    </row>
    <row s="19269" customFormat="1" customHeight="1" ht="11.25">
      <c r="A77" s="1349"/>
      <c r="B77" s="2002"/>
      <c r="C77" s="2002"/>
      <c r="D77" s="712"/>
      <c r="K77" s="1523"/>
      <c r="L77" s="2002"/>
      <c r="M77" s="2002"/>
      <c r="N77" s="1523"/>
      <c r="O77" s="1523"/>
      <c r="P77" s="1523"/>
      <c r="Q77" s="1523"/>
      <c r="R77" s="2002"/>
      <c r="S77" s="1523"/>
      <c r="T77" s="1523"/>
      <c r="U77" s="905"/>
      <c r="V77" s="1523"/>
      <c r="W77" s="1523"/>
      <c r="X77" s="1523"/>
      <c r="Y77" s="1523"/>
      <c r="Z77" s="1523"/>
      <c r="AA77" s="1998"/>
      <c r="AB77" s="927"/>
      <c r="AC77" s="927"/>
      <c r="AD77" s="927"/>
      <c r="AE77" s="927"/>
    </row>
    <row s="19269" customFormat="1" customHeight="1" ht="11.25">
      <c r="A78" s="1349"/>
      <c r="B78" s="2002"/>
      <c r="C78" s="2002"/>
      <c r="D78" s="712"/>
      <c r="K78" s="1523"/>
      <c r="L78" s="2002"/>
      <c r="M78" s="2002"/>
      <c r="N78" s="1523"/>
      <c r="O78" s="1523"/>
      <c r="P78" s="1523"/>
      <c r="Q78" s="1523"/>
      <c r="R78" s="2002"/>
      <c r="S78" s="1523"/>
      <c r="T78" s="1523"/>
      <c r="U78" s="905"/>
      <c r="V78" s="1523"/>
      <c r="W78" s="1523"/>
      <c r="X78" s="1523"/>
      <c r="Y78" s="1523"/>
      <c r="Z78" s="1523"/>
      <c r="AA78" s="1998"/>
      <c r="AB78" s="927"/>
      <c r="AC78" s="927"/>
      <c r="AD78" s="927"/>
      <c r="AE78" s="927"/>
    </row>
    <row s="19269" customFormat="1" customHeight="1" ht="11.25">
      <c r="A79" s="1349"/>
      <c r="B79" s="2002"/>
      <c r="C79" s="2002"/>
      <c r="D79" s="712"/>
      <c r="K79" s="1523"/>
      <c r="L79" s="2002"/>
      <c r="M79" s="2002"/>
      <c r="N79" s="1523"/>
      <c r="O79" s="1523"/>
      <c r="P79" s="1523"/>
      <c r="Q79" s="1523"/>
      <c r="R79" s="2002"/>
      <c r="S79" s="1523"/>
      <c r="T79" s="1523"/>
      <c r="U79" s="905"/>
      <c r="V79" s="1523"/>
      <c r="W79" s="1523"/>
      <c r="X79" s="1523"/>
      <c r="Y79" s="1523"/>
      <c r="Z79" s="1523"/>
      <c r="AA79" s="1998"/>
      <c r="AB79" s="927"/>
      <c r="AC79" s="927"/>
      <c r="AD79" s="927"/>
      <c r="AE79" s="927"/>
    </row>
    <row s="19269" customFormat="1" customHeight="1" ht="11.25">
      <c r="A80" s="1349"/>
      <c r="B80" s="2002"/>
      <c r="C80" s="2002"/>
      <c r="D80" s="712"/>
      <c r="K80" s="1523"/>
      <c r="L80" s="2002"/>
      <c r="M80" s="2002"/>
      <c r="N80" s="1523"/>
      <c r="O80" s="1523"/>
      <c r="P80" s="1523"/>
      <c r="Q80" s="1523"/>
      <c r="R80" s="2002"/>
      <c r="S80" s="1523"/>
      <c r="T80" s="1523"/>
      <c r="U80" s="905"/>
      <c r="V80" s="1523"/>
      <c r="W80" s="1523"/>
      <c r="X80" s="1523"/>
      <c r="Y80" s="1523"/>
      <c r="Z80" s="1523"/>
      <c r="AA80" s="1998"/>
      <c r="AB80" s="927"/>
      <c r="AC80" s="927"/>
      <c r="AD80" s="927"/>
      <c r="AE80" s="927"/>
    </row>
    <row s="19269" customFormat="1" customHeight="1" ht="11.25">
      <c r="A81" s="1349"/>
      <c r="B81" s="2002"/>
      <c r="C81" s="2002"/>
      <c r="D81" s="712"/>
      <c r="K81" s="1523"/>
      <c r="L81" s="2002"/>
      <c r="M81" s="2002"/>
      <c r="N81" s="1523"/>
      <c r="O81" s="1523"/>
      <c r="P81" s="1523"/>
      <c r="Q81" s="1523"/>
      <c r="R81" s="2002"/>
      <c r="S81" s="1523"/>
      <c r="T81" s="1523"/>
      <c r="U81" s="905"/>
      <c r="V81" s="1523"/>
      <c r="W81" s="1523"/>
      <c r="X81" s="1523"/>
      <c r="Y81" s="1523"/>
      <c r="Z81" s="1523"/>
      <c r="AA81" s="1998"/>
      <c r="AB81" s="927"/>
      <c r="AC81" s="927"/>
      <c r="AD81" s="927"/>
      <c r="AE81" s="927"/>
    </row>
    <row s="19269" customFormat="1" customHeight="1" ht="11.25">
      <c r="A82" s="1349"/>
      <c r="B82" s="2002"/>
      <c r="C82" s="2002"/>
      <c r="D82" s="712"/>
      <c r="K82" s="1523"/>
      <c r="L82" s="2002"/>
      <c r="M82" s="2002"/>
      <c r="N82" s="1523"/>
      <c r="O82" s="1523"/>
      <c r="P82" s="1523"/>
      <c r="Q82" s="1523"/>
      <c r="R82" s="2002"/>
      <c r="S82" s="1523"/>
      <c r="T82" s="1523"/>
      <c r="U82" s="905"/>
      <c r="V82" s="1523"/>
      <c r="W82" s="1523"/>
      <c r="X82" s="1523"/>
      <c r="Y82" s="1523"/>
      <c r="Z82" s="1523"/>
      <c r="AA82" s="1998"/>
      <c r="AB82" s="927"/>
      <c r="AC82" s="927"/>
      <c r="AD82" s="927"/>
      <c r="AE82" s="927"/>
    </row>
    <row s="19269" customFormat="1" customHeight="1" ht="11.25">
      <c r="A83" s="1349"/>
      <c r="B83" s="2002"/>
      <c r="C83" s="2002"/>
      <c r="D83" s="712"/>
      <c r="K83" s="1523"/>
      <c r="L83" s="2002"/>
      <c r="M83" s="2002"/>
      <c r="N83" s="1523"/>
      <c r="O83" s="1523"/>
      <c r="P83" s="1523"/>
      <c r="Q83" s="1523"/>
      <c r="R83" s="2002"/>
      <c r="S83" s="1523"/>
      <c r="T83" s="1523"/>
      <c r="U83" s="905"/>
      <c r="V83" s="1523"/>
      <c r="W83" s="1523"/>
      <c r="X83" s="1523"/>
      <c r="Y83" s="1523"/>
      <c r="Z83" s="1523"/>
      <c r="AA83" s="1998"/>
      <c r="AB83" s="927"/>
      <c r="AC83" s="927"/>
      <c r="AD83" s="927"/>
      <c r="AE83" s="927"/>
    </row>
    <row s="19269" customFormat="1" customHeight="1" ht="11.25">
      <c r="A84" s="1349"/>
      <c r="B84" s="2002"/>
      <c r="C84" s="2002"/>
      <c r="D84" s="712"/>
      <c r="K84" s="1523"/>
      <c r="L84" s="2002"/>
      <c r="M84" s="2002"/>
      <c r="N84" s="1523"/>
      <c r="O84" s="1523"/>
      <c r="P84" s="1523"/>
      <c r="Q84" s="1523"/>
      <c r="R84" s="2002"/>
      <c r="S84" s="1523"/>
      <c r="T84" s="1523"/>
      <c r="U84" s="905"/>
      <c r="V84" s="1523"/>
      <c r="W84" s="1523"/>
      <c r="X84" s="1523"/>
      <c r="Y84" s="1523"/>
      <c r="Z84" s="1523"/>
      <c r="AA84" s="1998"/>
      <c r="AB84" s="927"/>
      <c r="AC84" s="927"/>
      <c r="AD84" s="927"/>
      <c r="AE84" s="927"/>
    </row>
    <row s="19269" customFormat="1" customHeight="1" ht="11.25">
      <c r="A85" s="1349"/>
      <c r="B85" s="2002"/>
      <c r="C85" s="2002"/>
      <c r="D85" s="712"/>
      <c r="K85" s="1523"/>
      <c r="L85" s="2002"/>
      <c r="M85" s="2002"/>
      <c r="N85" s="1523"/>
      <c r="O85" s="1523"/>
      <c r="P85" s="1523"/>
      <c r="Q85" s="1523"/>
      <c r="R85" s="2002"/>
      <c r="S85" s="1523"/>
      <c r="T85" s="1523"/>
      <c r="U85" s="905"/>
      <c r="V85" s="1523"/>
      <c r="W85" s="1523"/>
      <c r="X85" s="1523"/>
      <c r="Y85" s="1523"/>
      <c r="Z85" s="1523"/>
      <c r="AA85" s="1998"/>
      <c r="AB85" s="927"/>
      <c r="AC85" s="927"/>
      <c r="AD85" s="927"/>
      <c r="AE85" s="927"/>
    </row>
    <row s="19269" customFormat="1" customHeight="1" ht="11.25">
      <c r="A86" s="1349"/>
      <c r="B86" s="2002"/>
      <c r="C86" s="2002"/>
      <c r="D86" s="712"/>
      <c r="K86" s="1523"/>
      <c r="L86" s="2002"/>
      <c r="M86" s="2002"/>
      <c r="N86" s="1523"/>
      <c r="O86" s="1523"/>
      <c r="P86" s="1523"/>
      <c r="Q86" s="1523"/>
      <c r="R86" s="2002"/>
      <c r="S86" s="1523"/>
      <c r="T86" s="1523"/>
      <c r="U86" s="905"/>
      <c r="V86" s="1523"/>
      <c r="W86" s="1523"/>
      <c r="X86" s="1523"/>
      <c r="Y86" s="1523"/>
      <c r="Z86" s="1523"/>
      <c r="AA86" s="1998"/>
      <c r="AB86" s="927"/>
      <c r="AC86" s="927"/>
      <c r="AD86" s="927"/>
      <c r="AE86" s="927"/>
    </row>
    <row s="19269" customFormat="1" customHeight="1" ht="11.25">
      <c r="A87" s="1349"/>
      <c r="B87" s="2002"/>
      <c r="C87" s="2002"/>
      <c r="D87" s="712"/>
      <c r="K87" s="1523"/>
      <c r="L87" s="2002"/>
      <c r="M87" s="2002"/>
      <c r="N87" s="1523"/>
      <c r="O87" s="1523"/>
      <c r="P87" s="1523"/>
      <c r="Q87" s="1523"/>
      <c r="R87" s="2002"/>
      <c r="S87" s="1523"/>
      <c r="T87" s="1523"/>
      <c r="U87" s="905"/>
      <c r="V87" s="1523"/>
      <c r="W87" s="1523"/>
      <c r="X87" s="1523"/>
      <c r="Y87" s="1523"/>
      <c r="Z87" s="1523"/>
      <c r="AA87" s="1998"/>
      <c r="AB87" s="927"/>
      <c r="AC87" s="927"/>
      <c r="AD87" s="927"/>
      <c r="AE87" s="927"/>
    </row>
    <row s="19269" customFormat="1" customHeight="1" ht="11.25">
      <c r="A88" s="1349"/>
      <c r="B88" s="2002"/>
      <c r="C88" s="2002"/>
      <c r="D88" s="712"/>
      <c r="K88" s="1523"/>
      <c r="L88" s="2002"/>
      <c r="M88" s="2002"/>
      <c r="N88" s="1523"/>
      <c r="O88" s="1523"/>
      <c r="P88" s="1523"/>
      <c r="Q88" s="1523"/>
      <c r="R88" s="2002"/>
      <c r="S88" s="1523"/>
      <c r="T88" s="1523"/>
      <c r="U88" s="905"/>
      <c r="V88" s="1523"/>
      <c r="W88" s="1523"/>
      <c r="X88" s="1523"/>
      <c r="Y88" s="1523"/>
      <c r="Z88" s="1523"/>
      <c r="AA88" s="1998"/>
      <c r="AB88" s="927"/>
      <c r="AC88" s="927"/>
      <c r="AD88" s="927"/>
      <c r="AE88" s="927"/>
    </row>
    <row s="19269" customFormat="1" customHeight="1" ht="11.25">
      <c r="A89" s="1349"/>
      <c r="B89" s="2002"/>
      <c r="C89" s="2002"/>
      <c r="D89" s="712"/>
      <c r="K89" s="1523"/>
      <c r="L89" s="2002"/>
      <c r="M89" s="2002"/>
      <c r="N89" s="1523"/>
      <c r="O89" s="1523"/>
      <c r="P89" s="1523"/>
      <c r="Q89" s="1523"/>
      <c r="R89" s="2002"/>
      <c r="S89" s="1523"/>
      <c r="T89" s="1523"/>
      <c r="U89" s="905"/>
      <c r="V89" s="1523"/>
      <c r="W89" s="1523"/>
      <c r="X89" s="1523"/>
      <c r="Y89" s="1523"/>
      <c r="Z89" s="1523"/>
      <c r="AA89" s="1998"/>
      <c r="AB89" s="927"/>
      <c r="AC89" s="927"/>
      <c r="AD89" s="927"/>
      <c r="AE89" s="927"/>
    </row>
    <row s="19269" customFormat="1" customHeight="1" ht="11.25">
      <c r="A90" s="1349"/>
      <c r="B90" s="2002"/>
      <c r="C90" s="2002"/>
      <c r="D90" s="712"/>
      <c r="K90" s="1523"/>
      <c r="L90" s="2002"/>
      <c r="M90" s="2002"/>
      <c r="N90" s="1523"/>
      <c r="O90" s="1523"/>
      <c r="P90" s="1523"/>
      <c r="Q90" s="1523"/>
      <c r="R90" s="2002"/>
      <c r="S90" s="1523"/>
      <c r="T90" s="1523"/>
      <c r="U90" s="905"/>
      <c r="V90" s="1523"/>
      <c r="W90" s="1523"/>
      <c r="X90" s="1523"/>
      <c r="Y90" s="1523"/>
      <c r="Z90" s="1523"/>
      <c r="AA90" s="1998"/>
      <c r="AB90" s="927"/>
      <c r="AC90" s="927"/>
      <c r="AD90" s="927"/>
      <c r="AE90" s="927"/>
    </row>
    <row s="19269" customFormat="1" customHeight="1" ht="11.25">
      <c r="A91" s="1349"/>
      <c r="B91" s="2002"/>
      <c r="C91" s="2002"/>
      <c r="D91" s="712"/>
      <c r="K91" s="1523"/>
      <c r="L91" s="2002"/>
      <c r="M91" s="2002"/>
      <c r="N91" s="1523"/>
      <c r="O91" s="1523"/>
      <c r="P91" s="1523"/>
      <c r="Q91" s="1523"/>
      <c r="R91" s="2002"/>
      <c r="S91" s="1523"/>
      <c r="T91" s="1523"/>
      <c r="U91" s="905"/>
      <c r="V91" s="1523"/>
      <c r="W91" s="1523"/>
      <c r="X91" s="1523"/>
      <c r="Y91" s="1523"/>
      <c r="Z91" s="1523"/>
      <c r="AA91" s="1998"/>
      <c r="AB91" s="927"/>
      <c r="AC91" s="927"/>
      <c r="AD91" s="927"/>
      <c r="AE91" s="927"/>
    </row>
    <row s="19269" customFormat="1" customHeight="1" ht="11.25">
      <c r="A92" s="1349"/>
      <c r="B92" s="2002"/>
      <c r="C92" s="2002"/>
      <c r="D92" s="712"/>
      <c r="K92" s="1523"/>
      <c r="L92" s="2002"/>
      <c r="M92" s="2002"/>
      <c r="N92" s="1523"/>
      <c r="O92" s="1523"/>
      <c r="P92" s="1523"/>
      <c r="Q92" s="1523"/>
      <c r="R92" s="2002"/>
      <c r="S92" s="1523"/>
      <c r="T92" s="1523"/>
      <c r="U92" s="905"/>
      <c r="V92" s="1523"/>
      <c r="W92" s="1523"/>
      <c r="X92" s="1523"/>
      <c r="Y92" s="1523"/>
      <c r="Z92" s="1523"/>
      <c r="AA92" s="1998"/>
      <c r="AB92" s="927"/>
      <c r="AC92" s="927"/>
      <c r="AD92" s="927"/>
      <c r="AE92" s="927"/>
    </row>
    <row s="19269" customFormat="1" customHeight="1" ht="11.25">
      <c r="A93" s="1349"/>
      <c r="B93" s="2002"/>
      <c r="C93" s="2002"/>
      <c r="D93" s="712"/>
      <c r="K93" s="1523"/>
      <c r="L93" s="2002"/>
      <c r="M93" s="2002"/>
      <c r="N93" s="1523"/>
      <c r="O93" s="1523"/>
      <c r="P93" s="1523"/>
      <c r="Q93" s="1523"/>
      <c r="R93" s="2002"/>
      <c r="S93" s="1523"/>
      <c r="T93" s="1523"/>
      <c r="U93" s="905"/>
      <c r="V93" s="1523"/>
      <c r="W93" s="1523"/>
      <c r="X93" s="1523"/>
      <c r="Y93" s="1523"/>
      <c r="Z93" s="1523"/>
      <c r="AA93" s="1998"/>
      <c r="AB93" s="927"/>
      <c r="AC93" s="927"/>
      <c r="AD93" s="927"/>
      <c r="AE93" s="927"/>
    </row>
    <row s="19269" customFormat="1" customHeight="1" ht="11.25">
      <c r="A94" s="1349"/>
      <c r="B94" s="2002"/>
      <c r="C94" s="2002"/>
      <c r="D94" s="712"/>
      <c r="K94" s="1523"/>
      <c r="L94" s="2002"/>
      <c r="M94" s="2002"/>
      <c r="N94" s="1523"/>
      <c r="O94" s="1523"/>
      <c r="P94" s="1523"/>
      <c r="Q94" s="1523"/>
      <c r="R94" s="2002"/>
      <c r="S94" s="1523"/>
      <c r="T94" s="1523"/>
      <c r="U94" s="905"/>
      <c r="V94" s="1523"/>
      <c r="W94" s="1523"/>
      <c r="X94" s="1523"/>
      <c r="Y94" s="1523"/>
      <c r="Z94" s="1523"/>
      <c r="AA94" s="1998"/>
      <c r="AB94" s="927"/>
      <c r="AC94" s="927"/>
      <c r="AD94" s="927"/>
      <c r="AE94" s="927"/>
    </row>
    <row s="19269" customFormat="1" customHeight="1" ht="11.25">
      <c r="A95" s="1349"/>
      <c r="B95" s="2002"/>
      <c r="C95" s="2002"/>
      <c r="D95" s="712"/>
      <c r="K95" s="1523"/>
      <c r="L95" s="2002"/>
      <c r="M95" s="2002"/>
      <c r="N95" s="1523"/>
      <c r="O95" s="1523"/>
      <c r="P95" s="1523"/>
      <c r="Q95" s="1523"/>
      <c r="R95" s="2002"/>
      <c r="S95" s="1523"/>
      <c r="T95" s="1523"/>
      <c r="U95" s="905"/>
      <c r="V95" s="1523"/>
      <c r="W95" s="1523"/>
      <c r="X95" s="1523"/>
      <c r="Y95" s="1523"/>
      <c r="Z95" s="1523"/>
      <c r="AA95" s="1998"/>
      <c r="AB95" s="927"/>
      <c r="AC95" s="927"/>
      <c r="AD95" s="927"/>
      <c r="AE95" s="927"/>
    </row>
    <row s="19269" customFormat="1" customHeight="1" ht="11.25">
      <c r="A96" s="1349"/>
      <c r="B96" s="2002"/>
      <c r="C96" s="2002"/>
      <c r="D96" s="712"/>
      <c r="K96" s="1523"/>
      <c r="L96" s="2002"/>
      <c r="M96" s="2002"/>
      <c r="N96" s="1523"/>
      <c r="O96" s="1523"/>
      <c r="P96" s="1523"/>
      <c r="Q96" s="1523"/>
      <c r="R96" s="2002"/>
      <c r="S96" s="1523"/>
      <c r="T96" s="1523"/>
      <c r="U96" s="905"/>
      <c r="V96" s="1523"/>
      <c r="W96" s="1523"/>
      <c r="X96" s="1523"/>
      <c r="Y96" s="1523"/>
      <c r="Z96" s="1523"/>
      <c r="AA96" s="1998"/>
      <c r="AB96" s="927"/>
      <c r="AC96" s="927"/>
      <c r="AD96" s="927"/>
      <c r="AE96" s="927"/>
    </row>
    <row s="19269" customFormat="1" customHeight="1" ht="11.25">
      <c r="A97" s="1349"/>
      <c r="B97" s="2002"/>
      <c r="C97" s="2002"/>
      <c r="D97" s="712"/>
      <c r="K97" s="1523"/>
      <c r="L97" s="2002"/>
      <c r="M97" s="2002"/>
      <c r="N97" s="1523"/>
      <c r="O97" s="1523"/>
      <c r="P97" s="1523"/>
      <c r="Q97" s="1523"/>
      <c r="R97" s="2002"/>
      <c r="S97" s="1523"/>
      <c r="T97" s="1523"/>
      <c r="U97" s="905"/>
      <c r="V97" s="1523"/>
      <c r="W97" s="1523"/>
      <c r="X97" s="1523"/>
      <c r="Y97" s="1523"/>
      <c r="Z97" s="1523"/>
      <c r="AA97" s="1998"/>
      <c r="AB97" s="927"/>
      <c r="AC97" s="927"/>
      <c r="AD97" s="927"/>
      <c r="AE97" s="927"/>
    </row>
    <row s="19269" customFormat="1" customHeight="1" ht="11.25">
      <c r="A98" s="1349"/>
      <c r="B98" s="2002"/>
      <c r="C98" s="2002"/>
      <c r="D98" s="712"/>
      <c r="K98" s="1523"/>
      <c r="L98" s="2002"/>
      <c r="M98" s="2002"/>
      <c r="N98" s="1523"/>
      <c r="O98" s="1523"/>
      <c r="P98" s="1523"/>
      <c r="Q98" s="1523"/>
      <c r="R98" s="2002"/>
      <c r="S98" s="1523"/>
      <c r="T98" s="1523"/>
      <c r="U98" s="905"/>
      <c r="V98" s="1523"/>
      <c r="W98" s="1523"/>
      <c r="X98" s="1523"/>
      <c r="Y98" s="1523"/>
      <c r="Z98" s="1523"/>
      <c r="AA98" s="1998"/>
      <c r="AB98" s="927"/>
      <c r="AC98" s="927"/>
      <c r="AD98" s="927"/>
      <c r="AE98" s="927"/>
    </row>
    <row s="19269" customFormat="1" customHeight="1" ht="11.25">
      <c r="A99" s="1349"/>
      <c r="B99" s="2002"/>
      <c r="C99" s="2002"/>
      <c r="D99" s="712"/>
      <c r="K99" s="1523"/>
      <c r="L99" s="2002"/>
      <c r="M99" s="2002"/>
      <c r="N99" s="1523"/>
      <c r="O99" s="1523"/>
      <c r="P99" s="1523"/>
      <c r="Q99" s="1523"/>
      <c r="R99" s="2002"/>
      <c r="S99" s="1523"/>
      <c r="T99" s="1523"/>
      <c r="U99" s="905"/>
      <c r="V99" s="1523"/>
      <c r="W99" s="1523"/>
      <c r="X99" s="1523"/>
      <c r="Y99" s="1523"/>
      <c r="Z99" s="1523"/>
      <c r="AA99" s="1998"/>
      <c r="AB99" s="927"/>
      <c r="AC99" s="927"/>
      <c r="AD99" s="927"/>
      <c r="AE99" s="927"/>
    </row>
    <row s="19269" customFormat="1" customHeight="1" ht="11.25">
      <c r="A100" s="1349"/>
      <c r="B100" s="2002"/>
      <c r="C100" s="2002"/>
      <c r="D100" s="712"/>
      <c r="K100" s="1523"/>
      <c r="L100" s="2002"/>
      <c r="M100" s="2002"/>
      <c r="N100" s="1523"/>
      <c r="O100" s="1523"/>
      <c r="P100" s="1523"/>
      <c r="Q100" s="1523"/>
      <c r="R100" s="2002"/>
      <c r="S100" s="1523"/>
      <c r="T100" s="1523"/>
      <c r="U100" s="905"/>
      <c r="V100" s="1523"/>
      <c r="W100" s="1523"/>
      <c r="X100" s="1523"/>
      <c r="Y100" s="1523"/>
      <c r="Z100" s="1523"/>
      <c r="AA100" s="1998"/>
      <c r="AB100" s="927"/>
      <c r="AC100" s="927"/>
      <c r="AD100" s="927"/>
      <c r="AE100" s="927"/>
    </row>
    <row s="19269" customFormat="1" customHeight="1" ht="11.25">
      <c r="A101" s="1349"/>
      <c r="B101" s="2002"/>
      <c r="C101" s="2002"/>
      <c r="D101" s="712"/>
      <c r="K101" s="1523"/>
      <c r="L101" s="2002"/>
      <c r="M101" s="2002"/>
      <c r="N101" s="1523"/>
      <c r="O101" s="1523"/>
      <c r="P101" s="1523"/>
      <c r="Q101" s="1523"/>
      <c r="R101" s="2002"/>
      <c r="S101" s="1523"/>
      <c r="T101" s="1523"/>
      <c r="U101" s="905"/>
      <c r="V101" s="1523"/>
      <c r="W101" s="1523"/>
      <c r="X101" s="1523"/>
      <c r="Y101" s="1523"/>
      <c r="Z101" s="1523"/>
      <c r="AA101" s="1998"/>
      <c r="AB101" s="927"/>
      <c r="AC101" s="927"/>
      <c r="AD101" s="927"/>
      <c r="AE101" s="927"/>
    </row>
    <row s="19269" customFormat="1" customHeight="1" ht="11.25">
      <c r="A102" s="1349"/>
      <c r="B102" s="2002"/>
      <c r="C102" s="2002"/>
      <c r="D102" s="712"/>
      <c r="K102" s="1523"/>
      <c r="L102" s="2002"/>
      <c r="M102" s="2002"/>
      <c r="N102" s="1523"/>
      <c r="O102" s="1523"/>
      <c r="P102" s="1523"/>
      <c r="Q102" s="1523"/>
      <c r="R102" s="2002"/>
      <c r="S102" s="1523"/>
      <c r="T102" s="1523"/>
      <c r="U102" s="905"/>
      <c r="V102" s="1523"/>
      <c r="W102" s="1523"/>
      <c r="X102" s="1523"/>
      <c r="Y102" s="1523"/>
      <c r="Z102" s="1523"/>
      <c r="AA102" s="1998"/>
      <c r="AB102" s="927"/>
      <c r="AC102" s="927"/>
      <c r="AD102" s="927"/>
      <c r="AE102" s="927"/>
    </row>
    <row s="19269" customFormat="1" customHeight="1" ht="11.25">
      <c r="A103" s="1349"/>
      <c r="B103" s="2002"/>
      <c r="C103" s="2002"/>
      <c r="D103" s="712"/>
      <c r="K103" s="1523"/>
      <c r="L103" s="2002"/>
      <c r="M103" s="2002"/>
      <c r="N103" s="1523"/>
      <c r="O103" s="1523"/>
      <c r="P103" s="1523"/>
      <c r="Q103" s="1523"/>
      <c r="R103" s="2002"/>
      <c r="S103" s="1523"/>
      <c r="T103" s="1523"/>
      <c r="U103" s="905"/>
      <c r="V103" s="1523"/>
      <c r="W103" s="1523"/>
      <c r="X103" s="1523"/>
      <c r="Y103" s="1523"/>
      <c r="Z103" s="1523"/>
      <c r="AA103" s="1998"/>
      <c r="AB103" s="927"/>
      <c r="AC103" s="927"/>
      <c r="AD103" s="927"/>
      <c r="AE103" s="927"/>
    </row>
    <row s="19269" customFormat="1" customHeight="1" ht="11.25">
      <c r="A104" s="1349"/>
      <c r="B104" s="2002"/>
      <c r="C104" s="2002"/>
      <c r="D104" s="712"/>
      <c r="K104" s="1523"/>
      <c r="L104" s="2002"/>
      <c r="M104" s="2002"/>
      <c r="N104" s="1523"/>
      <c r="O104" s="1523"/>
      <c r="P104" s="1523"/>
      <c r="Q104" s="1523"/>
      <c r="R104" s="2002"/>
      <c r="S104" s="1523"/>
      <c r="T104" s="1523"/>
      <c r="U104" s="905"/>
      <c r="V104" s="1523"/>
      <c r="W104" s="1523"/>
      <c r="X104" s="1523"/>
      <c r="Y104" s="1523"/>
      <c r="Z104" s="1523"/>
      <c r="AA104" s="1998"/>
      <c r="AB104" s="927"/>
      <c r="AC104" s="927"/>
      <c r="AD104" s="927"/>
      <c r="AE104" s="927"/>
    </row>
    <row s="19269" customFormat="1" customHeight="1" ht="11.25">
      <c r="A105" s="1349"/>
      <c r="B105" s="2002"/>
      <c r="C105" s="2002"/>
      <c r="D105" s="712"/>
      <c r="K105" s="1523"/>
      <c r="L105" s="2002"/>
      <c r="M105" s="2002"/>
      <c r="N105" s="1523"/>
      <c r="O105" s="1523"/>
      <c r="P105" s="1523"/>
      <c r="Q105" s="1523"/>
      <c r="R105" s="2002"/>
      <c r="S105" s="1523"/>
      <c r="T105" s="1523"/>
      <c r="U105" s="905"/>
      <c r="V105" s="1523"/>
      <c r="W105" s="1523"/>
      <c r="X105" s="1523"/>
      <c r="Y105" s="1523"/>
      <c r="Z105" s="1523"/>
      <c r="AA105" s="1998"/>
      <c r="AB105" s="927"/>
      <c r="AC105" s="927"/>
      <c r="AD105" s="927"/>
      <c r="AE105" s="927"/>
    </row>
    <row s="19269" customFormat="1" customHeight="1" ht="11.25">
      <c r="A106" s="1349"/>
      <c r="B106" s="2002"/>
      <c r="C106" s="2002"/>
      <c r="D106" s="712"/>
      <c r="K106" s="1523"/>
      <c r="L106" s="2002"/>
      <c r="M106" s="2002"/>
      <c r="N106" s="1523"/>
      <c r="O106" s="1523"/>
      <c r="P106" s="1523"/>
      <c r="Q106" s="1523"/>
      <c r="R106" s="2002"/>
      <c r="S106" s="1523"/>
      <c r="T106" s="1523"/>
      <c r="U106" s="905"/>
      <c r="V106" s="1523"/>
      <c r="W106" s="1523"/>
      <c r="X106" s="1523"/>
      <c r="Y106" s="1523"/>
      <c r="Z106" s="1523"/>
      <c r="AA106" s="1998"/>
      <c r="AB106" s="927"/>
      <c r="AC106" s="927"/>
      <c r="AD106" s="927"/>
      <c r="AE106" s="927"/>
    </row>
    <row s="19269" customFormat="1" customHeight="1" ht="11.25">
      <c r="A107" s="1349"/>
      <c r="B107" s="2002"/>
      <c r="C107" s="2002"/>
      <c r="D107" s="712"/>
      <c r="K107" s="1523"/>
      <c r="L107" s="2002"/>
      <c r="M107" s="2002"/>
      <c r="N107" s="1523"/>
      <c r="O107" s="1523"/>
      <c r="P107" s="1523"/>
      <c r="Q107" s="1523"/>
      <c r="R107" s="2002"/>
      <c r="S107" s="1523"/>
      <c r="T107" s="1523"/>
      <c r="U107" s="905"/>
      <c r="V107" s="1523"/>
      <c r="W107" s="1523"/>
      <c r="X107" s="1523"/>
      <c r="Y107" s="1523"/>
      <c r="Z107" s="1523"/>
      <c r="AA107" s="1998"/>
      <c r="AB107" s="927"/>
      <c r="AC107" s="927"/>
      <c r="AD107" s="927"/>
      <c r="AE107" s="927"/>
    </row>
    <row s="19269" customFormat="1" customHeight="1" ht="11.25">
      <c r="A108" s="1349"/>
      <c r="B108" s="2002"/>
      <c r="C108" s="2002"/>
      <c r="D108" s="712"/>
      <c r="K108" s="1523"/>
      <c r="L108" s="2002"/>
      <c r="M108" s="2002"/>
      <c r="N108" s="1523"/>
      <c r="O108" s="1523"/>
      <c r="P108" s="1523"/>
      <c r="Q108" s="1523"/>
      <c r="R108" s="2002"/>
      <c r="S108" s="1523"/>
      <c r="T108" s="1523"/>
      <c r="U108" s="905"/>
      <c r="V108" s="1523"/>
      <c r="W108" s="1523"/>
      <c r="X108" s="1523"/>
      <c r="Y108" s="1523"/>
      <c r="Z108" s="1523"/>
      <c r="AA108" s="1998"/>
      <c r="AB108" s="927"/>
      <c r="AC108" s="927"/>
      <c r="AD108" s="927"/>
      <c r="AE108" s="927"/>
    </row>
    <row s="19269" customFormat="1" customHeight="1" ht="11.25">
      <c r="A109" s="1349"/>
      <c r="B109" s="2002"/>
      <c r="C109" s="2002"/>
      <c r="D109" s="712"/>
      <c r="K109" s="1523"/>
      <c r="L109" s="2002"/>
      <c r="M109" s="2002"/>
      <c r="N109" s="1523"/>
      <c r="O109" s="1523"/>
      <c r="P109" s="1523"/>
      <c r="Q109" s="1523"/>
      <c r="R109" s="2002"/>
      <c r="S109" s="1523"/>
      <c r="T109" s="1523"/>
      <c r="U109" s="905"/>
      <c r="V109" s="1523"/>
      <c r="W109" s="1523"/>
      <c r="X109" s="1523"/>
      <c r="Y109" s="1523"/>
      <c r="Z109" s="1523"/>
      <c r="AA109" s="1998"/>
      <c r="AB109" s="927"/>
      <c r="AC109" s="927"/>
      <c r="AD109" s="927"/>
      <c r="AE109" s="927"/>
    </row>
    <row s="19269" customFormat="1" customHeight="1" ht="11.25">
      <c r="A110" s="1349"/>
      <c r="B110" s="2002"/>
      <c r="C110" s="2002"/>
      <c r="D110" s="712"/>
      <c r="K110" s="1523"/>
      <c r="L110" s="2002"/>
      <c r="M110" s="2002"/>
      <c r="N110" s="1523"/>
      <c r="O110" s="1523"/>
      <c r="P110" s="1523"/>
      <c r="Q110" s="1523"/>
      <c r="R110" s="2002"/>
      <c r="S110" s="1523"/>
      <c r="T110" s="1523"/>
      <c r="U110" s="905"/>
      <c r="V110" s="1523"/>
      <c r="W110" s="1523"/>
      <c r="X110" s="1523"/>
      <c r="Y110" s="1523"/>
      <c r="Z110" s="1523"/>
      <c r="AA110" s="1998"/>
      <c r="AB110" s="927"/>
      <c r="AC110" s="927"/>
      <c r="AD110" s="927"/>
      <c r="AE110" s="927"/>
    </row>
    <row s="19269" customFormat="1" customHeight="1" ht="11.25">
      <c r="A111" s="1349"/>
      <c r="B111" s="2002"/>
      <c r="C111" s="2002"/>
      <c r="D111" s="712"/>
      <c r="K111" s="1523"/>
      <c r="L111" s="2002"/>
      <c r="M111" s="2002"/>
      <c r="N111" s="1523"/>
      <c r="O111" s="1523"/>
      <c r="P111" s="1523"/>
      <c r="Q111" s="1523"/>
      <c r="R111" s="2002"/>
      <c r="S111" s="1523"/>
      <c r="T111" s="1523"/>
      <c r="U111" s="905"/>
      <c r="V111" s="1523"/>
      <c r="W111" s="1523"/>
      <c r="X111" s="1523"/>
      <c r="Y111" s="1523"/>
      <c r="Z111" s="1523"/>
      <c r="AA111" s="1998"/>
      <c r="AB111" s="927"/>
      <c r="AC111" s="927"/>
      <c r="AD111" s="927"/>
      <c r="AE111" s="927"/>
    </row>
    <row s="19269" customFormat="1" customHeight="1" ht="11.25">
      <c r="A112" s="1349"/>
      <c r="B112" s="2002"/>
      <c r="C112" s="2002"/>
      <c r="D112" s="712"/>
      <c r="K112" s="1523"/>
      <c r="L112" s="2002"/>
      <c r="M112" s="2002"/>
      <c r="N112" s="1523"/>
      <c r="O112" s="1523"/>
      <c r="P112" s="1523"/>
      <c r="Q112" s="1523"/>
      <c r="R112" s="2002"/>
      <c r="S112" s="1523"/>
      <c r="T112" s="1523"/>
      <c r="U112" s="905"/>
      <c r="V112" s="1523"/>
      <c r="W112" s="1523"/>
      <c r="X112" s="1523"/>
      <c r="Y112" s="1523"/>
      <c r="Z112" s="1523"/>
      <c r="AA112" s="1998"/>
      <c r="AB112" s="927"/>
      <c r="AC112" s="927"/>
      <c r="AD112" s="927"/>
      <c r="AE112" s="927"/>
    </row>
    <row s="19269" customFormat="1" customHeight="1" ht="11.25">
      <c r="A113" s="1349"/>
      <c r="B113" s="2002"/>
      <c r="C113" s="2002"/>
      <c r="D113" s="712"/>
      <c r="K113" s="1523"/>
      <c r="L113" s="2002"/>
      <c r="M113" s="2002"/>
      <c r="N113" s="1523"/>
      <c r="O113" s="1523"/>
      <c r="P113" s="1523"/>
      <c r="Q113" s="1523"/>
      <c r="R113" s="2002"/>
      <c r="S113" s="1523"/>
      <c r="T113" s="1523"/>
      <c r="U113" s="905"/>
      <c r="V113" s="1523"/>
      <c r="W113" s="1523"/>
      <c r="X113" s="1523"/>
      <c r="Y113" s="1523"/>
      <c r="Z113" s="1523"/>
      <c r="AA113" s="1998"/>
      <c r="AB113" s="927"/>
      <c r="AC113" s="927"/>
      <c r="AD113" s="927"/>
      <c r="AE113" s="927"/>
    </row>
    <row s="19269" customFormat="1" customHeight="1" ht="11.25">
      <c r="A114" s="1349"/>
      <c r="B114" s="2002"/>
      <c r="C114" s="2002"/>
      <c r="D114" s="712"/>
      <c r="K114" s="1523"/>
      <c r="L114" s="2002"/>
      <c r="M114" s="2002"/>
      <c r="N114" s="1523"/>
      <c r="O114" s="1523"/>
      <c r="P114" s="1523"/>
      <c r="Q114" s="1523"/>
      <c r="R114" s="2002"/>
      <c r="S114" s="1523"/>
      <c r="T114" s="1523"/>
      <c r="U114" s="905"/>
      <c r="V114" s="1523"/>
      <c r="W114" s="1523"/>
      <c r="X114" s="1523"/>
      <c r="Y114" s="1523"/>
      <c r="Z114" s="1523"/>
      <c r="AA114" s="1998"/>
      <c r="AB114" s="927"/>
      <c r="AC114" s="927"/>
      <c r="AD114" s="927"/>
      <c r="AE114" s="927"/>
    </row>
    <row s="19269" customFormat="1" customHeight="1" ht="11.25">
      <c r="A115" s="1349"/>
      <c r="B115" s="2002"/>
      <c r="C115" s="2002"/>
      <c r="D115" s="712"/>
      <c r="K115" s="1523"/>
      <c r="L115" s="2002"/>
      <c r="M115" s="2002"/>
      <c r="N115" s="1523"/>
      <c r="O115" s="1523"/>
      <c r="P115" s="1523"/>
      <c r="Q115" s="1523"/>
      <c r="R115" s="2002"/>
      <c r="S115" s="1523"/>
      <c r="T115" s="1523"/>
      <c r="U115" s="905"/>
      <c r="V115" s="1523"/>
      <c r="W115" s="1523"/>
      <c r="X115" s="1523"/>
      <c r="Y115" s="1523"/>
      <c r="Z115" s="1523"/>
      <c r="AA115" s="1998"/>
      <c r="AB115" s="927"/>
      <c r="AC115" s="927"/>
      <c r="AD115" s="927"/>
      <c r="AE115" s="927"/>
    </row>
    <row s="19269" customFormat="1" customHeight="1" ht="11.25">
      <c r="A116" s="1349"/>
      <c r="B116" s="2002"/>
      <c r="C116" s="2002"/>
      <c r="D116" s="712"/>
      <c r="K116" s="1523"/>
      <c r="L116" s="2002"/>
      <c r="M116" s="2002"/>
      <c r="N116" s="1523"/>
      <c r="O116" s="1523"/>
      <c r="P116" s="1523"/>
      <c r="Q116" s="1523"/>
      <c r="R116" s="2002"/>
      <c r="S116" s="1523"/>
      <c r="T116" s="1523"/>
      <c r="U116" s="905"/>
      <c r="V116" s="1523"/>
      <c r="W116" s="1523"/>
      <c r="X116" s="1523"/>
      <c r="Y116" s="1523"/>
      <c r="Z116" s="1523"/>
      <c r="AA116" s="1998"/>
      <c r="AB116" s="927"/>
      <c r="AC116" s="927"/>
      <c r="AD116" s="927"/>
      <c r="AE116" s="927"/>
    </row>
    <row s="19269" customFormat="1" customHeight="1" ht="11.25">
      <c r="A117" s="1349"/>
      <c r="B117" s="2002"/>
      <c r="C117" s="2002"/>
      <c r="D117" s="712"/>
      <c r="K117" s="1523"/>
      <c r="L117" s="2002"/>
      <c r="M117" s="2002"/>
      <c r="N117" s="1523"/>
      <c r="O117" s="1523"/>
      <c r="P117" s="1523"/>
      <c r="Q117" s="1523"/>
      <c r="R117" s="2002"/>
      <c r="S117" s="1523"/>
      <c r="T117" s="1523"/>
      <c r="U117" s="905"/>
      <c r="V117" s="1523"/>
      <c r="W117" s="1523"/>
      <c r="X117" s="1523"/>
      <c r="Y117" s="1523"/>
      <c r="Z117" s="1523"/>
      <c r="AA117" s="1998"/>
      <c r="AB117" s="927"/>
      <c r="AC117" s="927"/>
      <c r="AD117" s="927"/>
      <c r="AE117" s="927"/>
    </row>
    <row s="19269" customFormat="1" customHeight="1" ht="11.25">
      <c r="A118" s="1349"/>
      <c r="B118" s="2002"/>
      <c r="C118" s="2002"/>
      <c r="D118" s="712"/>
      <c r="K118" s="1523"/>
      <c r="L118" s="2002"/>
      <c r="M118" s="2002"/>
      <c r="N118" s="1523"/>
      <c r="O118" s="1523"/>
      <c r="P118" s="1523"/>
      <c r="Q118" s="1523"/>
      <c r="R118" s="2002"/>
      <c r="S118" s="1523"/>
      <c r="T118" s="1523"/>
      <c r="U118" s="905"/>
      <c r="V118" s="1523"/>
      <c r="W118" s="1523"/>
      <c r="X118" s="1523"/>
      <c r="Y118" s="1523"/>
      <c r="Z118" s="1523"/>
      <c r="AA118" s="1998"/>
      <c r="AB118" s="927"/>
      <c r="AC118" s="927"/>
      <c r="AD118" s="927"/>
      <c r="AE118" s="927"/>
    </row>
    <row s="19269" customFormat="1" customHeight="1" ht="11.25">
      <c r="A119" s="1349"/>
      <c r="B119" s="2002"/>
      <c r="C119" s="2002"/>
      <c r="D119" s="712"/>
      <c r="K119" s="1523"/>
      <c r="L119" s="2002"/>
      <c r="M119" s="2002"/>
      <c r="N119" s="1523"/>
      <c r="O119" s="1523"/>
      <c r="P119" s="1523"/>
      <c r="Q119" s="1523"/>
      <c r="R119" s="2002"/>
      <c r="S119" s="1523"/>
      <c r="T119" s="1523"/>
      <c r="U119" s="905"/>
      <c r="V119" s="1523"/>
      <c r="W119" s="1523"/>
      <c r="X119" s="1523"/>
      <c r="Y119" s="1523"/>
      <c r="Z119" s="1523"/>
      <c r="AA119" s="1998"/>
      <c r="AB119" s="927"/>
      <c r="AC119" s="927"/>
      <c r="AD119" s="927"/>
      <c r="AE119" s="927"/>
    </row>
    <row s="19269" customFormat="1" customHeight="1" ht="11.25">
      <c r="A120" s="1349"/>
      <c r="B120" s="2002"/>
      <c r="C120" s="2002"/>
      <c r="D120" s="712"/>
      <c r="K120" s="1523"/>
      <c r="L120" s="2002"/>
      <c r="M120" s="2002"/>
      <c r="N120" s="1523"/>
      <c r="O120" s="1523"/>
      <c r="P120" s="1523"/>
      <c r="Q120" s="1523"/>
      <c r="R120" s="2002"/>
      <c r="S120" s="1523"/>
      <c r="T120" s="1523"/>
      <c r="U120" s="905"/>
      <c r="V120" s="1523"/>
      <c r="W120" s="1523"/>
      <c r="X120" s="1523"/>
      <c r="Y120" s="1523"/>
      <c r="Z120" s="1523"/>
      <c r="AA120" s="1998"/>
      <c r="AB120" s="927"/>
      <c r="AC120" s="927"/>
      <c r="AD120" s="927"/>
      <c r="AE120" s="927"/>
    </row>
    <row s="19269" customFormat="1" customHeight="1" ht="11.25">
      <c r="A121" s="1349"/>
      <c r="B121" s="2002"/>
      <c r="C121" s="2002"/>
      <c r="D121" s="712"/>
      <c r="K121" s="1523"/>
      <c r="L121" s="2002"/>
      <c r="M121" s="2002"/>
      <c r="N121" s="1523"/>
      <c r="O121" s="1523"/>
      <c r="P121" s="1523"/>
      <c r="Q121" s="1523"/>
      <c r="R121" s="2002"/>
      <c r="S121" s="1523"/>
      <c r="T121" s="1523"/>
      <c r="U121" s="905"/>
      <c r="V121" s="1523"/>
      <c r="W121" s="1523"/>
      <c r="X121" s="1523"/>
      <c r="Y121" s="1523"/>
      <c r="Z121" s="1523"/>
      <c r="AA121" s="1998"/>
      <c r="AB121" s="927"/>
      <c r="AC121" s="927"/>
      <c r="AD121" s="927"/>
      <c r="AE121" s="927"/>
    </row>
    <row s="19269" customFormat="1" customHeight="1" ht="11.25">
      <c r="A122" s="1349"/>
      <c r="B122" s="2002"/>
      <c r="C122" s="2002"/>
      <c r="D122" s="712"/>
      <c r="K122" s="1523"/>
      <c r="L122" s="2002"/>
      <c r="M122" s="2002"/>
      <c r="N122" s="1523"/>
      <c r="O122" s="1523"/>
      <c r="P122" s="1523"/>
      <c r="Q122" s="1523"/>
      <c r="R122" s="2002"/>
      <c r="S122" s="1523"/>
      <c r="T122" s="1523"/>
      <c r="U122" s="905"/>
      <c r="V122" s="1523"/>
      <c r="W122" s="1523"/>
      <c r="X122" s="1523"/>
      <c r="Y122" s="1523"/>
      <c r="Z122" s="1523"/>
      <c r="AA122" s="1998"/>
      <c r="AB122" s="927"/>
      <c r="AC122" s="927"/>
      <c r="AD122" s="927"/>
      <c r="AE122" s="927"/>
    </row>
    <row s="19269" customFormat="1" customHeight="1" ht="11.25">
      <c r="A123" s="1349"/>
      <c r="B123" s="2002"/>
      <c r="C123" s="2002"/>
      <c r="D123" s="712"/>
      <c r="K123" s="1523"/>
      <c r="L123" s="2002"/>
      <c r="M123" s="2002"/>
      <c r="N123" s="1523"/>
      <c r="O123" s="1523"/>
      <c r="P123" s="1523"/>
      <c r="Q123" s="1523"/>
      <c r="R123" s="2002"/>
      <c r="S123" s="1523"/>
      <c r="T123" s="1523"/>
      <c r="U123" s="905"/>
      <c r="V123" s="1523"/>
      <c r="W123" s="1523"/>
      <c r="X123" s="1523"/>
      <c r="Y123" s="1523"/>
      <c r="Z123" s="1523"/>
      <c r="AA123" s="1998"/>
      <c r="AB123" s="927"/>
      <c r="AC123" s="927"/>
      <c r="AD123" s="927"/>
      <c r="AE123" s="927"/>
    </row>
    <row s="19269" customFormat="1" customHeight="1" ht="11.25">
      <c r="A124" s="1349"/>
      <c r="B124" s="2002"/>
      <c r="C124" s="2002"/>
      <c r="D124" s="712"/>
      <c r="K124" s="1523"/>
      <c r="L124" s="2002"/>
      <c r="M124" s="2002"/>
      <c r="N124" s="1523"/>
      <c r="O124" s="1523"/>
      <c r="P124" s="1523"/>
      <c r="Q124" s="1523"/>
      <c r="R124" s="2002"/>
      <c r="S124" s="1523"/>
      <c r="T124" s="1523"/>
      <c r="U124" s="905"/>
      <c r="V124" s="1523"/>
      <c r="W124" s="1523"/>
      <c r="X124" s="1523"/>
      <c r="Y124" s="1523"/>
      <c r="Z124" s="1523"/>
      <c r="AA124" s="1998"/>
      <c r="AB124" s="927"/>
      <c r="AC124" s="927"/>
      <c r="AD124" s="927"/>
      <c r="AE124" s="927"/>
    </row>
    <row s="19269" customFormat="1" customHeight="1" ht="11.25">
      <c r="A125" s="1349"/>
      <c r="B125" s="2002"/>
      <c r="C125" s="2002"/>
      <c r="D125" s="712"/>
      <c r="K125" s="1523"/>
      <c r="L125" s="2002"/>
      <c r="M125" s="2002"/>
      <c r="N125" s="1523"/>
      <c r="O125" s="1523"/>
      <c r="P125" s="1523"/>
      <c r="Q125" s="1523"/>
      <c r="R125" s="2002"/>
      <c r="S125" s="1523"/>
      <c r="T125" s="1523"/>
      <c r="U125" s="905"/>
      <c r="V125" s="1523"/>
      <c r="W125" s="1523"/>
      <c r="X125" s="1523"/>
      <c r="Y125" s="1523"/>
      <c r="Z125" s="1523"/>
      <c r="AA125" s="1998"/>
      <c r="AB125" s="927"/>
      <c r="AC125" s="927"/>
      <c r="AD125" s="927"/>
      <c r="AE125" s="927"/>
    </row>
    <row s="19269" customFormat="1" customHeight="1" ht="11.25">
      <c r="A126" s="1349"/>
      <c r="B126" s="2002"/>
      <c r="C126" s="2002"/>
      <c r="D126" s="712"/>
      <c r="K126" s="1523"/>
      <c r="L126" s="2002"/>
      <c r="M126" s="2002"/>
      <c r="N126" s="1523"/>
      <c r="O126" s="1523"/>
      <c r="P126" s="1523"/>
      <c r="Q126" s="1523"/>
      <c r="R126" s="2002"/>
      <c r="S126" s="1523"/>
      <c r="T126" s="1523"/>
      <c r="U126" s="905"/>
      <c r="V126" s="1523"/>
      <c r="W126" s="1523"/>
      <c r="X126" s="1523"/>
      <c r="Y126" s="1523"/>
      <c r="Z126" s="1523"/>
      <c r="AA126" s="1998"/>
      <c r="AB126" s="927"/>
      <c r="AC126" s="927"/>
      <c r="AD126" s="927"/>
      <c r="AE126" s="927"/>
    </row>
    <row s="19269" customFormat="1" customHeight="1" ht="11.25">
      <c r="A127" s="1349"/>
      <c r="B127" s="2002"/>
      <c r="C127" s="2002"/>
      <c r="D127" s="712"/>
      <c r="K127" s="1523"/>
      <c r="L127" s="2002"/>
      <c r="M127" s="2002"/>
      <c r="N127" s="1523"/>
      <c r="O127" s="1523"/>
      <c r="P127" s="1523"/>
      <c r="Q127" s="1523"/>
      <c r="R127" s="2002"/>
      <c r="S127" s="1523"/>
      <c r="T127" s="1523"/>
      <c r="U127" s="905"/>
      <c r="V127" s="1523"/>
      <c r="W127" s="1523"/>
      <c r="X127" s="1523"/>
      <c r="Y127" s="1523"/>
      <c r="Z127" s="1523"/>
      <c r="AA127" s="1998"/>
      <c r="AB127" s="927"/>
      <c r="AC127" s="927"/>
      <c r="AD127" s="927"/>
      <c r="AE127" s="927"/>
    </row>
    <row s="19269" customFormat="1" customHeight="1" ht="11.25">
      <c r="A128" s="1349"/>
      <c r="B128" s="2002"/>
      <c r="C128" s="2002"/>
      <c r="D128" s="712"/>
      <c r="K128" s="1523"/>
      <c r="L128" s="2002"/>
      <c r="M128" s="2002"/>
      <c r="N128" s="1523"/>
      <c r="O128" s="1523"/>
      <c r="P128" s="1523"/>
      <c r="Q128" s="1523"/>
      <c r="R128" s="2002"/>
      <c r="S128" s="1523"/>
      <c r="T128" s="1523"/>
      <c r="U128" s="905"/>
      <c r="V128" s="1523"/>
      <c r="W128" s="1523"/>
      <c r="X128" s="1523"/>
      <c r="Y128" s="1523"/>
      <c r="Z128" s="1523"/>
      <c r="AA128" s="1998"/>
      <c r="AB128" s="927"/>
      <c r="AC128" s="927"/>
      <c r="AD128" s="927"/>
      <c r="AE128" s="927"/>
    </row>
    <row s="19269" customFormat="1" customHeight="1" ht="11.25">
      <c r="A129" s="1349"/>
      <c r="B129" s="2002"/>
      <c r="C129" s="2002"/>
      <c r="D129" s="712"/>
      <c r="K129" s="1523"/>
      <c r="L129" s="2002"/>
      <c r="M129" s="2002"/>
      <c r="N129" s="1523"/>
      <c r="O129" s="1523"/>
      <c r="P129" s="1523"/>
      <c r="Q129" s="1523"/>
      <c r="R129" s="2002"/>
      <c r="S129" s="1523"/>
      <c r="T129" s="1523"/>
      <c r="U129" s="905"/>
      <c r="V129" s="1523"/>
      <c r="W129" s="1523"/>
      <c r="X129" s="1523"/>
      <c r="Y129" s="1523"/>
      <c r="Z129" s="1523"/>
      <c r="AA129" s="1998"/>
      <c r="AB129" s="927"/>
      <c r="AC129" s="927"/>
      <c r="AD129" s="927"/>
      <c r="AE129" s="927"/>
    </row>
    <row s="19269" customFormat="1" customHeight="1" ht="11.25">
      <c r="A130" s="1349"/>
      <c r="B130" s="2002"/>
      <c r="C130" s="2002"/>
      <c r="D130" s="712"/>
      <c r="K130" s="1523"/>
      <c r="L130" s="2002"/>
      <c r="M130" s="2002"/>
      <c r="N130" s="1523"/>
      <c r="O130" s="1523"/>
      <c r="P130" s="1523"/>
      <c r="Q130" s="1523"/>
      <c r="R130" s="2002"/>
      <c r="S130" s="1523"/>
      <c r="T130" s="1523"/>
      <c r="U130" s="905"/>
      <c r="V130" s="1523"/>
      <c r="W130" s="1523"/>
      <c r="X130" s="1523"/>
      <c r="Y130" s="1523"/>
      <c r="Z130" s="1523"/>
      <c r="AA130" s="1998"/>
      <c r="AB130" s="927"/>
      <c r="AC130" s="927"/>
      <c r="AD130" s="927"/>
      <c r="AE130" s="927"/>
    </row>
    <row s="19269" customFormat="1" customHeight="1" ht="11.25">
      <c r="A131" s="1349"/>
      <c r="B131" s="2002"/>
      <c r="C131" s="2002"/>
      <c r="D131" s="712"/>
      <c r="K131" s="1523"/>
      <c r="L131" s="2002"/>
      <c r="M131" s="2002"/>
      <c r="N131" s="1523"/>
      <c r="O131" s="1523"/>
      <c r="P131" s="1523"/>
      <c r="Q131" s="1523"/>
      <c r="R131" s="2002"/>
      <c r="S131" s="1523"/>
      <c r="T131" s="1523"/>
      <c r="U131" s="905"/>
      <c r="V131" s="1523"/>
      <c r="W131" s="1523"/>
      <c r="X131" s="1523"/>
      <c r="Y131" s="1523"/>
      <c r="Z131" s="1523"/>
      <c r="AA131" s="1998"/>
      <c r="AB131" s="927"/>
      <c r="AC131" s="927"/>
      <c r="AD131" s="927"/>
      <c r="AE131" s="927"/>
    </row>
    <row s="19269" customFormat="1" customHeight="1" ht="11.25">
      <c r="A132" s="1349"/>
      <c r="B132" s="2002"/>
      <c r="C132" s="2002"/>
      <c r="D132" s="712"/>
      <c r="K132" s="1523"/>
      <c r="L132" s="2002"/>
      <c r="M132" s="2002"/>
      <c r="N132" s="1523"/>
      <c r="O132" s="1523"/>
      <c r="P132" s="1523"/>
      <c r="Q132" s="1523"/>
      <c r="R132" s="2002"/>
      <c r="S132" s="1523"/>
      <c r="T132" s="1523"/>
      <c r="U132" s="905"/>
      <c r="V132" s="1523"/>
      <c r="W132" s="1523"/>
      <c r="X132" s="1523"/>
      <c r="Y132" s="1523"/>
      <c r="Z132" s="1523"/>
      <c r="AA132" s="1998"/>
      <c r="AB132" s="927"/>
      <c r="AC132" s="927"/>
      <c r="AD132" s="927"/>
      <c r="AE132" s="927"/>
    </row>
    <row s="19269" customFormat="1" customHeight="1" ht="11.25">
      <c r="A133" s="1349"/>
      <c r="B133" s="2002"/>
      <c r="C133" s="2002"/>
      <c r="D133" s="712"/>
      <c r="K133" s="1523"/>
      <c r="L133" s="2002"/>
      <c r="M133" s="2002"/>
      <c r="N133" s="1523"/>
      <c r="O133" s="1523"/>
      <c r="P133" s="1523"/>
      <c r="Q133" s="1523"/>
      <c r="R133" s="2002"/>
      <c r="S133" s="1523"/>
      <c r="T133" s="1523"/>
      <c r="U133" s="905"/>
      <c r="V133" s="1523"/>
      <c r="W133" s="1523"/>
      <c r="X133" s="1523"/>
      <c r="Y133" s="1523"/>
      <c r="Z133" s="1523"/>
      <c r="AA133" s="1998"/>
      <c r="AB133" s="927"/>
      <c r="AC133" s="927"/>
      <c r="AD133" s="927"/>
      <c r="AE133" s="927"/>
    </row>
    <row s="19269" customFormat="1" customHeight="1" ht="11.25">
      <c r="A134" s="1349"/>
      <c r="B134" s="2002"/>
      <c r="C134" s="2002"/>
      <c r="D134" s="712"/>
      <c r="K134" s="1523"/>
      <c r="L134" s="2002"/>
      <c r="M134" s="2002"/>
      <c r="N134" s="1523"/>
      <c r="O134" s="1523"/>
      <c r="P134" s="1523"/>
      <c r="Q134" s="1523"/>
      <c r="R134" s="2002"/>
      <c r="S134" s="1523"/>
      <c r="T134" s="1523"/>
      <c r="U134" s="905"/>
      <c r="V134" s="1523"/>
      <c r="W134" s="1523"/>
      <c r="X134" s="1523"/>
      <c r="Y134" s="1523"/>
      <c r="Z134" s="1523"/>
      <c r="AA134" s="1998"/>
      <c r="AB134" s="927"/>
      <c r="AC134" s="927"/>
      <c r="AD134" s="927"/>
      <c r="AE134" s="927"/>
    </row>
    <row s="19269" customFormat="1" customHeight="1" ht="11.25">
      <c r="A135" s="1349"/>
      <c r="B135" s="2002"/>
      <c r="C135" s="2002"/>
      <c r="D135" s="712"/>
      <c r="K135" s="1523"/>
      <c r="L135" s="2002"/>
      <c r="M135" s="2002"/>
      <c r="N135" s="1523"/>
      <c r="O135" s="1523"/>
      <c r="P135" s="1523"/>
      <c r="Q135" s="1523"/>
      <c r="R135" s="2002"/>
      <c r="S135" s="1523"/>
      <c r="T135" s="1523"/>
      <c r="U135" s="905"/>
      <c r="V135" s="1523"/>
      <c r="W135" s="1523"/>
      <c r="X135" s="1523"/>
      <c r="Y135" s="1523"/>
      <c r="Z135" s="1523"/>
      <c r="AA135" s="1998"/>
      <c r="AB135" s="927"/>
      <c r="AC135" s="927"/>
      <c r="AD135" s="927"/>
      <c r="AE135" s="927"/>
    </row>
    <row s="19269" customFormat="1" customHeight="1" ht="11.25">
      <c r="A136" s="1349"/>
      <c r="B136" s="2002"/>
      <c r="C136" s="2002"/>
      <c r="D136" s="712"/>
      <c r="K136" s="1523"/>
      <c r="L136" s="2002"/>
      <c r="M136" s="2002"/>
      <c r="N136" s="1523"/>
      <c r="O136" s="1523"/>
      <c r="P136" s="1523"/>
      <c r="Q136" s="1523"/>
      <c r="R136" s="2002"/>
      <c r="S136" s="1523"/>
      <c r="T136" s="1523"/>
      <c r="U136" s="905"/>
      <c r="V136" s="1523"/>
      <c r="W136" s="1523"/>
      <c r="X136" s="1523"/>
      <c r="Y136" s="1523"/>
      <c r="Z136" s="1523"/>
      <c r="AA136" s="1998"/>
      <c r="AB136" s="927"/>
      <c r="AC136" s="927"/>
      <c r="AD136" s="927"/>
      <c r="AE136" s="927"/>
    </row>
    <row s="19269" customFormat="1" customHeight="1" ht="11.25">
      <c r="A137" s="1349"/>
      <c r="B137" s="2002"/>
      <c r="C137" s="2002"/>
      <c r="D137" s="712"/>
      <c r="K137" s="1523"/>
      <c r="L137" s="2002"/>
      <c r="M137" s="2002"/>
      <c r="N137" s="1523"/>
      <c r="O137" s="1523"/>
      <c r="P137" s="1523"/>
      <c r="Q137" s="1523"/>
      <c r="R137" s="2002"/>
      <c r="S137" s="1523"/>
      <c r="T137" s="1523"/>
      <c r="U137" s="905"/>
      <c r="V137" s="1523"/>
      <c r="W137" s="1523"/>
      <c r="X137" s="1523"/>
      <c r="Y137" s="1523"/>
      <c r="Z137" s="1523"/>
      <c r="AA137" s="1998"/>
      <c r="AB137" s="927"/>
      <c r="AC137" s="927"/>
      <c r="AD137" s="927"/>
      <c r="AE137" s="927"/>
    </row>
    <row s="19269" customFormat="1" customHeight="1" ht="11.25">
      <c r="A138" s="1349"/>
      <c r="B138" s="2002"/>
      <c r="C138" s="2002"/>
      <c r="D138" s="712"/>
      <c r="K138" s="1523"/>
      <c r="L138" s="2002"/>
      <c r="M138" s="2002"/>
      <c r="N138" s="1523"/>
      <c r="O138" s="1523"/>
      <c r="P138" s="1523"/>
      <c r="Q138" s="1523"/>
      <c r="R138" s="2002"/>
      <c r="S138" s="1523"/>
      <c r="T138" s="1523"/>
      <c r="U138" s="905"/>
      <c r="V138" s="1523"/>
      <c r="W138" s="1523"/>
      <c r="X138" s="1523"/>
      <c r="Y138" s="1523"/>
      <c r="Z138" s="1523"/>
      <c r="AA138" s="1998"/>
      <c r="AB138" s="927"/>
      <c r="AC138" s="927"/>
      <c r="AD138" s="927"/>
      <c r="AE138" s="927"/>
    </row>
    <row s="19269" customFormat="1" customHeight="1" ht="11.25">
      <c r="A139" s="1349"/>
      <c r="B139" s="2002"/>
      <c r="C139" s="2002"/>
      <c r="D139" s="712"/>
      <c r="K139" s="1523"/>
      <c r="L139" s="2002"/>
      <c r="M139" s="2002"/>
      <c r="N139" s="1523"/>
      <c r="O139" s="1523"/>
      <c r="P139" s="1523"/>
      <c r="Q139" s="1523"/>
      <c r="R139" s="2002"/>
      <c r="S139" s="1523"/>
      <c r="T139" s="1523"/>
      <c r="U139" s="905"/>
      <c r="V139" s="1523"/>
      <c r="W139" s="1523"/>
      <c r="X139" s="1523"/>
      <c r="Y139" s="1523"/>
      <c r="Z139" s="1523"/>
      <c r="AA139" s="1998"/>
      <c r="AB139" s="927"/>
      <c r="AC139" s="927"/>
      <c r="AD139" s="927"/>
      <c r="AE139" s="927"/>
    </row>
    <row s="19269" customFormat="1" customHeight="1" ht="11.25">
      <c r="A140" s="1349"/>
      <c r="B140" s="2002"/>
      <c r="C140" s="2002"/>
      <c r="D140" s="712"/>
      <c r="K140" s="1523"/>
      <c r="L140" s="2002"/>
      <c r="M140" s="2002"/>
      <c r="N140" s="1523"/>
      <c r="O140" s="1523"/>
      <c r="P140" s="1523"/>
      <c r="Q140" s="1523"/>
      <c r="R140" s="2002"/>
      <c r="S140" s="1523"/>
      <c r="T140" s="1523"/>
      <c r="U140" s="905"/>
      <c r="V140" s="1523"/>
      <c r="W140" s="1523"/>
      <c r="X140" s="1523"/>
      <c r="Y140" s="1523"/>
      <c r="Z140" s="1523"/>
      <c r="AA140" s="1998"/>
      <c r="AB140" s="927"/>
      <c r="AC140" s="927"/>
      <c r="AD140" s="927"/>
      <c r="AE140" s="927"/>
    </row>
    <row s="19269" customFormat="1" customHeight="1" ht="11.25">
      <c r="A141" s="1349"/>
      <c r="B141" s="2002"/>
      <c r="C141" s="2002"/>
      <c r="D141" s="712"/>
      <c r="K141" s="1523"/>
      <c r="L141" s="2002"/>
      <c r="M141" s="2002"/>
      <c r="N141" s="1523"/>
      <c r="O141" s="1523"/>
      <c r="P141" s="1523"/>
      <c r="Q141" s="1523"/>
      <c r="R141" s="2002"/>
      <c r="S141" s="1523"/>
      <c r="T141" s="1523"/>
      <c r="U141" s="905"/>
      <c r="V141" s="1523"/>
      <c r="W141" s="1523"/>
      <c r="X141" s="1523"/>
      <c r="Y141" s="1523"/>
      <c r="Z141" s="1523"/>
      <c r="AA141" s="1998"/>
      <c r="AB141" s="927"/>
      <c r="AC141" s="927"/>
      <c r="AD141" s="927"/>
      <c r="AE141" s="927"/>
    </row>
    <row s="19269" customFormat="1" customHeight="1" ht="11.25">
      <c r="A142" s="1349"/>
      <c r="B142" s="2002"/>
      <c r="C142" s="2002"/>
      <c r="D142" s="712"/>
      <c r="K142" s="1523"/>
      <c r="L142" s="2002"/>
      <c r="M142" s="2002"/>
      <c r="N142" s="1523"/>
      <c r="O142" s="1523"/>
      <c r="P142" s="1523"/>
      <c r="Q142" s="1523"/>
      <c r="R142" s="2002"/>
      <c r="S142" s="1523"/>
      <c r="T142" s="1523"/>
      <c r="U142" s="905"/>
      <c r="V142" s="1523"/>
      <c r="W142" s="1523"/>
      <c r="X142" s="1523"/>
      <c r="Y142" s="1523"/>
      <c r="Z142" s="1523"/>
      <c r="AA142" s="1998"/>
      <c r="AB142" s="927"/>
      <c r="AC142" s="927"/>
      <c r="AD142" s="927"/>
      <c r="AE142" s="927"/>
    </row>
    <row s="19269" customFormat="1" customHeight="1" ht="11.25">
      <c r="A143" s="1349"/>
      <c r="B143" s="2002"/>
      <c r="C143" s="2002"/>
      <c r="D143" s="712"/>
      <c r="K143" s="1523"/>
      <c r="L143" s="2002"/>
      <c r="M143" s="2002"/>
      <c r="N143" s="1523"/>
      <c r="O143" s="1523"/>
      <c r="P143" s="1523"/>
      <c r="Q143" s="1523"/>
      <c r="R143" s="2002"/>
      <c r="S143" s="1523"/>
      <c r="T143" s="1523"/>
      <c r="U143" s="905"/>
      <c r="V143" s="1523"/>
      <c r="W143" s="1523"/>
      <c r="X143" s="1523"/>
      <c r="Y143" s="1523"/>
      <c r="Z143" s="1523"/>
      <c r="AA143" s="1998"/>
      <c r="AB143" s="927"/>
      <c r="AC143" s="927"/>
      <c r="AD143" s="927"/>
      <c r="AE143" s="927"/>
    </row>
    <row s="19269" customFormat="1" customHeight="1" ht="11.25">
      <c r="A144" s="1349"/>
      <c r="B144" s="2002"/>
      <c r="C144" s="2002"/>
      <c r="D144" s="712"/>
      <c r="K144" s="1523"/>
      <c r="L144" s="2002"/>
      <c r="M144" s="2002"/>
      <c r="N144" s="1523"/>
      <c r="O144" s="1523"/>
      <c r="P144" s="1523"/>
      <c r="Q144" s="1523"/>
      <c r="R144" s="2002"/>
      <c r="S144" s="1523"/>
      <c r="T144" s="1523"/>
      <c r="U144" s="905"/>
      <c r="V144" s="1523"/>
      <c r="W144" s="1523"/>
      <c r="X144" s="1523"/>
      <c r="Y144" s="1523"/>
      <c r="Z144" s="1523"/>
      <c r="AA144" s="1998"/>
      <c r="AB144" s="927"/>
      <c r="AC144" s="927"/>
      <c r="AD144" s="927"/>
      <c r="AE144" s="927"/>
    </row>
    <row s="19269" customFormat="1" customHeight="1" ht="11.25">
      <c r="A145" s="1349"/>
      <c r="B145" s="2002"/>
      <c r="C145" s="2002"/>
      <c r="D145" s="712"/>
      <c r="K145" s="1523"/>
      <c r="L145" s="2002"/>
      <c r="M145" s="2002"/>
      <c r="N145" s="1523"/>
      <c r="O145" s="1523"/>
      <c r="P145" s="1523"/>
      <c r="Q145" s="1523"/>
      <c r="R145" s="2002"/>
      <c r="S145" s="1523"/>
      <c r="T145" s="1523"/>
      <c r="U145" s="905"/>
      <c r="V145" s="1523"/>
      <c r="W145" s="1523"/>
      <c r="X145" s="1523"/>
      <c r="Y145" s="1523"/>
      <c r="Z145" s="1523"/>
      <c r="AA145" s="1998"/>
      <c r="AB145" s="927"/>
      <c r="AC145" s="927"/>
      <c r="AD145" s="927"/>
      <c r="AE145" s="927"/>
    </row>
    <row s="19269" customFormat="1" customHeight="1" ht="11.25">
      <c r="A146" s="1349"/>
      <c r="B146" s="2002"/>
      <c r="C146" s="2002"/>
      <c r="D146" s="712"/>
      <c r="K146" s="1523"/>
      <c r="L146" s="2002"/>
      <c r="M146" s="2002"/>
      <c r="N146" s="1523"/>
      <c r="O146" s="1523"/>
      <c r="P146" s="1523"/>
      <c r="Q146" s="1523"/>
      <c r="R146" s="2002"/>
      <c r="S146" s="1523"/>
      <c r="T146" s="1523"/>
      <c r="U146" s="905"/>
      <c r="V146" s="1523"/>
      <c r="W146" s="1523"/>
      <c r="X146" s="1523"/>
      <c r="Y146" s="1523"/>
      <c r="Z146" s="1523"/>
      <c r="AA146" s="1998"/>
      <c r="AB146" s="927"/>
      <c r="AC146" s="927"/>
      <c r="AD146" s="927"/>
      <c r="AE146" s="927"/>
    </row>
    <row s="19269" customFormat="1" customHeight="1" ht="11.25">
      <c r="A147" s="1349"/>
      <c r="B147" s="2002"/>
      <c r="C147" s="2002"/>
      <c r="D147" s="712"/>
      <c r="K147" s="1523"/>
      <c r="L147" s="2002"/>
      <c r="M147" s="2002"/>
      <c r="N147" s="1523"/>
      <c r="O147" s="1523"/>
      <c r="P147" s="1523"/>
      <c r="Q147" s="1523"/>
      <c r="R147" s="2002"/>
      <c r="S147" s="1523"/>
      <c r="T147" s="1523"/>
      <c r="U147" s="905"/>
      <c r="V147" s="1523"/>
      <c r="W147" s="1523"/>
      <c r="X147" s="1523"/>
      <c r="Y147" s="1523"/>
      <c r="Z147" s="1523"/>
      <c r="AA147" s="1998"/>
      <c r="AB147" s="927"/>
      <c r="AC147" s="927"/>
      <c r="AD147" s="927"/>
      <c r="AE147" s="927"/>
    </row>
    <row s="19269" customFormat="1" customHeight="1" ht="11.25">
      <c r="A148" s="1349"/>
      <c r="B148" s="2002"/>
      <c r="C148" s="2002"/>
      <c r="D148" s="712"/>
      <c r="K148" s="1523"/>
      <c r="L148" s="2002"/>
      <c r="M148" s="2002"/>
      <c r="N148" s="1523"/>
      <c r="O148" s="1523"/>
      <c r="P148" s="1523"/>
      <c r="Q148" s="1523"/>
      <c r="R148" s="2002"/>
      <c r="S148" s="1523"/>
      <c r="T148" s="1523"/>
      <c r="U148" s="905"/>
      <c r="V148" s="1523"/>
      <c r="W148" s="1523"/>
      <c r="X148" s="1523"/>
      <c r="Y148" s="1523"/>
      <c r="Z148" s="1523"/>
      <c r="AA148" s="1998"/>
      <c r="AB148" s="927"/>
      <c r="AC148" s="927"/>
      <c r="AD148" s="927"/>
      <c r="AE148" s="927"/>
    </row>
    <row s="19269" customFormat="1" customHeight="1" ht="11.25">
      <c r="A149" s="1349"/>
      <c r="B149" s="2002"/>
      <c r="C149" s="2002"/>
      <c r="D149" s="712"/>
      <c r="K149" s="1523"/>
      <c r="L149" s="2002"/>
      <c r="M149" s="2002"/>
      <c r="N149" s="1523"/>
      <c r="O149" s="1523"/>
      <c r="P149" s="1523"/>
      <c r="Q149" s="1523"/>
      <c r="R149" s="2002"/>
      <c r="S149" s="1523"/>
      <c r="T149" s="1523"/>
      <c r="U149" s="905"/>
      <c r="V149" s="1523"/>
      <c r="W149" s="1523"/>
      <c r="X149" s="1523"/>
      <c r="Y149" s="1523"/>
      <c r="Z149" s="1523"/>
      <c r="AA149" s="1998"/>
      <c r="AB149" s="927"/>
      <c r="AC149" s="927"/>
      <c r="AD149" s="927"/>
      <c r="AE149" s="927"/>
    </row>
    <row s="19269" customFormat="1" customHeight="1" ht="11.25">
      <c r="A150" s="1349"/>
      <c r="B150" s="2002"/>
      <c r="C150" s="2002"/>
      <c r="D150" s="712"/>
      <c r="K150" s="1523"/>
      <c r="L150" s="2002"/>
      <c r="M150" s="2002"/>
      <c r="N150" s="1523"/>
      <c r="O150" s="1523"/>
      <c r="P150" s="1523"/>
      <c r="Q150" s="1523"/>
      <c r="R150" s="2002"/>
      <c r="S150" s="1523"/>
      <c r="T150" s="1523"/>
      <c r="U150" s="905"/>
      <c r="V150" s="1523"/>
      <c r="W150" s="1523"/>
      <c r="X150" s="1523"/>
      <c r="Y150" s="1523"/>
      <c r="Z150" s="1523"/>
      <c r="AA150" s="1998"/>
      <c r="AB150" s="927"/>
      <c r="AC150" s="927"/>
      <c r="AD150" s="927"/>
      <c r="AE150" s="927"/>
    </row>
    <row s="19269" customFormat="1" customHeight="1" ht="11.25">
      <c r="A151" s="1349"/>
      <c r="B151" s="2002"/>
      <c r="C151" s="2002"/>
      <c r="D151" s="712"/>
      <c r="K151" s="1523"/>
      <c r="L151" s="2002"/>
      <c r="M151" s="2002"/>
      <c r="N151" s="1523"/>
      <c r="O151" s="1523"/>
      <c r="P151" s="1523"/>
      <c r="Q151" s="1523"/>
      <c r="R151" s="2002"/>
      <c r="S151" s="1523"/>
      <c r="T151" s="1523"/>
      <c r="U151" s="905"/>
      <c r="V151" s="1523"/>
      <c r="W151" s="1523"/>
      <c r="X151" s="1523"/>
      <c r="Y151" s="1523"/>
      <c r="Z151" s="1523"/>
      <c r="AA151" s="1998"/>
      <c r="AB151" s="927"/>
      <c r="AC151" s="927"/>
      <c r="AD151" s="927"/>
      <c r="AE151" s="927"/>
    </row>
    <row s="19269" customFormat="1" customHeight="1" ht="11.25">
      <c r="A152" s="1349"/>
      <c r="B152" s="2002"/>
      <c r="C152" s="2002"/>
      <c r="D152" s="712"/>
      <c r="K152" s="1523"/>
      <c r="L152" s="2002"/>
      <c r="M152" s="2002"/>
      <c r="N152" s="1523"/>
      <c r="O152" s="1523"/>
      <c r="P152" s="1523"/>
      <c r="Q152" s="1523"/>
      <c r="R152" s="2002"/>
      <c r="S152" s="1523"/>
      <c r="T152" s="1523"/>
      <c r="U152" s="905"/>
      <c r="V152" s="1523"/>
      <c r="W152" s="1523"/>
      <c r="X152" s="1523"/>
      <c r="Y152" s="1523"/>
      <c r="Z152" s="1523"/>
      <c r="AA152" s="1998"/>
      <c r="AB152" s="927"/>
      <c r="AC152" s="927"/>
      <c r="AD152" s="927"/>
      <c r="AE152" s="927"/>
    </row>
    <row s="19269" customFormat="1" customHeight="1" ht="11.25">
      <c r="A153" s="1349"/>
      <c r="B153" s="2002"/>
      <c r="C153" s="2002"/>
      <c r="D153" s="712"/>
      <c r="K153" s="1523"/>
      <c r="L153" s="2002"/>
      <c r="M153" s="2002"/>
      <c r="N153" s="1523"/>
      <c r="O153" s="1523"/>
      <c r="P153" s="1523"/>
      <c r="Q153" s="1523"/>
      <c r="R153" s="2002"/>
      <c r="S153" s="1523"/>
      <c r="T153" s="1523"/>
      <c r="U153" s="905"/>
      <c r="V153" s="1523"/>
      <c r="W153" s="1523"/>
      <c r="X153" s="1523"/>
      <c r="Y153" s="1523"/>
      <c r="Z153" s="1523"/>
      <c r="AA153" s="1998"/>
      <c r="AB153" s="927"/>
      <c r="AC153" s="927"/>
      <c r="AD153" s="927"/>
      <c r="AE153" s="927"/>
    </row>
    <row s="19269" customFormat="1" customHeight="1" ht="11.25">
      <c r="A154" s="1349"/>
      <c r="B154" s="2002"/>
      <c r="C154" s="2002"/>
      <c r="D154" s="712"/>
      <c r="K154" s="1523"/>
      <c r="L154" s="2002"/>
      <c r="M154" s="2002"/>
      <c r="N154" s="1523"/>
      <c r="O154" s="1523"/>
      <c r="P154" s="1523"/>
      <c r="Q154" s="1523"/>
      <c r="R154" s="2002"/>
      <c r="S154" s="1523"/>
      <c r="T154" s="1523"/>
      <c r="U154" s="905"/>
      <c r="V154" s="1523"/>
      <c r="W154" s="1523"/>
      <c r="X154" s="1523"/>
      <c r="Y154" s="1523"/>
      <c r="Z154" s="1523"/>
      <c r="AA154" s="1998"/>
      <c r="AB154" s="927"/>
      <c r="AC154" s="927"/>
      <c r="AD154" s="927"/>
      <c r="AE154" s="927"/>
    </row>
    <row s="19269" customFormat="1" customHeight="1" ht="11.25">
      <c r="A155" s="1349"/>
      <c r="B155" s="2002"/>
      <c r="C155" s="2002"/>
      <c r="D155" s="712"/>
      <c r="K155" s="1523"/>
      <c r="L155" s="2002"/>
      <c r="M155" s="2002"/>
      <c r="N155" s="1523"/>
      <c r="O155" s="1523"/>
      <c r="P155" s="1523"/>
      <c r="Q155" s="1523"/>
      <c r="R155" s="2002"/>
      <c r="S155" s="1523"/>
      <c r="T155" s="1523"/>
      <c r="U155" s="905"/>
      <c r="V155" s="1523"/>
      <c r="W155" s="1523"/>
      <c r="X155" s="1523"/>
      <c r="Y155" s="1523"/>
      <c r="Z155" s="1523"/>
      <c r="AA155" s="1998"/>
      <c r="AB155" s="927"/>
      <c r="AC155" s="927"/>
      <c r="AD155" s="927"/>
      <c r="AE155" s="927"/>
    </row>
    <row s="19269" customFormat="1" customHeight="1" ht="11.25">
      <c r="A156" s="1349"/>
      <c r="B156" s="2002"/>
      <c r="C156" s="2002"/>
      <c r="D156" s="712"/>
      <c r="K156" s="1523"/>
      <c r="L156" s="2002"/>
      <c r="M156" s="2002"/>
      <c r="N156" s="1523"/>
      <c r="O156" s="1523"/>
      <c r="P156" s="1523"/>
      <c r="Q156" s="1523"/>
      <c r="R156" s="2002"/>
      <c r="S156" s="1523"/>
      <c r="T156" s="1523"/>
      <c r="U156" s="905"/>
      <c r="V156" s="1523"/>
      <c r="W156" s="1523"/>
      <c r="X156" s="1523"/>
      <c r="Y156" s="1523"/>
      <c r="Z156" s="1523"/>
      <c r="AA156" s="1998"/>
      <c r="AB156" s="927"/>
      <c r="AC156" s="927"/>
      <c r="AD156" s="927"/>
      <c r="AE156" s="927"/>
    </row>
    <row s="19269" customFormat="1" customHeight="1" ht="11.25">
      <c r="A157" s="1349"/>
      <c r="B157" s="2002"/>
      <c r="C157" s="2002"/>
      <c r="D157" s="712"/>
      <c r="K157" s="1523"/>
      <c r="L157" s="2002"/>
      <c r="M157" s="2002"/>
      <c r="N157" s="1523"/>
      <c r="O157" s="1523"/>
      <c r="P157" s="1523"/>
      <c r="Q157" s="1523"/>
      <c r="R157" s="2002"/>
      <c r="S157" s="1523"/>
      <c r="T157" s="1523"/>
      <c r="U157" s="905"/>
      <c r="V157" s="1523"/>
      <c r="W157" s="1523"/>
      <c r="X157" s="1523"/>
      <c r="Y157" s="1523"/>
      <c r="Z157" s="1523"/>
      <c r="AA157" s="1998"/>
      <c r="AB157" s="927"/>
      <c r="AC157" s="927"/>
      <c r="AD157" s="927"/>
      <c r="AE157" s="927"/>
    </row>
    <row s="19269" customFormat="1" customHeight="1" ht="11.25">
      <c r="A158" s="1349"/>
      <c r="B158" s="2002"/>
      <c r="C158" s="2002"/>
      <c r="D158" s="712"/>
      <c r="K158" s="1523"/>
      <c r="L158" s="2002"/>
      <c r="M158" s="2002"/>
      <c r="N158" s="1523"/>
      <c r="O158" s="1523"/>
      <c r="P158" s="1523"/>
      <c r="Q158" s="1523"/>
      <c r="R158" s="2002"/>
      <c r="S158" s="1523"/>
      <c r="T158" s="1523"/>
      <c r="U158" s="905"/>
      <c r="V158" s="1523"/>
      <c r="W158" s="1523"/>
      <c r="X158" s="1523"/>
      <c r="Y158" s="1523"/>
      <c r="Z158" s="1523"/>
      <c r="AA158" s="1998"/>
      <c r="AB158" s="927"/>
      <c r="AC158" s="927"/>
      <c r="AD158" s="927"/>
      <c r="AE158" s="927"/>
    </row>
    <row s="19269" customFormat="1" customHeight="1" ht="11.25">
      <c r="A159" s="1349"/>
      <c r="B159" s="2002"/>
      <c r="C159" s="2002"/>
      <c r="D159" s="712"/>
      <c r="K159" s="1523"/>
      <c r="L159" s="2002"/>
      <c r="M159" s="2002"/>
      <c r="N159" s="1523"/>
      <c r="O159" s="1523"/>
      <c r="P159" s="1523"/>
      <c r="Q159" s="1523"/>
      <c r="R159" s="2002"/>
      <c r="S159" s="1523"/>
      <c r="T159" s="1523"/>
      <c r="U159" s="905"/>
      <c r="V159" s="1523"/>
      <c r="W159" s="1523"/>
      <c r="X159" s="1523"/>
      <c r="Y159" s="1523"/>
      <c r="Z159" s="1523"/>
      <c r="AA159" s="1998"/>
      <c r="AB159" s="927"/>
      <c r="AC159" s="927"/>
      <c r="AD159" s="927"/>
      <c r="AE159" s="927"/>
    </row>
    <row s="19269" customFormat="1" customHeight="1" ht="11.25">
      <c r="A160" s="1349"/>
      <c r="B160" s="2002"/>
      <c r="C160" s="2002"/>
      <c r="D160" s="712"/>
      <c r="K160" s="1523"/>
      <c r="L160" s="2002"/>
      <c r="M160" s="2002"/>
      <c r="N160" s="1523"/>
      <c r="O160" s="1523"/>
      <c r="P160" s="1523"/>
      <c r="Q160" s="1523"/>
      <c r="R160" s="2002"/>
      <c r="S160" s="1523"/>
      <c r="T160" s="1523"/>
      <c r="U160" s="905"/>
      <c r="V160" s="1523"/>
      <c r="W160" s="1523"/>
      <c r="X160" s="1523"/>
      <c r="Y160" s="1523"/>
      <c r="Z160" s="1523"/>
      <c r="AA160" s="1998"/>
      <c r="AB160" s="927"/>
      <c r="AC160" s="927"/>
      <c r="AD160" s="927"/>
      <c r="AE160" s="927"/>
    </row>
    <row s="19269" customFormat="1" customHeight="1" ht="11.25">
      <c r="A161" s="1349"/>
      <c r="B161" s="2002"/>
      <c r="C161" s="2002"/>
      <c r="D161" s="712"/>
      <c r="K161" s="1523"/>
      <c r="L161" s="2002"/>
      <c r="M161" s="2002"/>
      <c r="N161" s="1523"/>
      <c r="O161" s="1523"/>
      <c r="P161" s="1523"/>
      <c r="Q161" s="1523"/>
      <c r="R161" s="2002"/>
      <c r="S161" s="1523"/>
      <c r="T161" s="1523"/>
      <c r="U161" s="905"/>
      <c r="V161" s="1523"/>
      <c r="W161" s="1523"/>
      <c r="X161" s="1523"/>
      <c r="Y161" s="1523"/>
      <c r="Z161" s="1523"/>
      <c r="AA161" s="1998"/>
      <c r="AB161" s="927"/>
      <c r="AC161" s="927"/>
      <c r="AD161" s="927"/>
      <c r="AE161" s="927"/>
    </row>
    <row s="19269" customFormat="1" customHeight="1" ht="11.25">
      <c r="A162" s="1349"/>
      <c r="B162" s="2002"/>
      <c r="C162" s="2002"/>
      <c r="D162" s="712"/>
      <c r="K162" s="1523"/>
      <c r="L162" s="2002"/>
      <c r="M162" s="2002"/>
      <c r="N162" s="1523"/>
      <c r="O162" s="1523"/>
      <c r="P162" s="1523"/>
      <c r="Q162" s="1523"/>
      <c r="R162" s="2002"/>
      <c r="S162" s="1523"/>
      <c r="T162" s="1523"/>
      <c r="U162" s="905"/>
      <c r="V162" s="1523"/>
      <c r="W162" s="1523"/>
      <c r="X162" s="1523"/>
      <c r="Y162" s="1523"/>
      <c r="Z162" s="1523"/>
      <c r="AA162" s="1998"/>
      <c r="AB162" s="927"/>
      <c r="AC162" s="927"/>
      <c r="AD162" s="927"/>
      <c r="AE162" s="927"/>
    </row>
    <row s="19269" customFormat="1" customHeight="1" ht="11.25">
      <c r="A163" s="1349"/>
      <c r="B163" s="2002"/>
      <c r="C163" s="2002"/>
      <c r="D163" s="712"/>
      <c r="K163" s="1523"/>
      <c r="L163" s="2002"/>
      <c r="M163" s="2002"/>
      <c r="N163" s="1523"/>
      <c r="O163" s="1523"/>
      <c r="P163" s="1523"/>
      <c r="Q163" s="1523"/>
      <c r="R163" s="2002"/>
      <c r="S163" s="1523"/>
      <c r="T163" s="1523"/>
      <c r="U163" s="905"/>
      <c r="V163" s="1523"/>
      <c r="W163" s="1523"/>
      <c r="X163" s="1523"/>
      <c r="Y163" s="1523"/>
      <c r="Z163" s="1523"/>
      <c r="AA163" s="1998"/>
      <c r="AB163" s="927"/>
      <c r="AC163" s="927"/>
      <c r="AD163" s="927"/>
      <c r="AE163" s="927"/>
    </row>
    <row s="19269" customFormat="1" customHeight="1" ht="11.25">
      <c r="A164" s="1349"/>
      <c r="B164" s="2002"/>
      <c r="C164" s="2002"/>
      <c r="D164" s="712"/>
      <c r="K164" s="1523"/>
      <c r="L164" s="2002"/>
      <c r="M164" s="2002"/>
      <c r="N164" s="1523"/>
      <c r="O164" s="1523"/>
      <c r="P164" s="1523"/>
      <c r="Q164" s="1523"/>
      <c r="R164" s="2002"/>
      <c r="S164" s="1523"/>
      <c r="T164" s="1523"/>
      <c r="U164" s="905"/>
      <c r="V164" s="1523"/>
      <c r="W164" s="1523"/>
      <c r="X164" s="1523"/>
      <c r="Y164" s="1523"/>
      <c r="Z164" s="1523"/>
      <c r="AA164" s="1998"/>
      <c r="AB164" s="927"/>
      <c r="AC164" s="927"/>
      <c r="AD164" s="927"/>
      <c r="AE164" s="927"/>
    </row>
    <row s="19269" customFormat="1" customHeight="1" ht="11.25">
      <c r="A165" s="1349"/>
      <c r="B165" s="2002"/>
      <c r="C165" s="2002"/>
      <c r="D165" s="712"/>
      <c r="K165" s="1523"/>
      <c r="L165" s="2002"/>
      <c r="M165" s="2002"/>
      <c r="N165" s="1523"/>
      <c r="O165" s="1523"/>
      <c r="P165" s="1523"/>
      <c r="Q165" s="1523"/>
      <c r="R165" s="2002"/>
      <c r="S165" s="1523"/>
      <c r="T165" s="1523"/>
      <c r="U165" s="905"/>
      <c r="V165" s="1523"/>
      <c r="W165" s="1523"/>
      <c r="X165" s="1523"/>
      <c r="Y165" s="1523"/>
      <c r="Z165" s="1523"/>
      <c r="AA165" s="1998"/>
      <c r="AB165" s="927"/>
      <c r="AC165" s="927"/>
      <c r="AD165" s="927"/>
      <c r="AE165" s="927"/>
    </row>
    <row s="19269" customFormat="1" customHeight="1" ht="11.25">
      <c r="A166" s="1349"/>
      <c r="B166" s="2002"/>
      <c r="C166" s="2002"/>
      <c r="D166" s="712"/>
      <c r="K166" s="1523"/>
      <c r="L166" s="2002"/>
      <c r="M166" s="2002"/>
      <c r="N166" s="1523"/>
      <c r="O166" s="1523"/>
      <c r="P166" s="1523"/>
      <c r="Q166" s="1523"/>
      <c r="R166" s="2002"/>
      <c r="S166" s="1523"/>
      <c r="T166" s="1523"/>
      <c r="U166" s="905"/>
      <c r="V166" s="1523"/>
      <c r="W166" s="1523"/>
      <c r="X166" s="1523"/>
      <c r="Y166" s="1523"/>
      <c r="Z166" s="1523"/>
      <c r="AA166" s="1998"/>
      <c r="AB166" s="927"/>
      <c r="AC166" s="927"/>
      <c r="AD166" s="927"/>
      <c r="AE166" s="927"/>
    </row>
    <row s="19269" customFormat="1" customHeight="1" ht="11.25">
      <c r="A167" s="1349"/>
      <c r="B167" s="2002"/>
      <c r="C167" s="2002"/>
      <c r="D167" s="712"/>
      <c r="K167" s="1523"/>
      <c r="L167" s="2002"/>
      <c r="M167" s="2002"/>
      <c r="N167" s="1523"/>
      <c r="O167" s="1523"/>
      <c r="P167" s="1523"/>
      <c r="Q167" s="1523"/>
      <c r="R167" s="2002"/>
      <c r="S167" s="1523"/>
      <c r="T167" s="1523"/>
      <c r="U167" s="905"/>
      <c r="V167" s="1523"/>
      <c r="W167" s="1523"/>
      <c r="X167" s="1523"/>
      <c r="Y167" s="1523"/>
      <c r="Z167" s="1523"/>
      <c r="AA167" s="1998"/>
      <c r="AB167" s="927"/>
      <c r="AC167" s="927"/>
      <c r="AD167" s="927"/>
      <c r="AE167" s="927"/>
    </row>
    <row s="19269" customFormat="1" customHeight="1" ht="11.25">
      <c r="A168" s="1349"/>
      <c r="B168" s="2002"/>
      <c r="C168" s="2002"/>
      <c r="D168" s="712"/>
      <c r="K168" s="1523"/>
      <c r="L168" s="2002"/>
      <c r="M168" s="2002"/>
      <c r="N168" s="1523"/>
      <c r="O168" s="1523"/>
      <c r="P168" s="1523"/>
      <c r="Q168" s="1523"/>
      <c r="R168" s="2002"/>
      <c r="S168" s="1523"/>
      <c r="T168" s="1523"/>
      <c r="U168" s="905"/>
      <c r="V168" s="1523"/>
      <c r="W168" s="1523"/>
      <c r="X168" s="1523"/>
      <c r="Y168" s="1523"/>
      <c r="Z168" s="1523"/>
      <c r="AA168" s="1998"/>
      <c r="AB168" s="927"/>
      <c r="AC168" s="927"/>
      <c r="AD168" s="927"/>
      <c r="AE168" s="927"/>
    </row>
    <row s="19269" customFormat="1" customHeight="1" ht="11.25">
      <c r="A169" s="1349"/>
      <c r="B169" s="2002"/>
      <c r="C169" s="2002"/>
      <c r="D169" s="712"/>
      <c r="K169" s="1523"/>
      <c r="L169" s="2002"/>
      <c r="M169" s="2002"/>
      <c r="N169" s="1523"/>
      <c r="O169" s="1523"/>
      <c r="P169" s="1523"/>
      <c r="Q169" s="1523"/>
      <c r="R169" s="2002"/>
      <c r="S169" s="1523"/>
      <c r="T169" s="1523"/>
      <c r="U169" s="905"/>
      <c r="V169" s="1523"/>
      <c r="W169" s="1523"/>
      <c r="X169" s="1523"/>
      <c r="Y169" s="1523"/>
      <c r="Z169" s="1523"/>
      <c r="AA169" s="1998"/>
      <c r="AB169" s="927"/>
      <c r="AC169" s="927"/>
      <c r="AD169" s="927"/>
      <c r="AE169" s="927"/>
    </row>
    <row s="19269" customFormat="1" customHeight="1" ht="11.25">
      <c r="A170" s="1349"/>
      <c r="B170" s="2002"/>
      <c r="C170" s="2002"/>
      <c r="D170" s="712"/>
      <c r="K170" s="1523"/>
      <c r="L170" s="2002"/>
      <c r="M170" s="2002"/>
      <c r="N170" s="1523"/>
      <c r="O170" s="1523"/>
      <c r="P170" s="1523"/>
      <c r="Q170" s="1523"/>
      <c r="R170" s="2002"/>
      <c r="S170" s="1523"/>
      <c r="T170" s="1523"/>
      <c r="U170" s="905"/>
      <c r="V170" s="1523"/>
      <c r="W170" s="1523"/>
      <c r="X170" s="1523"/>
      <c r="Y170" s="1523"/>
      <c r="Z170" s="1523"/>
      <c r="AA170" s="1998"/>
      <c r="AB170" s="927"/>
      <c r="AC170" s="927"/>
      <c r="AD170" s="927"/>
      <c r="AE170" s="927"/>
    </row>
    <row s="19269" customFormat="1" customHeight="1" ht="11.25">
      <c r="A171" s="1349"/>
      <c r="B171" s="2002"/>
      <c r="C171" s="2002"/>
      <c r="D171" s="712"/>
      <c r="K171" s="1523"/>
      <c r="L171" s="2002"/>
      <c r="M171" s="2002"/>
      <c r="N171" s="1523"/>
      <c r="O171" s="1523"/>
      <c r="P171" s="1523"/>
      <c r="Q171" s="1523"/>
      <c r="R171" s="2002"/>
      <c r="S171" s="1523"/>
      <c r="T171" s="1523"/>
      <c r="U171" s="905"/>
      <c r="V171" s="1523"/>
      <c r="W171" s="1523"/>
      <c r="X171" s="1523"/>
      <c r="Y171" s="1523"/>
      <c r="Z171" s="1523"/>
      <c r="AA171" s="1998"/>
      <c r="AB171" s="927"/>
      <c r="AC171" s="927"/>
      <c r="AD171" s="927"/>
      <c r="AE171" s="927"/>
    </row>
    <row s="19269" customFormat="1" customHeight="1" ht="11.25">
      <c r="A172" s="1349"/>
      <c r="B172" s="2002"/>
      <c r="C172" s="2002"/>
      <c r="D172" s="712"/>
      <c r="K172" s="1523"/>
      <c r="L172" s="2002"/>
      <c r="M172" s="2002"/>
      <c r="N172" s="1523"/>
      <c r="O172" s="1523"/>
      <c r="P172" s="1523"/>
      <c r="Q172" s="1523"/>
      <c r="R172" s="2002"/>
      <c r="S172" s="1523"/>
      <c r="T172" s="1523"/>
      <c r="U172" s="905"/>
      <c r="V172" s="1523"/>
      <c r="W172" s="1523"/>
      <c r="X172" s="1523"/>
      <c r="Y172" s="1523"/>
      <c r="Z172" s="1523"/>
      <c r="AA172" s="1998"/>
      <c r="AB172" s="927"/>
      <c r="AC172" s="927"/>
      <c r="AD172" s="927"/>
      <c r="AE172" s="927"/>
    </row>
    <row s="19269" customFormat="1" customHeight="1" ht="11.25">
      <c r="A173" s="1349"/>
      <c r="B173" s="2002"/>
      <c r="C173" s="2002"/>
      <c r="D173" s="712"/>
      <c r="K173" s="1523"/>
      <c r="L173" s="2002"/>
      <c r="M173" s="2002"/>
      <c r="N173" s="1523"/>
      <c r="O173" s="1523"/>
      <c r="P173" s="1523"/>
      <c r="Q173" s="1523"/>
      <c r="R173" s="2002"/>
      <c r="S173" s="1523"/>
      <c r="T173" s="1523"/>
      <c r="U173" s="905"/>
      <c r="V173" s="1523"/>
      <c r="W173" s="1523"/>
      <c r="X173" s="1523"/>
      <c r="Y173" s="1523"/>
      <c r="Z173" s="1523"/>
      <c r="AA173" s="1998"/>
      <c r="AB173" s="927"/>
      <c r="AC173" s="927"/>
      <c r="AD173" s="927"/>
      <c r="AE173" s="927"/>
    </row>
    <row s="19269" customFormat="1" customHeight="1" ht="11.25">
      <c r="A174" s="1349"/>
      <c r="B174" s="2002"/>
      <c r="C174" s="2002"/>
      <c r="D174" s="712"/>
      <c r="K174" s="1523"/>
      <c r="L174" s="2002"/>
      <c r="M174" s="2002"/>
      <c r="N174" s="1523"/>
      <c r="O174" s="1523"/>
      <c r="P174" s="1523"/>
      <c r="Q174" s="1523"/>
      <c r="R174" s="2002"/>
      <c r="S174" s="1523"/>
      <c r="T174" s="1523"/>
      <c r="U174" s="905"/>
      <c r="V174" s="1523"/>
      <c r="W174" s="1523"/>
      <c r="X174" s="1523"/>
      <c r="Y174" s="1523"/>
      <c r="Z174" s="1523"/>
      <c r="AA174" s="1998"/>
      <c r="AB174" s="927"/>
      <c r="AC174" s="927"/>
      <c r="AD174" s="927"/>
      <c r="AE174" s="927"/>
    </row>
    <row s="19269" customFormat="1" customHeight="1" ht="11.25">
      <c r="A175" s="1349"/>
      <c r="B175" s="2002"/>
      <c r="C175" s="2002"/>
      <c r="D175" s="712"/>
      <c r="K175" s="1523"/>
      <c r="L175" s="2002"/>
      <c r="M175" s="2002"/>
      <c r="N175" s="1523"/>
      <c r="O175" s="1523"/>
      <c r="P175" s="1523"/>
      <c r="Q175" s="1523"/>
      <c r="R175" s="2002"/>
      <c r="S175" s="1523"/>
      <c r="T175" s="1523"/>
      <c r="U175" s="905"/>
      <c r="V175" s="1523"/>
      <c r="W175" s="1523"/>
      <c r="X175" s="1523"/>
      <c r="Y175" s="1523"/>
      <c r="Z175" s="1523"/>
      <c r="AA175" s="1998"/>
      <c r="AB175" s="927"/>
      <c r="AC175" s="927"/>
      <c r="AD175" s="927"/>
      <c r="AE175" s="927"/>
    </row>
    <row s="19269" customFormat="1" customHeight="1" ht="11.25">
      <c r="A176" s="1349"/>
      <c r="B176" s="2002"/>
      <c r="C176" s="2002"/>
      <c r="D176" s="712"/>
      <c r="K176" s="1523"/>
      <c r="L176" s="2002"/>
      <c r="M176" s="2002"/>
      <c r="N176" s="1523"/>
      <c r="O176" s="1523"/>
      <c r="P176" s="1523"/>
      <c r="Q176" s="1523"/>
      <c r="R176" s="2002"/>
      <c r="S176" s="1523"/>
      <c r="T176" s="1523"/>
      <c r="U176" s="905"/>
      <c r="V176" s="1523"/>
      <c r="W176" s="1523"/>
      <c r="X176" s="1523"/>
      <c r="Y176" s="1523"/>
      <c r="Z176" s="1523"/>
      <c r="AA176" s="1998"/>
      <c r="AB176" s="927"/>
      <c r="AC176" s="927"/>
      <c r="AD176" s="927"/>
      <c r="AE176" s="927"/>
    </row>
    <row s="19269" customFormat="1" customHeight="1" ht="11.25">
      <c r="A177" s="1349"/>
      <c r="B177" s="2002"/>
      <c r="C177" s="2002"/>
      <c r="D177" s="712"/>
      <c r="K177" s="1523"/>
      <c r="L177" s="2002"/>
      <c r="M177" s="2002"/>
      <c r="N177" s="1523"/>
      <c r="O177" s="1523"/>
      <c r="P177" s="1523"/>
      <c r="Q177" s="1523"/>
      <c r="R177" s="2002"/>
      <c r="S177" s="1523"/>
      <c r="T177" s="1523"/>
      <c r="U177" s="905"/>
      <c r="V177" s="1523"/>
      <c r="W177" s="1523"/>
      <c r="X177" s="1523"/>
      <c r="Y177" s="1523"/>
      <c r="Z177" s="1523"/>
      <c r="AA177" s="1998"/>
      <c r="AB177" s="927"/>
      <c r="AC177" s="927"/>
      <c r="AD177" s="927"/>
      <c r="AE177" s="927"/>
    </row>
    <row s="19269" customFormat="1" customHeight="1" ht="11.25">
      <c r="A178" s="1349"/>
      <c r="B178" s="2002"/>
      <c r="C178" s="2002"/>
      <c r="D178" s="712"/>
      <c r="K178" s="1523"/>
      <c r="L178" s="2002"/>
      <c r="M178" s="2002"/>
      <c r="N178" s="1523"/>
      <c r="O178" s="1523"/>
      <c r="P178" s="1523"/>
      <c r="Q178" s="1523"/>
      <c r="R178" s="2002"/>
      <c r="S178" s="1523"/>
      <c r="T178" s="1523"/>
      <c r="U178" s="905"/>
      <c r="V178" s="1523"/>
      <c r="W178" s="1523"/>
      <c r="X178" s="1523"/>
      <c r="Y178" s="1523"/>
      <c r="Z178" s="1523"/>
      <c r="AA178" s="1998"/>
      <c r="AB178" s="927"/>
      <c r="AC178" s="927"/>
      <c r="AD178" s="927"/>
      <c r="AE178" s="927"/>
    </row>
    <row s="19269" customFormat="1" customHeight="1" ht="11.25">
      <c r="A179" s="1349"/>
      <c r="B179" s="2002"/>
      <c r="C179" s="2002"/>
      <c r="D179" s="712"/>
      <c r="K179" s="1523"/>
      <c r="L179" s="2002"/>
      <c r="M179" s="2002"/>
      <c r="N179" s="1523"/>
      <c r="O179" s="1523"/>
      <c r="P179" s="1523"/>
      <c r="Q179" s="1523"/>
      <c r="R179" s="2002"/>
      <c r="S179" s="1523"/>
      <c r="T179" s="1523"/>
      <c r="U179" s="905"/>
      <c r="V179" s="1523"/>
      <c r="W179" s="1523"/>
      <c r="X179" s="1523"/>
      <c r="Y179" s="1523"/>
      <c r="Z179" s="1523"/>
      <c r="AA179" s="1998"/>
      <c r="AB179" s="927"/>
      <c r="AC179" s="927"/>
      <c r="AD179" s="927"/>
      <c r="AE179" s="927"/>
    </row>
    <row s="19269" customFormat="1" customHeight="1" ht="11.25">
      <c r="A180" s="1349"/>
      <c r="B180" s="2002"/>
      <c r="C180" s="2002"/>
      <c r="D180" s="712"/>
      <c r="K180" s="1523"/>
      <c r="L180" s="2002"/>
      <c r="M180" s="2002"/>
      <c r="N180" s="1523"/>
      <c r="O180" s="1523"/>
      <c r="P180" s="1523"/>
      <c r="Q180" s="1523"/>
      <c r="R180" s="2002"/>
      <c r="S180" s="1523"/>
      <c r="T180" s="1523"/>
      <c r="U180" s="905"/>
      <c r="V180" s="1523"/>
      <c r="W180" s="1523"/>
      <c r="X180" s="1523"/>
      <c r="Y180" s="1523"/>
      <c r="Z180" s="1523"/>
      <c r="AA180" s="1998"/>
      <c r="AB180" s="927"/>
      <c r="AC180" s="927"/>
      <c r="AD180" s="927"/>
      <c r="AE180" s="927"/>
    </row>
    <row s="19269" customFormat="1" customHeight="1" ht="11.25">
      <c r="A181" s="1349"/>
      <c r="B181" s="2002"/>
      <c r="C181" s="2002"/>
      <c r="D181" s="712"/>
      <c r="K181" s="1523"/>
      <c r="L181" s="2002"/>
      <c r="M181" s="2002"/>
      <c r="N181" s="1523"/>
      <c r="O181" s="1523"/>
      <c r="P181" s="1523"/>
      <c r="Q181" s="1523"/>
      <c r="R181" s="2002"/>
      <c r="S181" s="1523"/>
      <c r="T181" s="1523"/>
      <c r="U181" s="905"/>
      <c r="V181" s="1523"/>
      <c r="W181" s="1523"/>
      <c r="X181" s="1523"/>
      <c r="Y181" s="1523"/>
      <c r="Z181" s="1523"/>
      <c r="AA181" s="1998"/>
      <c r="AB181" s="927"/>
      <c r="AC181" s="927"/>
      <c r="AD181" s="927"/>
      <c r="AE181" s="927"/>
    </row>
    <row s="19269" customFormat="1" customHeight="1" ht="11.25">
      <c r="A182" s="1349"/>
      <c r="B182" s="2002"/>
      <c r="C182" s="2002"/>
      <c r="D182" s="712"/>
      <c r="K182" s="1523"/>
      <c r="L182" s="2002"/>
      <c r="M182" s="2002"/>
      <c r="N182" s="1523"/>
      <c r="O182" s="1523"/>
      <c r="P182" s="1523"/>
      <c r="Q182" s="1523"/>
      <c r="R182" s="2002"/>
      <c r="S182" s="1523"/>
      <c r="T182" s="1523"/>
      <c r="U182" s="905"/>
      <c r="V182" s="1523"/>
      <c r="W182" s="1523"/>
      <c r="X182" s="1523"/>
      <c r="Y182" s="1523"/>
      <c r="Z182" s="1523"/>
      <c r="AA182" s="1998"/>
      <c r="AB182" s="927"/>
      <c r="AC182" s="927"/>
      <c r="AD182" s="927"/>
      <c r="AE182" s="927"/>
    </row>
    <row s="19269" customFormat="1" customHeight="1" ht="11.25">
      <c r="A183" s="1349"/>
      <c r="B183" s="2002"/>
      <c r="C183" s="2002"/>
      <c r="D183" s="712"/>
      <c r="K183" s="1523"/>
      <c r="L183" s="2002"/>
      <c r="M183" s="2002"/>
      <c r="N183" s="1523"/>
      <c r="O183" s="1523"/>
      <c r="P183" s="1523"/>
      <c r="Q183" s="1523"/>
      <c r="R183" s="2002"/>
      <c r="S183" s="1523"/>
      <c r="T183" s="1523"/>
      <c r="U183" s="905"/>
      <c r="V183" s="1523"/>
      <c r="W183" s="1523"/>
      <c r="X183" s="1523"/>
      <c r="Y183" s="1523"/>
      <c r="Z183" s="1523"/>
      <c r="AA183" s="1998"/>
      <c r="AB183" s="927"/>
      <c r="AC183" s="927"/>
      <c r="AD183" s="927"/>
      <c r="AE183" s="927"/>
    </row>
    <row s="19269" customFormat="1" customHeight="1" ht="11.25">
      <c r="A184" s="1349"/>
      <c r="B184" s="2002"/>
      <c r="C184" s="2002"/>
      <c r="D184" s="712"/>
      <c r="K184" s="1523"/>
      <c r="L184" s="2002"/>
      <c r="M184" s="2002"/>
      <c r="N184" s="1523"/>
      <c r="O184" s="1523"/>
      <c r="P184" s="1523"/>
      <c r="Q184" s="1523"/>
      <c r="R184" s="2002"/>
      <c r="S184" s="1523"/>
      <c r="T184" s="1523"/>
      <c r="U184" s="905"/>
      <c r="V184" s="1523"/>
      <c r="W184" s="1523"/>
      <c r="X184" s="1523"/>
      <c r="Y184" s="1523"/>
      <c r="Z184" s="1523"/>
      <c r="AA184" s="1998"/>
      <c r="AB184" s="927"/>
      <c r="AC184" s="927"/>
      <c r="AD184" s="927"/>
      <c r="AE184" s="927"/>
    </row>
    <row s="19269" customFormat="1" customHeight="1" ht="11.25">
      <c r="A185" s="1349"/>
      <c r="B185" s="2002"/>
      <c r="C185" s="2002"/>
      <c r="D185" s="712"/>
      <c r="K185" s="1523"/>
      <c r="L185" s="2002"/>
      <c r="M185" s="2002"/>
      <c r="N185" s="1523"/>
      <c r="O185" s="1523"/>
      <c r="P185" s="1523"/>
      <c r="Q185" s="1523"/>
      <c r="R185" s="2002"/>
      <c r="S185" s="1523"/>
      <c r="T185" s="1523"/>
      <c r="U185" s="905"/>
      <c r="V185" s="1523"/>
      <c r="W185" s="1523"/>
      <c r="X185" s="1523"/>
      <c r="Y185" s="1523"/>
      <c r="Z185" s="1523"/>
      <c r="AA185" s="1998"/>
      <c r="AB185" s="927"/>
      <c r="AC185" s="927"/>
      <c r="AD185" s="927"/>
      <c r="AE185" s="927"/>
    </row>
    <row s="19269" customFormat="1" customHeight="1" ht="11.25">
      <c r="A186" s="1349"/>
      <c r="B186" s="2002"/>
      <c r="C186" s="2002"/>
      <c r="D186" s="712"/>
      <c r="K186" s="1523"/>
      <c r="L186" s="2002"/>
      <c r="M186" s="2002"/>
      <c r="N186" s="1523"/>
      <c r="O186" s="1523"/>
      <c r="P186" s="1523"/>
      <c r="Q186" s="1523"/>
      <c r="R186" s="2002"/>
      <c r="S186" s="1523"/>
      <c r="T186" s="1523"/>
      <c r="U186" s="905"/>
      <c r="V186" s="1523"/>
      <c r="W186" s="1523"/>
      <c r="X186" s="1523"/>
      <c r="Y186" s="1523"/>
      <c r="Z186" s="1523"/>
      <c r="AA186" s="1998"/>
      <c r="AB186" s="927"/>
      <c r="AC186" s="927"/>
      <c r="AD186" s="927"/>
      <c r="AE186" s="927"/>
    </row>
    <row s="19269" customFormat="1" customHeight="1" ht="11.25">
      <c r="A187" s="1349"/>
      <c r="B187" s="2002"/>
      <c r="C187" s="2002"/>
      <c r="D187" s="712"/>
      <c r="K187" s="1523"/>
      <c r="L187" s="2002"/>
      <c r="M187" s="2002"/>
      <c r="N187" s="1523"/>
      <c r="O187" s="1523"/>
      <c r="P187" s="1523"/>
      <c r="Q187" s="1523"/>
      <c r="R187" s="2002"/>
      <c r="S187" s="1523"/>
      <c r="T187" s="1523"/>
      <c r="U187" s="905"/>
      <c r="V187" s="1523"/>
      <c r="W187" s="1523"/>
      <c r="X187" s="1523"/>
      <c r="Y187" s="1523"/>
      <c r="Z187" s="1523"/>
      <c r="AA187" s="1998"/>
      <c r="AB187" s="927"/>
      <c r="AC187" s="927"/>
      <c r="AD187" s="927"/>
      <c r="AE187" s="927"/>
    </row>
    <row s="19269" customFormat="1" customHeight="1" ht="11.25">
      <c r="A188" s="1349"/>
      <c r="B188" s="2002"/>
      <c r="C188" s="2002"/>
      <c r="D188" s="712"/>
      <c r="K188" s="1523"/>
      <c r="L188" s="2002"/>
      <c r="M188" s="2002"/>
      <c r="N188" s="1523"/>
      <c r="O188" s="1523"/>
      <c r="P188" s="1523"/>
      <c r="Q188" s="1523"/>
      <c r="R188" s="2002"/>
      <c r="S188" s="1523"/>
      <c r="T188" s="1523"/>
      <c r="U188" s="905"/>
      <c r="V188" s="1523"/>
      <c r="W188" s="1523"/>
      <c r="X188" s="1523"/>
      <c r="Y188" s="1523"/>
      <c r="Z188" s="1523"/>
      <c r="AA188" s="1998"/>
      <c r="AB188" s="927"/>
      <c r="AC188" s="927"/>
      <c r="AD188" s="927"/>
      <c r="AE188" s="927"/>
    </row>
    <row s="19269" customFormat="1" customHeight="1" ht="11.25">
      <c r="A189" s="1349"/>
      <c r="B189" s="2002"/>
      <c r="C189" s="2002"/>
      <c r="D189" s="712"/>
      <c r="K189" s="1523"/>
      <c r="L189" s="2002"/>
      <c r="M189" s="2002"/>
      <c r="N189" s="1523"/>
      <c r="O189" s="1523"/>
      <c r="P189" s="1523"/>
      <c r="Q189" s="1523"/>
      <c r="R189" s="2002"/>
      <c r="S189" s="1523"/>
      <c r="T189" s="1523"/>
      <c r="U189" s="905"/>
      <c r="V189" s="1523"/>
      <c r="W189" s="1523"/>
      <c r="X189" s="1523"/>
      <c r="Y189" s="1523"/>
      <c r="Z189" s="1523"/>
      <c r="AA189" s="1998"/>
      <c r="AB189" s="927"/>
      <c r="AC189" s="927"/>
      <c r="AD189" s="927"/>
      <c r="AE189" s="927"/>
    </row>
    <row s="19269" customFormat="1" customHeight="1" ht="11.25">
      <c r="A190" s="1349"/>
      <c r="B190" s="2002"/>
      <c r="C190" s="2002"/>
      <c r="D190" s="712"/>
      <c r="K190" s="1523"/>
      <c r="L190" s="2002"/>
      <c r="M190" s="2002"/>
      <c r="N190" s="1523"/>
      <c r="O190" s="1523"/>
      <c r="P190" s="1523"/>
      <c r="Q190" s="1523"/>
      <c r="R190" s="2002"/>
      <c r="S190" s="1523"/>
      <c r="T190" s="1523"/>
      <c r="U190" s="905"/>
      <c r="V190" s="1523"/>
      <c r="W190" s="1523"/>
      <c r="X190" s="1523"/>
      <c r="Y190" s="1523"/>
      <c r="Z190" s="1523"/>
      <c r="AA190" s="1998"/>
      <c r="AB190" s="927"/>
      <c r="AC190" s="927"/>
      <c r="AD190" s="927"/>
      <c r="AE190" s="927"/>
    </row>
    <row s="19269" customFormat="1" customHeight="1" ht="11.25">
      <c r="A191" s="1349"/>
      <c r="B191" s="2002"/>
      <c r="C191" s="2002"/>
      <c r="D191" s="712"/>
      <c r="K191" s="1523"/>
      <c r="L191" s="2002"/>
      <c r="M191" s="2002"/>
      <c r="N191" s="1523"/>
      <c r="O191" s="1523"/>
      <c r="P191" s="1523"/>
      <c r="Q191" s="1523"/>
      <c r="R191" s="2002"/>
      <c r="S191" s="1523"/>
      <c r="T191" s="1523"/>
      <c r="U191" s="905"/>
      <c r="V191" s="1523"/>
      <c r="W191" s="1523"/>
      <c r="X191" s="1523"/>
      <c r="Y191" s="1523"/>
      <c r="Z191" s="1523"/>
      <c r="AA191" s="1998"/>
      <c r="AB191" s="927"/>
      <c r="AC191" s="927"/>
      <c r="AD191" s="927"/>
      <c r="AE191" s="927"/>
    </row>
    <row s="19269" customFormat="1" customHeight="1" ht="11.25">
      <c r="A192" s="1349"/>
      <c r="B192" s="2002"/>
      <c r="C192" s="2002"/>
      <c r="D192" s="712"/>
      <c r="K192" s="1523"/>
      <c r="L192" s="2002"/>
      <c r="M192" s="2002"/>
      <c r="N192" s="1523"/>
      <c r="O192" s="1523"/>
      <c r="P192" s="1523"/>
      <c r="Q192" s="1523"/>
      <c r="R192" s="2002"/>
      <c r="S192" s="1523"/>
      <c r="T192" s="1523"/>
      <c r="U192" s="905"/>
      <c r="V192" s="1523"/>
      <c r="W192" s="1523"/>
      <c r="X192" s="1523"/>
      <c r="Y192" s="1523"/>
      <c r="Z192" s="1523"/>
      <c r="AA192" s="1998"/>
      <c r="AB192" s="927"/>
      <c r="AC192" s="927"/>
      <c r="AD192" s="927"/>
      <c r="AE192" s="927"/>
    </row>
    <row s="19269" customFormat="1" customHeight="1" ht="11.25">
      <c r="A193" s="1349"/>
      <c r="B193" s="2002"/>
      <c r="C193" s="2002"/>
      <c r="D193" s="712"/>
      <c r="K193" s="1523"/>
      <c r="L193" s="2002"/>
      <c r="M193" s="2002"/>
      <c r="N193" s="1523"/>
      <c r="O193" s="1523"/>
      <c r="P193" s="1523"/>
      <c r="Q193" s="1523"/>
      <c r="R193" s="2002"/>
      <c r="S193" s="1523"/>
      <c r="T193" s="1523"/>
      <c r="U193" s="905"/>
      <c r="V193" s="1523"/>
      <c r="W193" s="1523"/>
      <c r="X193" s="1523"/>
      <c r="Y193" s="1523"/>
      <c r="Z193" s="1523"/>
      <c r="AA193" s="1998"/>
      <c r="AB193" s="927"/>
      <c r="AC193" s="927"/>
      <c r="AD193" s="927"/>
      <c r="AE193" s="927"/>
    </row>
    <row s="19269" customFormat="1" customHeight="1" ht="11.25">
      <c r="A194" s="1349"/>
      <c r="B194" s="2002"/>
      <c r="C194" s="2002"/>
      <c r="D194" s="712"/>
      <c r="K194" s="1523"/>
      <c r="L194" s="2002"/>
      <c r="M194" s="2002"/>
      <c r="N194" s="1523"/>
      <c r="O194" s="1523"/>
      <c r="P194" s="1523"/>
      <c r="Q194" s="1523"/>
      <c r="R194" s="2002"/>
      <c r="S194" s="1523"/>
      <c r="T194" s="1523"/>
      <c r="U194" s="905"/>
      <c r="V194" s="1523"/>
      <c r="W194" s="1523"/>
      <c r="X194" s="1523"/>
      <c r="Y194" s="1523"/>
      <c r="Z194" s="1523"/>
      <c r="AA194" s="1998"/>
      <c r="AB194" s="927"/>
      <c r="AC194" s="927"/>
      <c r="AD194" s="927"/>
      <c r="AE194" s="927"/>
    </row>
    <row s="19269" customFormat="1" customHeight="1" ht="11.25">
      <c r="A195" s="1349"/>
      <c r="B195" s="2002"/>
      <c r="C195" s="2002"/>
      <c r="D195" s="712"/>
      <c r="K195" s="1523"/>
      <c r="L195" s="2002"/>
      <c r="M195" s="2002"/>
      <c r="N195" s="1523"/>
      <c r="O195" s="1523"/>
      <c r="P195" s="1523"/>
      <c r="Q195" s="1523"/>
      <c r="R195" s="2002"/>
      <c r="S195" s="1523"/>
      <c r="T195" s="1523"/>
      <c r="U195" s="905"/>
      <c r="V195" s="1523"/>
      <c r="W195" s="1523"/>
      <c r="X195" s="1523"/>
      <c r="Y195" s="1523"/>
      <c r="Z195" s="1523"/>
      <c r="AA195" s="1998"/>
      <c r="AB195" s="927"/>
      <c r="AC195" s="927"/>
      <c r="AD195" s="927"/>
      <c r="AE195" s="927"/>
    </row>
    <row s="19269" customFormat="1" customHeight="1" ht="11.25">
      <c r="A196" s="1349"/>
      <c r="B196" s="2002"/>
      <c r="C196" s="2002"/>
      <c r="D196" s="712"/>
      <c r="K196" s="1523"/>
      <c r="L196" s="2002"/>
      <c r="M196" s="2002"/>
      <c r="N196" s="1523"/>
      <c r="O196" s="1523"/>
      <c r="P196" s="1523"/>
      <c r="Q196" s="1523"/>
      <c r="R196" s="2002"/>
      <c r="S196" s="1523"/>
      <c r="T196" s="1523"/>
      <c r="U196" s="905"/>
      <c r="V196" s="1523"/>
      <c r="W196" s="1523"/>
      <c r="X196" s="1523"/>
      <c r="Y196" s="1523"/>
      <c r="Z196" s="1523"/>
      <c r="AA196" s="1998"/>
      <c r="AB196" s="927"/>
      <c r="AC196" s="927"/>
      <c r="AD196" s="927"/>
      <c r="AE196" s="927"/>
    </row>
    <row s="19269" customFormat="1" customHeight="1" ht="11.25">
      <c r="A197" s="1349"/>
      <c r="B197" s="2002"/>
      <c r="C197" s="2002"/>
      <c r="D197" s="712"/>
      <c r="K197" s="1523"/>
      <c r="L197" s="2002"/>
      <c r="M197" s="2002"/>
      <c r="N197" s="1523"/>
      <c r="O197" s="1523"/>
      <c r="P197" s="1523"/>
      <c r="Q197" s="1523"/>
      <c r="R197" s="2002"/>
      <c r="S197" s="1523"/>
      <c r="T197" s="1523"/>
      <c r="U197" s="905"/>
      <c r="V197" s="1523"/>
      <c r="W197" s="1523"/>
      <c r="X197" s="1523"/>
      <c r="Y197" s="1523"/>
      <c r="Z197" s="1523"/>
      <c r="AA197" s="1998"/>
      <c r="AB197" s="927"/>
      <c r="AC197" s="927"/>
      <c r="AD197" s="927"/>
      <c r="AE197" s="927"/>
    </row>
    <row s="19269" customFormat="1" customHeight="1" ht="11.25">
      <c r="A198" s="1349"/>
      <c r="B198" s="2002"/>
      <c r="C198" s="2002"/>
      <c r="D198" s="712"/>
      <c r="K198" s="1523"/>
      <c r="L198" s="2002"/>
      <c r="M198" s="2002"/>
      <c r="N198" s="1523"/>
      <c r="O198" s="1523"/>
      <c r="P198" s="1523"/>
      <c r="Q198" s="1523"/>
      <c r="R198" s="2002"/>
      <c r="S198" s="1523"/>
      <c r="T198" s="1523"/>
      <c r="U198" s="905"/>
      <c r="V198" s="1523"/>
      <c r="W198" s="1523"/>
      <c r="X198" s="1523"/>
      <c r="Y198" s="1523"/>
      <c r="Z198" s="1523"/>
      <c r="AA198" s="1998"/>
      <c r="AB198" s="927"/>
      <c r="AC198" s="927"/>
      <c r="AD198" s="927"/>
      <c r="AE198" s="927"/>
    </row>
    <row s="19269" customFormat="1" customHeight="1" ht="11.25">
      <c r="A199" s="1349"/>
      <c r="B199" s="2002"/>
      <c r="C199" s="2002"/>
      <c r="D199" s="712"/>
      <c r="K199" s="1523"/>
      <c r="L199" s="2002"/>
      <c r="M199" s="2002"/>
      <c r="N199" s="1523"/>
      <c r="O199" s="1523"/>
      <c r="P199" s="1523"/>
      <c r="Q199" s="1523"/>
      <c r="R199" s="2002"/>
      <c r="S199" s="1523"/>
      <c r="T199" s="1523"/>
      <c r="U199" s="905"/>
      <c r="V199" s="1523"/>
      <c r="W199" s="1523"/>
      <c r="X199" s="1523"/>
      <c r="Y199" s="1523"/>
      <c r="Z199" s="1523"/>
      <c r="AA199" s="1998"/>
      <c r="AB199" s="927"/>
      <c r="AC199" s="927"/>
      <c r="AD199" s="927"/>
      <c r="AE199" s="927"/>
    </row>
    <row s="19269" customFormat="1" customHeight="1" ht="11.25">
      <c r="A200" s="1349"/>
      <c r="B200" s="2002"/>
      <c r="C200" s="2002"/>
      <c r="D200" s="712"/>
      <c r="K200" s="1523"/>
      <c r="L200" s="2002"/>
      <c r="M200" s="2002"/>
      <c r="N200" s="1523"/>
      <c r="O200" s="1523"/>
      <c r="P200" s="1523"/>
      <c r="Q200" s="1523"/>
      <c r="R200" s="2002"/>
      <c r="S200" s="1523"/>
      <c r="T200" s="1523"/>
      <c r="U200" s="905"/>
      <c r="V200" s="1523"/>
      <c r="W200" s="1523"/>
      <c r="X200" s="1523"/>
      <c r="Y200" s="1523"/>
      <c r="Z200" s="1523"/>
      <c r="AA200" s="1998"/>
      <c r="AB200" s="927"/>
      <c r="AC200" s="927"/>
      <c r="AD200" s="927"/>
      <c r="AE200" s="927"/>
    </row>
    <row s="19269" customFormat="1" customHeight="1" ht="11.25">
      <c r="A201" s="1349"/>
      <c r="B201" s="2002"/>
      <c r="C201" s="2002"/>
      <c r="D201" s="712"/>
      <c r="K201" s="1523"/>
      <c r="L201" s="2002"/>
      <c r="M201" s="2002"/>
      <c r="N201" s="1523"/>
      <c r="O201" s="1523"/>
      <c r="P201" s="1523"/>
      <c r="Q201" s="1523"/>
      <c r="R201" s="2002"/>
      <c r="S201" s="1523"/>
      <c r="T201" s="1523"/>
      <c r="U201" s="905"/>
      <c r="V201" s="1523"/>
      <c r="W201" s="1523"/>
      <c r="X201" s="1523"/>
      <c r="Y201" s="1523"/>
      <c r="Z201" s="1523"/>
      <c r="AA201" s="1998"/>
      <c r="AB201" s="927"/>
      <c r="AC201" s="927"/>
      <c r="AD201" s="927"/>
      <c r="AE201" s="927"/>
    </row>
    <row s="19269" customFormat="1" customHeight="1" ht="11.25">
      <c r="A202" s="1349"/>
      <c r="B202" s="2002"/>
      <c r="C202" s="2002"/>
      <c r="D202" s="712"/>
      <c r="K202" s="1523"/>
      <c r="L202" s="2002"/>
      <c r="M202" s="2002"/>
      <c r="N202" s="1523"/>
      <c r="O202" s="1523"/>
      <c r="P202" s="1523"/>
      <c r="Q202" s="1523"/>
      <c r="R202" s="2002"/>
      <c r="S202" s="1523"/>
      <c r="T202" s="1523"/>
      <c r="U202" s="905"/>
      <c r="V202" s="1523"/>
      <c r="W202" s="1523"/>
      <c r="X202" s="1523"/>
      <c r="Y202" s="1523"/>
      <c r="Z202" s="1523"/>
      <c r="AA202" s="1998"/>
      <c r="AB202" s="927"/>
      <c r="AC202" s="927"/>
      <c r="AD202" s="927"/>
      <c r="AE202" s="927"/>
    </row>
    <row s="19269" customFormat="1" customHeight="1" ht="11.25">
      <c r="A203" s="1349"/>
      <c r="B203" s="2002"/>
      <c r="C203" s="2002"/>
      <c r="D203" s="712"/>
      <c r="K203" s="1523"/>
      <c r="L203" s="2002"/>
      <c r="M203" s="2002"/>
      <c r="N203" s="1523"/>
      <c r="O203" s="1523"/>
      <c r="P203" s="1523"/>
      <c r="Q203" s="1523"/>
      <c r="R203" s="2002"/>
      <c r="S203" s="1523"/>
      <c r="T203" s="1523"/>
      <c r="U203" s="905"/>
      <c r="V203" s="1523"/>
      <c r="W203" s="1523"/>
      <c r="X203" s="1523"/>
      <c r="Y203" s="1523"/>
      <c r="Z203" s="1523"/>
      <c r="AA203" s="1998"/>
      <c r="AB203" s="927"/>
      <c r="AC203" s="927"/>
      <c r="AD203" s="927"/>
      <c r="AE203" s="927"/>
    </row>
    <row s="19269" customFormat="1" customHeight="1" ht="11.25">
      <c r="A204" s="1349"/>
      <c r="B204" s="2002"/>
      <c r="C204" s="2002"/>
      <c r="D204" s="712"/>
      <c r="K204" s="1523"/>
      <c r="L204" s="2002"/>
      <c r="M204" s="2002"/>
      <c r="N204" s="1523"/>
      <c r="O204" s="1523"/>
      <c r="P204" s="1523"/>
      <c r="Q204" s="1523"/>
      <c r="R204" s="2002"/>
      <c r="S204" s="1523"/>
      <c r="T204" s="1523"/>
      <c r="U204" s="905"/>
      <c r="V204" s="1523"/>
      <c r="W204" s="1523"/>
      <c r="X204" s="1523"/>
      <c r="Y204" s="1523"/>
      <c r="Z204" s="1523"/>
      <c r="AA204" s="1998"/>
      <c r="AB204" s="927"/>
      <c r="AC204" s="927"/>
      <c r="AD204" s="927"/>
      <c r="AE204" s="927"/>
    </row>
    <row r="208" customHeight="1" ht="11.25">
      <c r="A208" s="1352"/>
      <c r="B208" s="1997"/>
      <c r="D208" s="1997"/>
      <c r="K208" s="1997"/>
      <c r="N208" s="1997"/>
      <c r="O208" s="1997"/>
      <c r="P208" s="1997"/>
      <c r="Q208" s="1997"/>
      <c r="S208" s="1997"/>
      <c r="T208" s="1997"/>
      <c r="U208" s="1997"/>
      <c r="V208" s="1997"/>
      <c r="W208" s="1997"/>
      <c r="X208" s="1997"/>
      <c r="Y208" s="1997"/>
      <c r="Z208" s="1997"/>
      <c r="AA208" s="1997"/>
      <c r="AB208" s="1997"/>
      <c r="AC208" s="1997"/>
      <c r="AD208" s="1997"/>
      <c r="AE208" s="1997"/>
    </row>
    <row customHeight="1" ht="11.25">
      <c r="A209" s="1352"/>
      <c r="B209" s="1997"/>
      <c r="D209" s="1997"/>
      <c r="K209" s="1997"/>
      <c r="N209" s="1997"/>
      <c r="O209" s="1997"/>
      <c r="P209" s="1997"/>
      <c r="Q209" s="1997"/>
      <c r="S209" s="1997"/>
      <c r="T209" s="1997"/>
      <c r="U209" s="1997"/>
      <c r="V209" s="1997"/>
      <c r="W209" s="1997"/>
      <c r="X209" s="1997"/>
      <c r="Y209" s="1997"/>
      <c r="Z209" s="1997"/>
      <c r="AA209" s="1997"/>
      <c r="AB209" s="1997"/>
      <c r="AC209" s="1997"/>
      <c r="AD209" s="1997"/>
      <c r="AE209" s="1997"/>
    </row>
    <row customHeight="1" ht="11.25">
      <c r="A210" s="1352"/>
      <c r="B210" s="1997"/>
      <c r="D210" s="1997"/>
      <c r="K210" s="1997"/>
      <c r="N210" s="1997"/>
      <c r="O210" s="1997"/>
      <c r="P210" s="1997"/>
      <c r="Q210" s="1997"/>
      <c r="S210" s="1997"/>
      <c r="T210" s="1997"/>
      <c r="U210" s="1997"/>
      <c r="V210" s="1997"/>
      <c r="W210" s="1997"/>
      <c r="X210" s="1997"/>
      <c r="Y210" s="1997"/>
      <c r="Z210" s="1997"/>
      <c r="AA210" s="1997"/>
      <c r="AB210" s="1997"/>
      <c r="AC210" s="1997"/>
      <c r="AD210" s="1997"/>
      <c r="AE210" s="1997"/>
    </row>
    <row customHeight="1" ht="11.25">
      <c r="A211" s="1352"/>
      <c r="B211" s="1997"/>
      <c r="D211" s="1997"/>
      <c r="K211" s="1997"/>
      <c r="N211" s="1997"/>
      <c r="O211" s="1997"/>
      <c r="P211" s="1997"/>
      <c r="Q211" s="1997"/>
      <c r="S211" s="1997"/>
      <c r="T211" s="1997"/>
      <c r="U211" s="1997"/>
      <c r="V211" s="1997"/>
      <c r="W211" s="1997"/>
      <c r="X211" s="1997"/>
      <c r="Y211" s="1997"/>
      <c r="Z211" s="1997"/>
      <c r="AA211" s="1997"/>
      <c r="AB211" s="1997"/>
      <c r="AC211" s="1997"/>
      <c r="AD211" s="1997"/>
      <c r="AE211" s="1997"/>
    </row>
    <row customHeight="1" ht="11.25">
      <c r="A212" s="1352"/>
      <c r="B212" s="1997"/>
      <c r="D212" s="1997"/>
      <c r="K212" s="1997"/>
      <c r="N212" s="1997"/>
      <c r="O212" s="1997"/>
      <c r="P212" s="1997"/>
      <c r="Q212" s="1997"/>
      <c r="S212" s="1997"/>
      <c r="T212" s="1997"/>
      <c r="U212" s="1997"/>
      <c r="V212" s="1997"/>
      <c r="W212" s="1997"/>
      <c r="X212" s="1997"/>
      <c r="Y212" s="1997"/>
      <c r="Z212" s="1997"/>
      <c r="AA212" s="1997"/>
      <c r="AB212" s="1997"/>
      <c r="AC212" s="1997"/>
      <c r="AD212" s="1997"/>
      <c r="AE212" s="1997"/>
    </row>
    <row customHeight="1" ht="11.25">
      <c r="A213" s="1352"/>
      <c r="B213" s="1997"/>
      <c r="D213" s="1997"/>
      <c r="K213" s="1997"/>
      <c r="N213" s="1997"/>
      <c r="O213" s="1997"/>
      <c r="P213" s="1997"/>
      <c r="Q213" s="1997"/>
      <c r="S213" s="1997"/>
      <c r="T213" s="1997"/>
      <c r="U213" s="1997"/>
      <c r="V213" s="1997"/>
      <c r="W213" s="1997"/>
      <c r="X213" s="1997"/>
      <c r="Y213" s="1997"/>
      <c r="Z213" s="1997"/>
      <c r="AA213" s="1997"/>
      <c r="AB213" s="1997"/>
      <c r="AC213" s="1997"/>
      <c r="AD213" s="1997"/>
      <c r="AE213" s="1997"/>
    </row>
    <row customHeight="1" ht="11.25">
      <c r="A214" s="1352"/>
      <c r="B214" s="1997"/>
      <c r="D214" s="1997"/>
      <c r="K214" s="1997"/>
      <c r="N214" s="1997"/>
      <c r="O214" s="1997"/>
      <c r="P214" s="1997"/>
      <c r="Q214" s="1997"/>
      <c r="S214" s="1997"/>
      <c r="T214" s="1997"/>
      <c r="U214" s="1997"/>
      <c r="V214" s="1997"/>
      <c r="W214" s="1997"/>
      <c r="X214" s="1997"/>
      <c r="Y214" s="1997"/>
      <c r="Z214" s="1997"/>
      <c r="AA214" s="1997"/>
      <c r="AB214" s="1997"/>
      <c r="AC214" s="1997"/>
      <c r="AD214" s="1997"/>
      <c r="AE214" s="1997"/>
    </row>
    <row customHeight="1" ht="11.25">
      <c r="A215" s="1352"/>
      <c r="B215" s="1997"/>
      <c r="D215" s="1997"/>
      <c r="K215" s="1997"/>
      <c r="N215" s="1997"/>
      <c r="O215" s="1997"/>
      <c r="P215" s="1997"/>
      <c r="Q215" s="1997"/>
      <c r="S215" s="1997"/>
      <c r="T215" s="1997"/>
      <c r="U215" s="1997"/>
      <c r="V215" s="1997"/>
      <c r="W215" s="1997"/>
      <c r="X215" s="1997"/>
      <c r="Y215" s="1997"/>
      <c r="Z215" s="1997"/>
      <c r="AA215" s="1997"/>
      <c r="AB215" s="1997"/>
      <c r="AC215" s="1997"/>
      <c r="AD215" s="1997"/>
      <c r="AE215" s="1997"/>
    </row>
    <row customHeight="1" ht="11.25">
      <c r="A216" s="1352"/>
      <c r="B216" s="1997"/>
      <c r="D216" s="1997"/>
      <c r="K216" s="1997"/>
      <c r="N216" s="1997"/>
      <c r="O216" s="1997"/>
      <c r="P216" s="1997"/>
      <c r="Q216" s="1997"/>
      <c r="S216" s="1997"/>
      <c r="T216" s="1997"/>
      <c r="U216" s="1997"/>
      <c r="V216" s="1997"/>
      <c r="W216" s="1997"/>
      <c r="X216" s="1997"/>
      <c r="Y216" s="1997"/>
      <c r="Z216" s="1997"/>
      <c r="AA216" s="1997"/>
      <c r="AB216" s="1997"/>
      <c r="AC216" s="1997"/>
      <c r="AD216" s="1997"/>
      <c r="AE216" s="1997"/>
    </row>
    <row customHeight="1" ht="11.25">
      <c r="A217" s="1352"/>
      <c r="B217" s="1997"/>
      <c r="D217" s="1997"/>
      <c r="K217" s="1997"/>
      <c r="N217" s="1997"/>
      <c r="O217" s="1997"/>
      <c r="P217" s="1997"/>
      <c r="Q217" s="1997"/>
      <c r="S217" s="1997"/>
      <c r="T217" s="1997"/>
      <c r="U217" s="1997"/>
      <c r="V217" s="1997"/>
      <c r="W217" s="1997"/>
      <c r="X217" s="1997"/>
      <c r="Y217" s="1997"/>
      <c r="Z217" s="1997"/>
      <c r="AA217" s="1997"/>
      <c r="AB217" s="1997"/>
      <c r="AC217" s="1997"/>
      <c r="AD217" s="1997"/>
      <c r="AE217" s="1997"/>
    </row>
    <row customHeight="1" ht="11.25">
      <c r="A218" s="1352"/>
      <c r="B218" s="1997"/>
      <c r="D218" s="1997"/>
      <c r="K218" s="1997"/>
      <c r="N218" s="1997"/>
      <c r="O218" s="1997"/>
      <c r="P218" s="1997"/>
      <c r="Q218" s="1997"/>
      <c r="S218" s="1997"/>
      <c r="T218" s="1997"/>
      <c r="U218" s="1997"/>
      <c r="V218" s="1997"/>
      <c r="W218" s="1997"/>
      <c r="X218" s="1997"/>
      <c r="Y218" s="1997"/>
      <c r="Z218" s="1997"/>
      <c r="AA218" s="1997"/>
      <c r="AB218" s="1997"/>
      <c r="AC218" s="1997"/>
      <c r="AD218" s="1997"/>
      <c r="AE218" s="1997"/>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BA4E4E-0206-EE03-C3BD-8CFC1D2B8238}"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19751" width="10.7109375" hidden="1" customWidth="1"/>
    <col min="2" max="2" style="19146" width="16.8515625" hidden="1" customWidth="1"/>
    <col min="3" max="3" style="19272" width="5.57421875" hidden="1" customWidth="1"/>
    <col min="4" max="4" style="19752" width="3.7109375" customWidth="1"/>
    <col min="5" max="5" style="19274" width="7.7109375" customWidth="1"/>
    <col min="6" max="6" style="19274" width="54.57421875" customWidth="1"/>
    <col min="7" max="7" style="19274" width="10.421875" customWidth="1"/>
    <col min="8" max="8" style="19274" width="40.7109375" hidden="1" customWidth="1"/>
    <col min="9" max="9" style="19274" width="40.7109375" customWidth="1"/>
    <col min="10" max="10" style="19274" width="102.8515625" customWidth="1"/>
    <col min="11" max="11" style="19146" width="9.7109375" customWidth="1"/>
    <col min="12" max="12" style="19272" width="5.28125" customWidth="1"/>
    <col min="13" max="13" style="19272" width="3.7109375" customWidth="1"/>
    <col min="14" max="17" style="19146" width="3.7109375" customWidth="1"/>
    <col min="18" max="18" style="19272" width="10.57421875" customWidth="1"/>
    <col min="19" max="19" style="19146" width="34.7109375" customWidth="1"/>
    <col min="20" max="20" style="19146" width="9.421875" customWidth="1"/>
    <col min="21" max="21" style="19753" width="9.140625"/>
    <col min="22" max="26" style="19146" width="9.140625"/>
    <col min="27" max="31" style="19655" width="9.140625"/>
  </cols>
  <sheetData>
    <row s="19146" customFormat="1" customHeight="1" ht="11.25" hidden="1">
      <c r="A1" s="1349"/>
      <c r="C1" s="2002"/>
      <c r="D1" s="898"/>
      <c r="H1" s="1523">
        <v>4</v>
      </c>
      <c r="I1" s="1523">
        <v>4</v>
      </c>
      <c r="L1" s="2002"/>
      <c r="M1" s="2002"/>
      <c r="R1" s="2002"/>
    </row>
    <row s="19146" customFormat="1" customHeight="1" ht="22.5" hidden="1">
      <c r="A2" s="1349"/>
      <c r="C2" s="2002"/>
      <c r="D2" s="899"/>
      <c r="E2" s="2024"/>
      <c r="F2" s="901"/>
      <c r="G2" s="2023" t="s">
        <v>552</v>
      </c>
      <c r="H2" s="902"/>
      <c r="I2" s="902"/>
      <c r="J2" s="903" t="s">
        <v>555</v>
      </c>
      <c r="K2" s="904"/>
      <c r="L2" s="2002"/>
      <c r="M2" s="2002"/>
      <c r="R2" s="2002"/>
      <c r="U2" s="905"/>
      <c r="AA2" s="1998"/>
      <c r="AB2" s="1998"/>
      <c r="AC2" s="1998"/>
      <c r="AD2" s="1998"/>
      <c r="AE2" s="1998"/>
    </row>
    <row customHeight="1" ht="11.25" hidden="1"/>
    <row s="19655" customFormat="1" customHeight="1" ht="11.25" hidden="1">
      <c r="A4" s="1349"/>
      <c r="B4" s="1523"/>
      <c r="C4" s="2002"/>
      <c r="D4" s="723"/>
      <c r="J4" s="1998">
        <v>4</v>
      </c>
      <c r="K4" s="1523"/>
      <c r="L4" s="2002"/>
      <c r="M4" s="2002"/>
      <c r="N4" s="1523"/>
      <c r="O4" s="1523"/>
      <c r="P4" s="1523"/>
      <c r="Q4" s="1523"/>
      <c r="R4" s="2002"/>
      <c r="S4" s="1523"/>
      <c r="T4" s="1523"/>
      <c r="U4" s="905"/>
      <c r="V4" s="1523"/>
      <c r="W4" s="1523"/>
      <c r="X4" s="1523"/>
      <c r="Y4" s="1523"/>
      <c r="Z4" s="1523"/>
    </row>
    <row r="6" customHeight="1" ht="32.25">
      <c r="E6" s="2560" t="s">
        <v>689</v>
      </c>
      <c r="F6" s="2560"/>
      <c r="G6" s="2560"/>
      <c r="H6" s="2560"/>
      <c r="I6" s="2560"/>
      <c r="J6" s="917"/>
    </row>
    <row customHeight="1" ht="24">
      <c r="E7" s="2561" t="str">
        <f>IF(org=0,"Не определено",org)</f>
        <v>Филиал "Шатурская ГРЭС" ПАО "Юнипро"</v>
      </c>
      <c r="F7" s="2561"/>
      <c r="G7" s="2561"/>
      <c r="H7" s="2561"/>
      <c r="I7" s="2561"/>
    </row>
    <row customHeight="1" ht="11.25">
      <c r="E8" s="1498"/>
      <c r="F8" s="1498"/>
      <c r="G8" s="1498"/>
      <c r="H8" s="1498"/>
      <c r="I8" s="1498"/>
    </row>
    <row s="19272" customFormat="1" customHeight="1" ht="0.75">
      <c r="A9" s="1530"/>
      <c r="D9" s="2008"/>
      <c r="H9" s="1250"/>
      <c r="I9" s="1250" t="s">
        <v>114</v>
      </c>
    </row>
    <row customHeight="1" ht="11.25">
      <c r="E10" s="1072"/>
      <c r="F10" s="2636" t="s">
        <v>102</v>
      </c>
      <c r="G10" s="2637"/>
      <c r="H10" s="2025" t="str">
        <f>IF(H9="","",INDEX(DIFFERENTIATION_UNMERGE_VD,MATCH(H9,DIFFERENTIATION_ID_DIFF,0)))</f>
        <v/>
      </c>
      <c r="I10" s="2025">
        <f>IF(I9="","",INDEX(DIFFERENTIATION_UNMERGE_VD,MATCH(I9,DIFFERENTIATION_ID_DIFF,0)))</f>
        <v>0</v>
      </c>
      <c r="J10" s="2392"/>
    </row>
    <row customHeight="1" ht="11.25">
      <c r="E11" s="1072"/>
      <c r="F11" s="2636" t="s">
        <v>564</v>
      </c>
      <c r="G11" s="2637"/>
      <c r="H11" s="2025" t="str">
        <f>IF(H9="","",INDEX(DIFFERENTIATION_UNMERGE_AREA,MATCH(H9,DIFFERENTIATION_ID_DIFF,0)))</f>
        <v/>
      </c>
      <c r="I11" s="2025" t="str">
        <f>IF(I9="","",INDEX(DIFFERENTIATION_UNMERGE_AREA,MATCH(I9,DIFFERENTIATION_ID_DIFF,0)))</f>
        <v/>
      </c>
      <c r="J11" s="2392"/>
    </row>
    <row customHeight="1" ht="11.25" hidden="1">
      <c r="E12" s="2028"/>
      <c r="F12" s="2651" t="s">
        <v>565</v>
      </c>
      <c r="G12" s="2652"/>
      <c r="H12" s="2029" t="str">
        <f>IF(H9="","",INDEX(DIFFERENTIATION_UNMERGE_SYSTEM,MATCH(H9,DIFFERENTIATION_ID_DIFF,0)))</f>
        <v/>
      </c>
      <c r="I12" s="2029" t="str">
        <f>IF(I9="","",INDEX(DIFFERENTIATION_UNMERGE_SYSTEM,MATCH(I9,DIFFERENTIATION_ID_DIFF,0)))</f>
        <v>без дифференциации</v>
      </c>
      <c r="J12" s="2392"/>
    </row>
    <row customHeight="1" ht="11.25">
      <c r="E13" s="2638" t="s">
        <v>300</v>
      </c>
      <c r="F13" s="2639"/>
      <c r="G13" s="2639"/>
      <c r="H13" s="2022"/>
      <c r="I13" s="2022"/>
      <c r="J13" s="2392"/>
    </row>
    <row customHeight="1" ht="22.5">
      <c r="E14" s="2023" t="s">
        <v>85</v>
      </c>
      <c r="F14" s="2026" t="s">
        <v>302</v>
      </c>
      <c r="G14" s="2026" t="s">
        <v>566</v>
      </c>
      <c r="H14" s="2026" t="s">
        <v>303</v>
      </c>
      <c r="I14" s="2026" t="s">
        <v>303</v>
      </c>
      <c r="J14" s="2392"/>
    </row>
    <row customHeight="1" ht="18.75">
      <c r="D15" s="2004"/>
      <c r="E15" s="1996" t="s">
        <v>106</v>
      </c>
      <c r="F15" s="1068" t="s">
        <v>690</v>
      </c>
      <c r="G15" s="2023" t="s">
        <v>552</v>
      </c>
      <c r="H15" s="918"/>
      <c r="I15" s="918"/>
      <c r="J15" s="650" t="s">
        <v>691</v>
      </c>
      <c r="K15" s="904" t="s">
        <v>619</v>
      </c>
    </row>
    <row customHeight="1" ht="22.5">
      <c r="D16" s="2004"/>
      <c r="E16" s="1996" t="s">
        <v>107</v>
      </c>
      <c r="F16" s="2031" t="s">
        <v>692</v>
      </c>
      <c r="G16" s="2023" t="s">
        <v>552</v>
      </c>
      <c r="H16" s="919">
        <f>SUM(H17,H20:H27)</f>
        <v>0</v>
      </c>
      <c r="I16" s="919">
        <f>SUM(I17,I20:I27)</f>
        <v>0</v>
      </c>
      <c r="J16" s="650" t="s">
        <v>693</v>
      </c>
      <c r="K16" s="904" t="s">
        <v>619</v>
      </c>
    </row>
    <row customHeight="1" ht="33.75">
      <c r="D17" s="2004"/>
      <c r="E17" s="2030" t="s">
        <v>622</v>
      </c>
      <c r="F17" s="2033" t="s">
        <v>694</v>
      </c>
      <c r="G17" s="2020" t="s">
        <v>552</v>
      </c>
      <c r="H17" s="918"/>
      <c r="I17" s="918"/>
      <c r="J17" s="650" t="s">
        <v>695</v>
      </c>
      <c r="K17" s="904"/>
    </row>
    <row customHeight="1" ht="18.75">
      <c r="D18" s="2004"/>
      <c r="E18" s="2030" t="s">
        <v>625</v>
      </c>
      <c r="F18" s="2034" t="s">
        <v>696</v>
      </c>
      <c r="G18" s="2020" t="s">
        <v>552</v>
      </c>
      <c r="H18" s="918"/>
      <c r="I18" s="918"/>
      <c r="J18" s="650"/>
      <c r="K18" s="904"/>
    </row>
    <row customHeight="1" ht="22.5">
      <c r="D19" s="2004"/>
      <c r="E19" s="2030" t="s">
        <v>628</v>
      </c>
      <c r="F19" s="2034" t="s">
        <v>697</v>
      </c>
      <c r="G19" s="2020" t="s">
        <v>552</v>
      </c>
      <c r="H19" s="918"/>
      <c r="I19" s="918"/>
      <c r="J19" s="650"/>
      <c r="K19" s="904"/>
    </row>
    <row customHeight="1" ht="33.75">
      <c r="D20" s="2004"/>
      <c r="E20" s="2030" t="s">
        <v>307</v>
      </c>
      <c r="F20" s="2033" t="s">
        <v>698</v>
      </c>
      <c r="G20" s="2020" t="s">
        <v>552</v>
      </c>
      <c r="H20" s="918"/>
      <c r="I20" s="918"/>
      <c r="J20" s="650"/>
      <c r="K20" s="904"/>
    </row>
    <row customHeight="1" ht="33.75">
      <c r="D21" s="2004"/>
      <c r="E21" s="2030" t="s">
        <v>310</v>
      </c>
      <c r="F21" s="2033" t="s">
        <v>699</v>
      </c>
      <c r="G21" s="2020" t="s">
        <v>552</v>
      </c>
      <c r="H21" s="918"/>
      <c r="I21" s="918"/>
      <c r="J21" s="650"/>
      <c r="K21" s="904"/>
    </row>
    <row customHeight="1" ht="56.25">
      <c r="D22" s="2004"/>
      <c r="E22" s="2030" t="s">
        <v>642</v>
      </c>
      <c r="F22" s="2033" t="s">
        <v>700</v>
      </c>
      <c r="G22" s="2020" t="s">
        <v>552</v>
      </c>
      <c r="H22" s="918"/>
      <c r="I22" s="918"/>
      <c r="J22" s="650"/>
      <c r="K22" s="904"/>
    </row>
    <row customHeight="1" ht="33.75">
      <c r="D23" s="2004"/>
      <c r="E23" s="2030" t="s">
        <v>649</v>
      </c>
      <c r="F23" s="2033" t="s">
        <v>701</v>
      </c>
      <c r="G23" s="2020" t="s">
        <v>552</v>
      </c>
      <c r="H23" s="918"/>
      <c r="I23" s="918"/>
      <c r="J23" s="650"/>
      <c r="K23" s="904"/>
    </row>
    <row customHeight="1" ht="33.75">
      <c r="D24" s="2004"/>
      <c r="E24" s="2030" t="s">
        <v>651</v>
      </c>
      <c r="F24" s="2033" t="s">
        <v>702</v>
      </c>
      <c r="G24" s="2020" t="s">
        <v>552</v>
      </c>
      <c r="H24" s="918"/>
      <c r="I24" s="918"/>
      <c r="J24" s="650"/>
      <c r="K24" s="904"/>
    </row>
    <row customHeight="1" ht="22.5">
      <c r="D25" s="2004"/>
      <c r="E25" s="2030" t="s">
        <v>653</v>
      </c>
      <c r="F25" s="2033" t="s">
        <v>703</v>
      </c>
      <c r="G25" s="2020" t="s">
        <v>552</v>
      </c>
      <c r="H25" s="918"/>
      <c r="I25" s="918"/>
      <c r="J25" s="650"/>
      <c r="K25" s="904"/>
    </row>
    <row customHeight="1" ht="67.5">
      <c r="D26" s="2004"/>
      <c r="E26" s="2030" t="s">
        <v>655</v>
      </c>
      <c r="F26" s="2033" t="s">
        <v>704</v>
      </c>
      <c r="G26" s="2020" t="s">
        <v>552</v>
      </c>
      <c r="H26" s="918"/>
      <c r="I26" s="918"/>
      <c r="J26" s="650"/>
      <c r="K26" s="904"/>
    </row>
    <row s="19146" customFormat="1" customHeight="1" ht="22.5">
      <c r="A27" s="1349"/>
      <c r="C27" s="2002"/>
      <c r="D27" s="2004"/>
      <c r="E27" s="1995" t="s">
        <v>659</v>
      </c>
      <c r="F27" s="1994" t="s">
        <v>705</v>
      </c>
      <c r="G27" s="2021" t="s">
        <v>552</v>
      </c>
      <c r="H27" s="940">
        <f>SUM(H28:H29)</f>
        <v>0</v>
      </c>
      <c r="I27" s="940">
        <f>SUM(I28:I29)</f>
        <v>0</v>
      </c>
      <c r="J27" s="650" t="s">
        <v>657</v>
      </c>
      <c r="K27" s="904"/>
      <c r="L27" s="2002"/>
      <c r="M27" s="2002"/>
      <c r="R27" s="2002"/>
      <c r="U27" s="905"/>
      <c r="AA27" s="1998"/>
      <c r="AB27" s="1998"/>
      <c r="AC27" s="1998"/>
      <c r="AD27" s="1998"/>
      <c r="AE27" s="1998"/>
    </row>
    <row s="19272" customFormat="1" customHeight="1" ht="0.75">
      <c r="A28" s="1530"/>
      <c r="D28" s="909"/>
      <c r="E28" s="1163" t="str">
        <f>E27&amp;".0"</f>
        <v>2.9.0</v>
      </c>
      <c r="F28" s="1353"/>
      <c r="G28" s="912"/>
      <c r="H28" s="1354"/>
      <c r="I28" s="1354"/>
      <c r="J28" s="1355"/>
    </row>
    <row s="19146" customFormat="1" customHeight="1" ht="18.75">
      <c r="A29" s="1349"/>
      <c r="C29" s="2002"/>
      <c r="D29" s="1999"/>
      <c r="E29" s="931"/>
      <c r="F29" s="2032" t="s">
        <v>577</v>
      </c>
      <c r="G29" s="933"/>
      <c r="H29" s="934"/>
      <c r="I29" s="934"/>
      <c r="J29" s="662" t="s">
        <v>658</v>
      </c>
      <c r="K29" s="904"/>
      <c r="L29" s="2002"/>
      <c r="M29" s="2002"/>
      <c r="R29" s="2002"/>
      <c r="U29" s="905"/>
      <c r="AA29" s="1998"/>
      <c r="AB29" s="1998"/>
      <c r="AC29" s="1998"/>
      <c r="AD29" s="1998"/>
      <c r="AE29" s="1998"/>
    </row>
    <row s="19146" customFormat="1" customHeight="1" ht="22.5">
      <c r="A30" s="1349"/>
      <c r="C30" s="2002"/>
      <c r="D30" s="2004"/>
      <c r="E30" s="2030" t="s">
        <v>87</v>
      </c>
      <c r="F30" s="2027" t="s">
        <v>706</v>
      </c>
      <c r="G30" s="2020" t="s">
        <v>552</v>
      </c>
      <c r="H30" s="918"/>
      <c r="I30" s="918"/>
      <c r="J30" s="650"/>
      <c r="K30" s="904"/>
      <c r="L30" s="2002"/>
      <c r="M30" s="2002"/>
      <c r="R30" s="2002"/>
      <c r="U30" s="905"/>
      <c r="AA30" s="1998"/>
      <c r="AB30" s="1998"/>
      <c r="AC30" s="1998"/>
      <c r="AD30" s="1998"/>
      <c r="AE30" s="1998"/>
    </row>
    <row s="19146" customFormat="1" customHeight="1" ht="33.75">
      <c r="A31" s="1349"/>
      <c r="C31" s="2002"/>
      <c r="D31" s="936"/>
      <c r="E31" s="2030" t="s">
        <v>88</v>
      </c>
      <c r="F31" s="2027" t="s">
        <v>707</v>
      </c>
      <c r="G31" s="2020" t="s">
        <v>552</v>
      </c>
      <c r="H31" s="918"/>
      <c r="I31" s="918"/>
      <c r="J31" s="650" t="s">
        <v>708</v>
      </c>
      <c r="K31" s="904"/>
      <c r="L31" s="2002"/>
      <c r="M31" s="2002"/>
      <c r="R31" s="2002"/>
      <c r="U31" s="905"/>
      <c r="AA31" s="1998"/>
      <c r="AB31" s="1998"/>
      <c r="AC31" s="1998"/>
      <c r="AD31" s="1998"/>
      <c r="AE31" s="1998"/>
    </row>
    <row s="19146" customFormat="1" customHeight="1" ht="22.5">
      <c r="A32" s="1349"/>
      <c r="C32" s="2002"/>
      <c r="D32" s="2004"/>
      <c r="E32" s="2030" t="s">
        <v>667</v>
      </c>
      <c r="F32" s="1051" t="s">
        <v>671</v>
      </c>
      <c r="G32" s="2020" t="s">
        <v>552</v>
      </c>
      <c r="H32" s="918"/>
      <c r="I32" s="918"/>
      <c r="J32" s="650" t="s">
        <v>709</v>
      </c>
      <c r="K32" s="904"/>
      <c r="L32" s="2002"/>
      <c r="M32" s="2002"/>
      <c r="R32" s="2002"/>
      <c r="U32" s="905"/>
      <c r="AA32" s="1998"/>
      <c r="AB32" s="1998"/>
      <c r="AC32" s="1998"/>
      <c r="AD32" s="1998"/>
      <c r="AE32" s="1998"/>
    </row>
    <row s="19146" customFormat="1" customHeight="1" ht="22.5">
      <c r="A33" s="1349"/>
      <c r="C33" s="2002"/>
      <c r="D33" s="2004"/>
      <c r="E33" s="2030" t="s">
        <v>710</v>
      </c>
      <c r="F33" s="1051" t="s">
        <v>711</v>
      </c>
      <c r="G33" s="2020" t="s">
        <v>552</v>
      </c>
      <c r="H33" s="918"/>
      <c r="I33" s="918"/>
      <c r="J33" s="650" t="s">
        <v>712</v>
      </c>
      <c r="K33" s="904"/>
      <c r="L33" s="2002"/>
      <c r="M33" s="2002"/>
      <c r="R33" s="2002"/>
      <c r="U33" s="905"/>
      <c r="AA33" s="1998"/>
      <c r="AB33" s="1998"/>
      <c r="AC33" s="1998"/>
      <c r="AD33" s="1998"/>
      <c r="AE33" s="1998"/>
    </row>
    <row s="19146" customFormat="1" customHeight="1" ht="22.5">
      <c r="A34" s="1349"/>
      <c r="C34" s="2002"/>
      <c r="D34" s="2004"/>
      <c r="E34" s="2030" t="s">
        <v>713</v>
      </c>
      <c r="F34" s="1051" t="s">
        <v>677</v>
      </c>
      <c r="G34" s="2020" t="s">
        <v>552</v>
      </c>
      <c r="H34" s="918"/>
      <c r="I34" s="918"/>
      <c r="J34" s="650" t="s">
        <v>714</v>
      </c>
      <c r="K34" s="904"/>
      <c r="L34" s="2002"/>
      <c r="M34" s="2002"/>
      <c r="R34" s="2002"/>
      <c r="U34" s="905"/>
      <c r="AA34" s="1998"/>
      <c r="AB34" s="1998"/>
      <c r="AC34" s="1998"/>
      <c r="AD34" s="1998"/>
      <c r="AE34" s="1998"/>
    </row>
    <row s="19146" customFormat="1" customHeight="1" ht="33.75">
      <c r="A35" s="1349"/>
      <c r="C35" s="2002" t="s">
        <v>588</v>
      </c>
      <c r="D35" s="2004"/>
      <c r="E35" s="2030" t="s">
        <v>108</v>
      </c>
      <c r="F35" s="2027" t="s">
        <v>679</v>
      </c>
      <c r="G35" s="2023" t="s">
        <v>306</v>
      </c>
      <c r="H35" s="762"/>
      <c r="I35" s="762"/>
      <c r="J35" s="650" t="s">
        <v>715</v>
      </c>
      <c r="K35" s="904"/>
      <c r="L35" s="2002"/>
      <c r="M35" s="2002"/>
      <c r="R35" s="2002"/>
      <c r="U35" s="905"/>
      <c r="AA35" s="1998"/>
      <c r="AB35" s="1998"/>
      <c r="AC35" s="1998"/>
      <c r="AD35" s="1998"/>
      <c r="AE35" s="1998"/>
    </row>
    <row s="19146" customFormat="1" customHeight="1" ht="22.5">
      <c r="A36" s="1349"/>
      <c r="C36" s="2002"/>
      <c r="D36" s="2004"/>
      <c r="E36" s="2030" t="s">
        <v>89</v>
      </c>
      <c r="F36" s="2027" t="s">
        <v>716</v>
      </c>
      <c r="G36" s="2020" t="s">
        <v>683</v>
      </c>
      <c r="H36" s="906"/>
      <c r="I36" s="906"/>
      <c r="J36" s="650" t="s">
        <v>684</v>
      </c>
      <c r="K36" s="904"/>
      <c r="L36" s="2002"/>
      <c r="M36" s="2002"/>
      <c r="R36" s="2002"/>
      <c r="U36" s="905"/>
      <c r="AA36" s="1998"/>
      <c r="AB36" s="1998"/>
      <c r="AC36" s="1998"/>
      <c r="AD36" s="1998"/>
      <c r="AE36" s="1998"/>
    </row>
    <row s="19146" customFormat="1" customHeight="1" ht="22.5">
      <c r="A37" s="1349"/>
      <c r="C37" s="2002"/>
      <c r="D37" s="2004"/>
      <c r="E37" s="2030" t="s">
        <v>90</v>
      </c>
      <c r="F37" s="2027" t="s">
        <v>717</v>
      </c>
      <c r="G37" s="2020" t="s">
        <v>686</v>
      </c>
      <c r="H37" s="906"/>
      <c r="I37" s="906"/>
      <c r="J37" s="650" t="s">
        <v>687</v>
      </c>
      <c r="K37" s="904"/>
      <c r="L37" s="2002"/>
      <c r="M37" s="2002"/>
      <c r="R37" s="2002"/>
      <c r="U37" s="905"/>
      <c r="AA37" s="1998"/>
      <c r="AB37" s="1998"/>
      <c r="AC37" s="1998"/>
      <c r="AD37" s="1998"/>
      <c r="AE37" s="1998"/>
    </row>
    <row customHeight="1" ht="11.25">
      <c r="D38" s="2004"/>
    </row>
    <row customHeight="1" ht="26.25">
      <c r="D39" s="2004"/>
      <c r="E39" s="1618" t="s">
        <v>718</v>
      </c>
      <c r="F39" s="2526" t="s">
        <v>719</v>
      </c>
      <c r="G39" s="2526"/>
      <c r="H39" s="2526"/>
      <c r="I39" s="2526"/>
      <c r="J39" s="2526"/>
    </row>
    <row s="19269" customFormat="1" customHeight="1" ht="37.5">
      <c r="A40" s="1349"/>
      <c r="B40" s="2002"/>
      <c r="C40" s="2002"/>
      <c r="D40" s="712"/>
      <c r="F40" s="2526" t="s">
        <v>720</v>
      </c>
      <c r="G40" s="2526"/>
      <c r="H40" s="2526"/>
      <c r="I40" s="2526"/>
      <c r="J40" s="2526"/>
      <c r="K40" s="1523"/>
      <c r="L40" s="2002"/>
      <c r="M40" s="2002"/>
      <c r="N40" s="1523"/>
      <c r="O40" s="1523"/>
      <c r="P40" s="1523"/>
      <c r="Q40" s="1523"/>
      <c r="R40" s="2002"/>
      <c r="S40" s="1523"/>
      <c r="T40" s="1523"/>
      <c r="U40" s="905"/>
      <c r="V40" s="1523"/>
      <c r="W40" s="1523"/>
      <c r="X40" s="1523"/>
      <c r="Y40" s="1523"/>
      <c r="Z40" s="1523"/>
      <c r="AA40" s="1998"/>
      <c r="AB40" s="927"/>
      <c r="AC40" s="927"/>
      <c r="AD40" s="927"/>
      <c r="AE40" s="927"/>
    </row>
    <row s="19269" customFormat="1" customHeight="1" ht="11.25">
      <c r="A41" s="1349"/>
      <c r="B41" s="2002"/>
      <c r="C41" s="2002"/>
      <c r="D41" s="712"/>
      <c r="K41" s="1523"/>
      <c r="L41" s="2002"/>
      <c r="M41" s="2002"/>
      <c r="N41" s="1523"/>
      <c r="O41" s="1523"/>
      <c r="P41" s="1523"/>
      <c r="Q41" s="1523"/>
      <c r="R41" s="2002"/>
      <c r="S41" s="1523"/>
      <c r="T41" s="1523"/>
      <c r="U41" s="905"/>
      <c r="V41" s="1523"/>
      <c r="W41" s="1523"/>
      <c r="X41" s="1523"/>
      <c r="Y41" s="1523"/>
      <c r="Z41" s="1523"/>
      <c r="AA41" s="1998"/>
      <c r="AB41" s="927"/>
      <c r="AC41" s="927"/>
      <c r="AD41" s="927"/>
      <c r="AE41" s="927"/>
    </row>
    <row s="19269" customFormat="1" customHeight="1" ht="11.25">
      <c r="A42" s="1349"/>
      <c r="B42" s="2002"/>
      <c r="C42" s="2002"/>
      <c r="D42" s="712"/>
      <c r="K42" s="1523"/>
      <c r="L42" s="2002"/>
      <c r="M42" s="2002"/>
      <c r="N42" s="1523"/>
      <c r="O42" s="1523"/>
      <c r="P42" s="1523"/>
      <c r="Q42" s="1523"/>
      <c r="R42" s="2002"/>
      <c r="S42" s="1523"/>
      <c r="T42" s="1523"/>
      <c r="U42" s="905"/>
      <c r="V42" s="1523"/>
      <c r="W42" s="1523"/>
      <c r="X42" s="1523"/>
      <c r="Y42" s="1523"/>
      <c r="Z42" s="1523"/>
      <c r="AA42" s="1998"/>
      <c r="AB42" s="927"/>
      <c r="AC42" s="927"/>
      <c r="AD42" s="927"/>
      <c r="AE42" s="927"/>
    </row>
    <row s="19269" customFormat="1" customHeight="1" ht="11.25">
      <c r="A43" s="1349"/>
      <c r="B43" s="2002"/>
      <c r="C43" s="2002"/>
      <c r="D43" s="712"/>
      <c r="H43" s="927"/>
      <c r="I43" s="927"/>
      <c r="K43" s="1523"/>
      <c r="L43" s="2002"/>
      <c r="M43" s="2002"/>
      <c r="N43" s="1523"/>
      <c r="O43" s="1523"/>
      <c r="P43" s="1523"/>
      <c r="Q43" s="1523"/>
      <c r="R43" s="2002"/>
      <c r="S43" s="1523"/>
      <c r="T43" s="1523"/>
      <c r="U43" s="905"/>
      <c r="V43" s="1523"/>
      <c r="W43" s="1523"/>
      <c r="X43" s="1523"/>
      <c r="Y43" s="1523"/>
      <c r="Z43" s="1523"/>
      <c r="AA43" s="1998"/>
      <c r="AB43" s="927"/>
      <c r="AC43" s="927"/>
      <c r="AD43" s="927"/>
      <c r="AE43" s="927"/>
    </row>
    <row s="19269" customFormat="1" customHeight="1" ht="11.25">
      <c r="A44" s="1349"/>
      <c r="B44" s="2002"/>
      <c r="C44" s="2002"/>
      <c r="D44" s="712"/>
      <c r="K44" s="1523"/>
      <c r="L44" s="2002"/>
      <c r="M44" s="2002"/>
      <c r="N44" s="1523"/>
      <c r="O44" s="1523"/>
      <c r="P44" s="1523"/>
      <c r="Q44" s="1523"/>
      <c r="R44" s="2002"/>
      <c r="S44" s="1523"/>
      <c r="T44" s="1523"/>
      <c r="U44" s="905"/>
      <c r="V44" s="1523"/>
      <c r="W44" s="1523"/>
      <c r="X44" s="1523"/>
      <c r="Y44" s="1523"/>
      <c r="Z44" s="1523"/>
      <c r="AA44" s="1998"/>
      <c r="AB44" s="927"/>
      <c r="AC44" s="927"/>
      <c r="AD44" s="927"/>
      <c r="AE44" s="927"/>
    </row>
    <row s="19269" customFormat="1" customHeight="1" ht="11.25">
      <c r="A45" s="1349"/>
      <c r="B45" s="2002"/>
      <c r="C45" s="2002"/>
      <c r="D45" s="712"/>
      <c r="K45" s="1523"/>
      <c r="L45" s="2002"/>
      <c r="M45" s="2002"/>
      <c r="N45" s="1523"/>
      <c r="O45" s="1523"/>
      <c r="P45" s="1523"/>
      <c r="Q45" s="1523"/>
      <c r="R45" s="2002"/>
      <c r="S45" s="1523"/>
      <c r="T45" s="1523"/>
      <c r="U45" s="905"/>
      <c r="V45" s="1523"/>
      <c r="W45" s="1523"/>
      <c r="X45" s="1523"/>
      <c r="Y45" s="1523"/>
      <c r="Z45" s="1523"/>
      <c r="AA45" s="1998"/>
      <c r="AB45" s="927"/>
      <c r="AC45" s="927"/>
      <c r="AD45" s="927"/>
      <c r="AE45" s="927"/>
    </row>
    <row s="19269" customFormat="1" customHeight="1" ht="11.25">
      <c r="A46" s="1349"/>
      <c r="B46" s="2002"/>
      <c r="C46" s="2002"/>
      <c r="D46" s="712"/>
      <c r="K46" s="1523"/>
      <c r="L46" s="2002"/>
      <c r="M46" s="2002"/>
      <c r="N46" s="1523"/>
      <c r="O46" s="1523"/>
      <c r="P46" s="1523"/>
      <c r="Q46" s="1523"/>
      <c r="R46" s="2002"/>
      <c r="S46" s="1523"/>
      <c r="T46" s="1523"/>
      <c r="U46" s="905"/>
      <c r="V46" s="1523"/>
      <c r="W46" s="1523"/>
      <c r="X46" s="1523"/>
      <c r="Y46" s="1523"/>
      <c r="Z46" s="1523"/>
      <c r="AA46" s="1998"/>
      <c r="AB46" s="927"/>
      <c r="AC46" s="927"/>
      <c r="AD46" s="927"/>
      <c r="AE46" s="927"/>
    </row>
    <row s="19269" customFormat="1" customHeight="1" ht="11.25">
      <c r="A47" s="1349"/>
      <c r="B47" s="2002"/>
      <c r="C47" s="2002"/>
      <c r="D47" s="712"/>
      <c r="K47" s="1523"/>
      <c r="L47" s="2002"/>
      <c r="M47" s="2002"/>
      <c r="N47" s="1523"/>
      <c r="O47" s="1523"/>
      <c r="P47" s="1523"/>
      <c r="Q47" s="1523"/>
      <c r="R47" s="2002"/>
      <c r="S47" s="1523"/>
      <c r="T47" s="1523"/>
      <c r="U47" s="905"/>
      <c r="V47" s="1523"/>
      <c r="W47" s="1523"/>
      <c r="X47" s="1523"/>
      <c r="Y47" s="1523"/>
      <c r="Z47" s="1523"/>
      <c r="AA47" s="1998"/>
      <c r="AB47" s="927"/>
      <c r="AC47" s="927"/>
      <c r="AD47" s="927"/>
      <c r="AE47" s="927"/>
    </row>
    <row s="19269" customFormat="1" customHeight="1" ht="11.25">
      <c r="A48" s="1349"/>
      <c r="B48" s="2002"/>
      <c r="C48" s="2002"/>
      <c r="D48" s="712"/>
      <c r="K48" s="1523"/>
      <c r="L48" s="2002"/>
      <c r="M48" s="2002"/>
      <c r="N48" s="1523"/>
      <c r="O48" s="1523"/>
      <c r="P48" s="1523"/>
      <c r="Q48" s="1523"/>
      <c r="R48" s="2002"/>
      <c r="S48" s="1523"/>
      <c r="T48" s="1523"/>
      <c r="U48" s="905"/>
      <c r="V48" s="1523"/>
      <c r="W48" s="1523"/>
      <c r="X48" s="1523"/>
      <c r="Y48" s="1523"/>
      <c r="Z48" s="1523"/>
      <c r="AA48" s="1998"/>
      <c r="AB48" s="927"/>
      <c r="AC48" s="927"/>
      <c r="AD48" s="927"/>
      <c r="AE48" s="927"/>
    </row>
    <row s="19269" customFormat="1" customHeight="1" ht="11.25">
      <c r="A49" s="1349"/>
      <c r="B49" s="2002"/>
      <c r="C49" s="2002"/>
      <c r="D49" s="712"/>
      <c r="K49" s="1523"/>
      <c r="L49" s="2002"/>
      <c r="M49" s="2002"/>
      <c r="N49" s="1523"/>
      <c r="O49" s="1523"/>
      <c r="P49" s="1523"/>
      <c r="Q49" s="1523"/>
      <c r="R49" s="2002"/>
      <c r="S49" s="1523"/>
      <c r="T49" s="1523"/>
      <c r="U49" s="905"/>
      <c r="V49" s="1523"/>
      <c r="W49" s="1523"/>
      <c r="X49" s="1523"/>
      <c r="Y49" s="1523"/>
      <c r="Z49" s="1523"/>
      <c r="AA49" s="1998"/>
      <c r="AB49" s="927"/>
      <c r="AC49" s="927"/>
      <c r="AD49" s="927"/>
      <c r="AE49" s="927"/>
    </row>
    <row s="19269" customFormat="1" customHeight="1" ht="11.25">
      <c r="A50" s="1349"/>
      <c r="B50" s="2002"/>
      <c r="C50" s="2002"/>
      <c r="D50" s="712"/>
      <c r="K50" s="1523"/>
      <c r="L50" s="2002"/>
      <c r="M50" s="2002"/>
      <c r="N50" s="1523"/>
      <c r="O50" s="1523"/>
      <c r="P50" s="1523"/>
      <c r="Q50" s="1523"/>
      <c r="R50" s="2002"/>
      <c r="S50" s="1523"/>
      <c r="T50" s="1523"/>
      <c r="U50" s="905"/>
      <c r="V50" s="1523"/>
      <c r="W50" s="1523"/>
      <c r="X50" s="1523"/>
      <c r="Y50" s="1523"/>
      <c r="Z50" s="1523"/>
      <c r="AA50" s="1998"/>
      <c r="AB50" s="927"/>
      <c r="AC50" s="927"/>
      <c r="AD50" s="927"/>
      <c r="AE50" s="927"/>
    </row>
    <row s="19269" customFormat="1" customHeight="1" ht="11.25">
      <c r="A51" s="1349"/>
      <c r="B51" s="2002"/>
      <c r="C51" s="2002"/>
      <c r="D51" s="712"/>
      <c r="K51" s="1523"/>
      <c r="L51" s="2002"/>
      <c r="M51" s="2002"/>
      <c r="N51" s="1523"/>
      <c r="O51" s="1523"/>
      <c r="P51" s="1523"/>
      <c r="Q51" s="1523"/>
      <c r="R51" s="2002"/>
      <c r="S51" s="1523"/>
      <c r="T51" s="1523"/>
      <c r="U51" s="905"/>
      <c r="V51" s="1523"/>
      <c r="W51" s="1523"/>
      <c r="X51" s="1523"/>
      <c r="Y51" s="1523"/>
      <c r="Z51" s="1523"/>
      <c r="AA51" s="1998"/>
      <c r="AB51" s="927"/>
      <c r="AC51" s="927"/>
      <c r="AD51" s="927"/>
      <c r="AE51" s="927"/>
    </row>
    <row s="19269" customFormat="1" customHeight="1" ht="11.25">
      <c r="A52" s="1349"/>
      <c r="B52" s="2002"/>
      <c r="C52" s="2002"/>
      <c r="D52" s="712"/>
      <c r="K52" s="1523"/>
      <c r="L52" s="2002"/>
      <c r="M52" s="2002"/>
      <c r="N52" s="1523"/>
      <c r="O52" s="1523"/>
      <c r="P52" s="1523"/>
      <c r="Q52" s="1523"/>
      <c r="R52" s="2002"/>
      <c r="S52" s="1523"/>
      <c r="T52" s="1523"/>
      <c r="U52" s="905"/>
      <c r="V52" s="1523"/>
      <c r="W52" s="1523"/>
      <c r="X52" s="1523"/>
      <c r="Y52" s="1523"/>
      <c r="Z52" s="1523"/>
      <c r="AA52" s="1998"/>
      <c r="AB52" s="927"/>
      <c r="AC52" s="927"/>
      <c r="AD52" s="927"/>
      <c r="AE52" s="927"/>
    </row>
    <row s="19269" customFormat="1" customHeight="1" ht="11.25">
      <c r="A53" s="1349"/>
      <c r="B53" s="2002"/>
      <c r="C53" s="2002"/>
      <c r="D53" s="712"/>
      <c r="K53" s="1523"/>
      <c r="L53" s="2002"/>
      <c r="M53" s="2002"/>
      <c r="N53" s="1523"/>
      <c r="O53" s="1523"/>
      <c r="P53" s="1523"/>
      <c r="Q53" s="1523"/>
      <c r="R53" s="2002"/>
      <c r="S53" s="1523"/>
      <c r="T53" s="1523"/>
      <c r="U53" s="905"/>
      <c r="V53" s="1523"/>
      <c r="W53" s="1523"/>
      <c r="X53" s="1523"/>
      <c r="Y53" s="1523"/>
      <c r="Z53" s="1523"/>
      <c r="AA53" s="1998"/>
      <c r="AB53" s="927"/>
      <c r="AC53" s="927"/>
      <c r="AD53" s="927"/>
      <c r="AE53" s="927"/>
    </row>
    <row s="19269" customFormat="1" customHeight="1" ht="11.25">
      <c r="A54" s="1349"/>
      <c r="B54" s="2002"/>
      <c r="C54" s="2002"/>
      <c r="D54" s="712"/>
      <c r="K54" s="1523"/>
      <c r="L54" s="2002"/>
      <c r="M54" s="2002"/>
      <c r="N54" s="1523"/>
      <c r="O54" s="1523"/>
      <c r="P54" s="1523"/>
      <c r="Q54" s="1523"/>
      <c r="R54" s="2002"/>
      <c r="S54" s="1523"/>
      <c r="T54" s="1523"/>
      <c r="U54" s="905"/>
      <c r="V54" s="1523"/>
      <c r="W54" s="1523"/>
      <c r="X54" s="1523"/>
      <c r="Y54" s="1523"/>
      <c r="Z54" s="1523"/>
      <c r="AA54" s="1998"/>
      <c r="AB54" s="927"/>
      <c r="AC54" s="927"/>
      <c r="AD54" s="927"/>
      <c r="AE54" s="927"/>
    </row>
    <row s="19269" customFormat="1" customHeight="1" ht="11.25">
      <c r="A55" s="1349"/>
      <c r="B55" s="2002"/>
      <c r="C55" s="2002"/>
      <c r="D55" s="712"/>
      <c r="K55" s="1523"/>
      <c r="L55" s="2002"/>
      <c r="M55" s="2002"/>
      <c r="N55" s="1523"/>
      <c r="O55" s="1523"/>
      <c r="P55" s="1523"/>
      <c r="Q55" s="1523"/>
      <c r="R55" s="2002"/>
      <c r="S55" s="1523"/>
      <c r="T55" s="1523"/>
      <c r="U55" s="905"/>
      <c r="V55" s="1523"/>
      <c r="W55" s="1523"/>
      <c r="X55" s="1523"/>
      <c r="Y55" s="1523"/>
      <c r="Z55" s="1523"/>
      <c r="AA55" s="1998"/>
      <c r="AB55" s="927"/>
      <c r="AC55" s="927"/>
      <c r="AD55" s="927"/>
      <c r="AE55" s="927"/>
    </row>
    <row s="19269" customFormat="1" customHeight="1" ht="11.25">
      <c r="A56" s="1349"/>
      <c r="B56" s="2002"/>
      <c r="C56" s="2002"/>
      <c r="D56" s="712"/>
      <c r="K56" s="1523"/>
      <c r="L56" s="2002"/>
      <c r="M56" s="2002"/>
      <c r="N56" s="1523"/>
      <c r="O56" s="1523"/>
      <c r="P56" s="1523"/>
      <c r="Q56" s="1523"/>
      <c r="R56" s="2002"/>
      <c r="S56" s="1523"/>
      <c r="T56" s="1523"/>
      <c r="U56" s="905"/>
      <c r="V56" s="1523"/>
      <c r="W56" s="1523"/>
      <c r="X56" s="1523"/>
      <c r="Y56" s="1523"/>
      <c r="Z56" s="1523"/>
      <c r="AA56" s="1998"/>
      <c r="AB56" s="927"/>
      <c r="AC56" s="927"/>
      <c r="AD56" s="927"/>
      <c r="AE56" s="927"/>
    </row>
    <row s="19269" customFormat="1" customHeight="1" ht="11.25">
      <c r="A57" s="1349"/>
      <c r="B57" s="2002"/>
      <c r="C57" s="2002"/>
      <c r="D57" s="712"/>
      <c r="K57" s="1523"/>
      <c r="L57" s="2002"/>
      <c r="M57" s="2002"/>
      <c r="N57" s="1523"/>
      <c r="O57" s="1523"/>
      <c r="P57" s="1523"/>
      <c r="Q57" s="1523"/>
      <c r="R57" s="2002"/>
      <c r="S57" s="1523"/>
      <c r="T57" s="1523"/>
      <c r="U57" s="905"/>
      <c r="V57" s="1523"/>
      <c r="W57" s="1523"/>
      <c r="X57" s="1523"/>
      <c r="Y57" s="1523"/>
      <c r="Z57" s="1523"/>
      <c r="AA57" s="1998"/>
      <c r="AB57" s="927"/>
      <c r="AC57" s="927"/>
      <c r="AD57" s="927"/>
      <c r="AE57" s="927"/>
    </row>
    <row s="19269" customFormat="1" customHeight="1" ht="11.25">
      <c r="A58" s="1349"/>
      <c r="B58" s="2002"/>
      <c r="C58" s="2002"/>
      <c r="D58" s="712"/>
      <c r="K58" s="1523"/>
      <c r="L58" s="2002"/>
      <c r="M58" s="2002"/>
      <c r="N58" s="1523"/>
      <c r="O58" s="1523"/>
      <c r="P58" s="1523"/>
      <c r="Q58" s="1523"/>
      <c r="R58" s="2002"/>
      <c r="S58" s="1523"/>
      <c r="T58" s="1523"/>
      <c r="U58" s="905"/>
      <c r="V58" s="1523"/>
      <c r="W58" s="1523"/>
      <c r="X58" s="1523"/>
      <c r="Y58" s="1523"/>
      <c r="Z58" s="1523"/>
      <c r="AA58" s="1998"/>
      <c r="AB58" s="927"/>
      <c r="AC58" s="927"/>
      <c r="AD58" s="927"/>
      <c r="AE58" s="927"/>
    </row>
    <row s="19269" customFormat="1" customHeight="1" ht="11.25">
      <c r="A59" s="1349"/>
      <c r="B59" s="2002"/>
      <c r="C59" s="2002"/>
      <c r="D59" s="712"/>
      <c r="K59" s="1523"/>
      <c r="L59" s="2002"/>
      <c r="M59" s="2002"/>
      <c r="N59" s="1523"/>
      <c r="O59" s="1523"/>
      <c r="P59" s="1523"/>
      <c r="Q59" s="1523"/>
      <c r="R59" s="2002"/>
      <c r="S59" s="1523"/>
      <c r="T59" s="1523"/>
      <c r="U59" s="905"/>
      <c r="V59" s="1523"/>
      <c r="W59" s="1523"/>
      <c r="X59" s="1523"/>
      <c r="Y59" s="1523"/>
      <c r="Z59" s="1523"/>
      <c r="AA59" s="1998"/>
      <c r="AB59" s="927"/>
      <c r="AC59" s="927"/>
      <c r="AD59" s="927"/>
      <c r="AE59" s="927"/>
    </row>
    <row s="19269" customFormat="1" customHeight="1" ht="11.25">
      <c r="A60" s="1349"/>
      <c r="B60" s="2002"/>
      <c r="C60" s="2002"/>
      <c r="D60" s="712"/>
      <c r="K60" s="1523"/>
      <c r="L60" s="2002"/>
      <c r="M60" s="2002"/>
      <c r="N60" s="1523"/>
      <c r="O60" s="1523"/>
      <c r="P60" s="1523"/>
      <c r="Q60" s="1523"/>
      <c r="R60" s="2002"/>
      <c r="S60" s="1523"/>
      <c r="T60" s="1523"/>
      <c r="U60" s="905"/>
      <c r="V60" s="1523"/>
      <c r="W60" s="1523"/>
      <c r="X60" s="1523"/>
      <c r="Y60" s="1523"/>
      <c r="Z60" s="1523"/>
      <c r="AA60" s="1998"/>
      <c r="AB60" s="927"/>
      <c r="AC60" s="927"/>
      <c r="AD60" s="927"/>
      <c r="AE60" s="927"/>
    </row>
    <row s="19269" customFormat="1" customHeight="1" ht="11.25">
      <c r="A61" s="1349"/>
      <c r="B61" s="2002"/>
      <c r="C61" s="2002"/>
      <c r="D61" s="712"/>
      <c r="K61" s="1523"/>
      <c r="L61" s="2002"/>
      <c r="M61" s="2002"/>
      <c r="N61" s="1523"/>
      <c r="O61" s="1523"/>
      <c r="P61" s="1523"/>
      <c r="Q61" s="1523"/>
      <c r="R61" s="2002"/>
      <c r="S61" s="1523"/>
      <c r="T61" s="1523"/>
      <c r="U61" s="905"/>
      <c r="V61" s="1523"/>
      <c r="W61" s="1523"/>
      <c r="X61" s="1523"/>
      <c r="Y61" s="1523"/>
      <c r="Z61" s="1523"/>
      <c r="AA61" s="1998"/>
      <c r="AB61" s="927"/>
      <c r="AC61" s="927"/>
      <c r="AD61" s="927"/>
      <c r="AE61" s="927"/>
    </row>
    <row s="19269" customFormat="1" customHeight="1" ht="11.25">
      <c r="A62" s="1349"/>
      <c r="B62" s="2002"/>
      <c r="C62" s="2002"/>
      <c r="D62" s="712"/>
      <c r="K62" s="1523"/>
      <c r="L62" s="2002"/>
      <c r="M62" s="2002"/>
      <c r="N62" s="1523"/>
      <c r="O62" s="1523"/>
      <c r="P62" s="1523"/>
      <c r="Q62" s="1523"/>
      <c r="R62" s="2002"/>
      <c r="S62" s="1523"/>
      <c r="T62" s="1523"/>
      <c r="U62" s="905"/>
      <c r="V62" s="1523"/>
      <c r="W62" s="1523"/>
      <c r="X62" s="1523"/>
      <c r="Y62" s="1523"/>
      <c r="Z62" s="1523"/>
      <c r="AA62" s="1998"/>
      <c r="AB62" s="927"/>
      <c r="AC62" s="927"/>
      <c r="AD62" s="927"/>
      <c r="AE62" s="927"/>
    </row>
    <row s="19269" customFormat="1" customHeight="1" ht="11.25">
      <c r="A63" s="1349"/>
      <c r="B63" s="2002"/>
      <c r="C63" s="2002"/>
      <c r="D63" s="712"/>
      <c r="K63" s="1523"/>
      <c r="L63" s="2002"/>
      <c r="M63" s="2002"/>
      <c r="N63" s="1523"/>
      <c r="O63" s="1523"/>
      <c r="P63" s="1523"/>
      <c r="Q63" s="1523"/>
      <c r="R63" s="2002"/>
      <c r="S63" s="1523"/>
      <c r="T63" s="1523"/>
      <c r="U63" s="905"/>
      <c r="V63" s="1523"/>
      <c r="W63" s="1523"/>
      <c r="X63" s="1523"/>
      <c r="Y63" s="1523"/>
      <c r="Z63" s="1523"/>
      <c r="AA63" s="1998"/>
      <c r="AB63" s="927"/>
      <c r="AC63" s="927"/>
      <c r="AD63" s="927"/>
      <c r="AE63" s="927"/>
    </row>
    <row s="19269" customFormat="1" customHeight="1" ht="11.25">
      <c r="A64" s="1349"/>
      <c r="B64" s="2002"/>
      <c r="C64" s="2002"/>
      <c r="D64" s="712"/>
      <c r="K64" s="1523"/>
      <c r="L64" s="2002"/>
      <c r="M64" s="2002"/>
      <c r="N64" s="1523"/>
      <c r="O64" s="1523"/>
      <c r="P64" s="1523"/>
      <c r="Q64" s="1523"/>
      <c r="R64" s="2002"/>
      <c r="S64" s="1523"/>
      <c r="T64" s="1523"/>
      <c r="U64" s="905"/>
      <c r="V64" s="1523"/>
      <c r="W64" s="1523"/>
      <c r="X64" s="1523"/>
      <c r="Y64" s="1523"/>
      <c r="Z64" s="1523"/>
      <c r="AA64" s="1998"/>
      <c r="AB64" s="927"/>
      <c r="AC64" s="927"/>
      <c r="AD64" s="927"/>
      <c r="AE64" s="927"/>
    </row>
    <row s="19269" customFormat="1" customHeight="1" ht="11.25">
      <c r="A65" s="1349"/>
      <c r="B65" s="2002"/>
      <c r="C65" s="2002"/>
      <c r="D65" s="712"/>
      <c r="K65" s="1523"/>
      <c r="L65" s="2002"/>
      <c r="M65" s="2002"/>
      <c r="N65" s="1523"/>
      <c r="O65" s="1523"/>
      <c r="P65" s="1523"/>
      <c r="Q65" s="1523"/>
      <c r="R65" s="2002"/>
      <c r="S65" s="1523"/>
      <c r="T65" s="1523"/>
      <c r="U65" s="905"/>
      <c r="V65" s="1523"/>
      <c r="W65" s="1523"/>
      <c r="X65" s="1523"/>
      <c r="Y65" s="1523"/>
      <c r="Z65" s="1523"/>
      <c r="AA65" s="1998"/>
      <c r="AB65" s="927"/>
      <c r="AC65" s="927"/>
      <c r="AD65" s="927"/>
      <c r="AE65" s="927"/>
    </row>
    <row s="19269" customFormat="1" customHeight="1" ht="11.25">
      <c r="A66" s="1349"/>
      <c r="B66" s="2002"/>
      <c r="C66" s="2002"/>
      <c r="D66" s="712"/>
      <c r="K66" s="1523"/>
      <c r="L66" s="2002"/>
      <c r="M66" s="2002"/>
      <c r="N66" s="1523"/>
      <c r="O66" s="1523"/>
      <c r="P66" s="1523"/>
      <c r="Q66" s="1523"/>
      <c r="R66" s="2002"/>
      <c r="S66" s="1523"/>
      <c r="T66" s="1523"/>
      <c r="U66" s="905"/>
      <c r="V66" s="1523"/>
      <c r="W66" s="1523"/>
      <c r="X66" s="1523"/>
      <c r="Y66" s="1523"/>
      <c r="Z66" s="1523"/>
      <c r="AA66" s="1998"/>
      <c r="AB66" s="927"/>
      <c r="AC66" s="927"/>
      <c r="AD66" s="927"/>
      <c r="AE66" s="927"/>
    </row>
    <row s="19269" customFormat="1" customHeight="1" ht="11.25">
      <c r="A67" s="1349"/>
      <c r="B67" s="2002"/>
      <c r="C67" s="2002"/>
      <c r="D67" s="712"/>
      <c r="K67" s="1523"/>
      <c r="L67" s="2002"/>
      <c r="M67" s="2002"/>
      <c r="N67" s="1523"/>
      <c r="O67" s="1523"/>
      <c r="P67" s="1523"/>
      <c r="Q67" s="1523"/>
      <c r="R67" s="2002"/>
      <c r="S67" s="1523"/>
      <c r="T67" s="1523"/>
      <c r="U67" s="905"/>
      <c r="V67" s="1523"/>
      <c r="W67" s="1523"/>
      <c r="X67" s="1523"/>
      <c r="Y67" s="1523"/>
      <c r="Z67" s="1523"/>
      <c r="AA67" s="1998"/>
      <c r="AB67" s="927"/>
      <c r="AC67" s="927"/>
      <c r="AD67" s="927"/>
      <c r="AE67" s="927"/>
    </row>
    <row s="19269" customFormat="1" customHeight="1" ht="11.25">
      <c r="A68" s="1349"/>
      <c r="B68" s="2002"/>
      <c r="C68" s="2002"/>
      <c r="D68" s="712"/>
      <c r="K68" s="1523"/>
      <c r="L68" s="2002"/>
      <c r="M68" s="2002"/>
      <c r="N68" s="1523"/>
      <c r="O68" s="1523"/>
      <c r="P68" s="1523"/>
      <c r="Q68" s="1523"/>
      <c r="R68" s="2002"/>
      <c r="S68" s="1523"/>
      <c r="T68" s="1523"/>
      <c r="U68" s="905"/>
      <c r="V68" s="1523"/>
      <c r="W68" s="1523"/>
      <c r="X68" s="1523"/>
      <c r="Y68" s="1523"/>
      <c r="Z68" s="1523"/>
      <c r="AA68" s="1998"/>
      <c r="AB68" s="927"/>
      <c r="AC68" s="927"/>
      <c r="AD68" s="927"/>
      <c r="AE68" s="927"/>
    </row>
    <row s="19269" customFormat="1" customHeight="1" ht="11.25">
      <c r="A69" s="1349"/>
      <c r="B69" s="2002"/>
      <c r="C69" s="2002"/>
      <c r="D69" s="712"/>
      <c r="K69" s="1523"/>
      <c r="L69" s="2002"/>
      <c r="M69" s="2002"/>
      <c r="N69" s="1523"/>
      <c r="O69" s="1523"/>
      <c r="P69" s="1523"/>
      <c r="Q69" s="1523"/>
      <c r="R69" s="2002"/>
      <c r="S69" s="1523"/>
      <c r="T69" s="1523"/>
      <c r="U69" s="905"/>
      <c r="V69" s="1523"/>
      <c r="W69" s="1523"/>
      <c r="X69" s="1523"/>
      <c r="Y69" s="1523"/>
      <c r="Z69" s="1523"/>
      <c r="AA69" s="1998"/>
      <c r="AB69" s="927"/>
      <c r="AC69" s="927"/>
      <c r="AD69" s="927"/>
      <c r="AE69" s="927"/>
    </row>
    <row s="19269" customFormat="1" customHeight="1" ht="11.25">
      <c r="A70" s="1349"/>
      <c r="B70" s="2002"/>
      <c r="C70" s="2002"/>
      <c r="D70" s="712"/>
      <c r="K70" s="1523"/>
      <c r="L70" s="2002"/>
      <c r="M70" s="2002"/>
      <c r="N70" s="1523"/>
      <c r="O70" s="1523"/>
      <c r="P70" s="1523"/>
      <c r="Q70" s="1523"/>
      <c r="R70" s="2002"/>
      <c r="S70" s="1523"/>
      <c r="T70" s="1523"/>
      <c r="U70" s="905"/>
      <c r="V70" s="1523"/>
      <c r="W70" s="1523"/>
      <c r="X70" s="1523"/>
      <c r="Y70" s="1523"/>
      <c r="Z70" s="1523"/>
      <c r="AA70" s="1998"/>
      <c r="AB70" s="927"/>
      <c r="AC70" s="927"/>
      <c r="AD70" s="927"/>
      <c r="AE70" s="927"/>
    </row>
    <row s="19269" customFormat="1" customHeight="1" ht="11.25">
      <c r="A71" s="1349"/>
      <c r="B71" s="2002"/>
      <c r="C71" s="2002"/>
      <c r="D71" s="712"/>
      <c r="K71" s="1523"/>
      <c r="L71" s="2002"/>
      <c r="M71" s="2002"/>
      <c r="N71" s="1523"/>
      <c r="O71" s="1523"/>
      <c r="P71" s="1523"/>
      <c r="Q71" s="1523"/>
      <c r="R71" s="2002"/>
      <c r="S71" s="1523"/>
      <c r="T71" s="1523"/>
      <c r="U71" s="905"/>
      <c r="V71" s="1523"/>
      <c r="W71" s="1523"/>
      <c r="X71" s="1523"/>
      <c r="Y71" s="1523"/>
      <c r="Z71" s="1523"/>
      <c r="AA71" s="1998"/>
      <c r="AB71" s="927"/>
      <c r="AC71" s="927"/>
      <c r="AD71" s="927"/>
      <c r="AE71" s="927"/>
    </row>
    <row s="19269" customFormat="1" customHeight="1" ht="11.25">
      <c r="A72" s="1349"/>
      <c r="B72" s="2002"/>
      <c r="C72" s="2002"/>
      <c r="D72" s="712"/>
      <c r="K72" s="1523"/>
      <c r="L72" s="2002"/>
      <c r="M72" s="2002"/>
      <c r="N72" s="1523"/>
      <c r="O72" s="1523"/>
      <c r="P72" s="1523"/>
      <c r="Q72" s="1523"/>
      <c r="R72" s="2002"/>
      <c r="S72" s="1523"/>
      <c r="T72" s="1523"/>
      <c r="U72" s="905"/>
      <c r="V72" s="1523"/>
      <c r="W72" s="1523"/>
      <c r="X72" s="1523"/>
      <c r="Y72" s="1523"/>
      <c r="Z72" s="1523"/>
      <c r="AA72" s="1998"/>
      <c r="AB72" s="927"/>
      <c r="AC72" s="927"/>
      <c r="AD72" s="927"/>
      <c r="AE72" s="927"/>
    </row>
    <row s="19269" customFormat="1" customHeight="1" ht="11.25">
      <c r="A73" s="1349"/>
      <c r="B73" s="2002"/>
      <c r="C73" s="2002"/>
      <c r="D73" s="712"/>
      <c r="K73" s="1523"/>
      <c r="L73" s="2002"/>
      <c r="M73" s="2002"/>
      <c r="N73" s="1523"/>
      <c r="O73" s="1523"/>
      <c r="P73" s="1523"/>
      <c r="Q73" s="1523"/>
      <c r="R73" s="2002"/>
      <c r="S73" s="1523"/>
      <c r="T73" s="1523"/>
      <c r="U73" s="905"/>
      <c r="V73" s="1523"/>
      <c r="W73" s="1523"/>
      <c r="X73" s="1523"/>
      <c r="Y73" s="1523"/>
      <c r="Z73" s="1523"/>
      <c r="AA73" s="1998"/>
      <c r="AB73" s="927"/>
      <c r="AC73" s="927"/>
      <c r="AD73" s="927"/>
      <c r="AE73" s="927"/>
    </row>
    <row s="19269" customFormat="1" customHeight="1" ht="11.25">
      <c r="A74" s="1349"/>
      <c r="B74" s="2002"/>
      <c r="C74" s="2002"/>
      <c r="D74" s="712"/>
      <c r="K74" s="1523"/>
      <c r="L74" s="2002"/>
      <c r="M74" s="2002"/>
      <c r="N74" s="1523"/>
      <c r="O74" s="1523"/>
      <c r="P74" s="1523"/>
      <c r="Q74" s="1523"/>
      <c r="R74" s="2002"/>
      <c r="S74" s="1523"/>
      <c r="T74" s="1523"/>
      <c r="U74" s="905"/>
      <c r="V74" s="1523"/>
      <c r="W74" s="1523"/>
      <c r="X74" s="1523"/>
      <c r="Y74" s="1523"/>
      <c r="Z74" s="1523"/>
      <c r="AA74" s="1998"/>
      <c r="AB74" s="927"/>
      <c r="AC74" s="927"/>
      <c r="AD74" s="927"/>
      <c r="AE74" s="927"/>
    </row>
    <row s="19269" customFormat="1" customHeight="1" ht="11.25">
      <c r="A75" s="1349"/>
      <c r="B75" s="2002"/>
      <c r="C75" s="2002"/>
      <c r="D75" s="712"/>
      <c r="K75" s="1523"/>
      <c r="L75" s="2002"/>
      <c r="M75" s="2002"/>
      <c r="N75" s="1523"/>
      <c r="O75" s="1523"/>
      <c r="P75" s="1523"/>
      <c r="Q75" s="1523"/>
      <c r="R75" s="2002"/>
      <c r="S75" s="1523"/>
      <c r="T75" s="1523"/>
      <c r="U75" s="905"/>
      <c r="V75" s="1523"/>
      <c r="W75" s="1523"/>
      <c r="X75" s="1523"/>
      <c r="Y75" s="1523"/>
      <c r="Z75" s="1523"/>
      <c r="AA75" s="1998"/>
      <c r="AB75" s="927"/>
      <c r="AC75" s="927"/>
      <c r="AD75" s="927"/>
      <c r="AE75" s="927"/>
    </row>
    <row s="19269" customFormat="1" customHeight="1" ht="11.25">
      <c r="A76" s="1349"/>
      <c r="B76" s="2002"/>
      <c r="C76" s="2002"/>
      <c r="D76" s="712"/>
      <c r="K76" s="1523"/>
      <c r="L76" s="2002"/>
      <c r="M76" s="2002"/>
      <c r="N76" s="1523"/>
      <c r="O76" s="1523"/>
      <c r="P76" s="1523"/>
      <c r="Q76" s="1523"/>
      <c r="R76" s="2002"/>
      <c r="S76" s="1523"/>
      <c r="T76" s="1523"/>
      <c r="U76" s="905"/>
      <c r="V76" s="1523"/>
      <c r="W76" s="1523"/>
      <c r="X76" s="1523"/>
      <c r="Y76" s="1523"/>
      <c r="Z76" s="1523"/>
      <c r="AA76" s="1998"/>
      <c r="AB76" s="927"/>
      <c r="AC76" s="927"/>
      <c r="AD76" s="927"/>
      <c r="AE76" s="927"/>
    </row>
    <row s="19269" customFormat="1" customHeight="1" ht="11.25">
      <c r="A77" s="1349"/>
      <c r="B77" s="2002"/>
      <c r="C77" s="2002"/>
      <c r="D77" s="712"/>
      <c r="K77" s="1523"/>
      <c r="L77" s="2002"/>
      <c r="M77" s="2002"/>
      <c r="N77" s="1523"/>
      <c r="O77" s="1523"/>
      <c r="P77" s="1523"/>
      <c r="Q77" s="1523"/>
      <c r="R77" s="2002"/>
      <c r="S77" s="1523"/>
      <c r="T77" s="1523"/>
      <c r="U77" s="905"/>
      <c r="V77" s="1523"/>
      <c r="W77" s="1523"/>
      <c r="X77" s="1523"/>
      <c r="Y77" s="1523"/>
      <c r="Z77" s="1523"/>
      <c r="AA77" s="1998"/>
      <c r="AB77" s="927"/>
      <c r="AC77" s="927"/>
      <c r="AD77" s="927"/>
      <c r="AE77" s="927"/>
    </row>
    <row s="19269" customFormat="1" customHeight="1" ht="11.25">
      <c r="A78" s="1349"/>
      <c r="B78" s="2002"/>
      <c r="C78" s="2002"/>
      <c r="D78" s="712"/>
      <c r="K78" s="1523"/>
      <c r="L78" s="2002"/>
      <c r="M78" s="2002"/>
      <c r="N78" s="1523"/>
      <c r="O78" s="1523"/>
      <c r="P78" s="1523"/>
      <c r="Q78" s="1523"/>
      <c r="R78" s="2002"/>
      <c r="S78" s="1523"/>
      <c r="T78" s="1523"/>
      <c r="U78" s="905"/>
      <c r="V78" s="1523"/>
      <c r="W78" s="1523"/>
      <c r="X78" s="1523"/>
      <c r="Y78" s="1523"/>
      <c r="Z78" s="1523"/>
      <c r="AA78" s="1998"/>
      <c r="AB78" s="927"/>
      <c r="AC78" s="927"/>
      <c r="AD78" s="927"/>
      <c r="AE78" s="927"/>
    </row>
    <row s="19269" customFormat="1" customHeight="1" ht="11.25">
      <c r="A79" s="1349"/>
      <c r="B79" s="2002"/>
      <c r="C79" s="2002"/>
      <c r="D79" s="712"/>
      <c r="K79" s="1523"/>
      <c r="L79" s="2002"/>
      <c r="M79" s="2002"/>
      <c r="N79" s="1523"/>
      <c r="O79" s="1523"/>
      <c r="P79" s="1523"/>
      <c r="Q79" s="1523"/>
      <c r="R79" s="2002"/>
      <c r="S79" s="1523"/>
      <c r="T79" s="1523"/>
      <c r="U79" s="905"/>
      <c r="V79" s="1523"/>
      <c r="W79" s="1523"/>
      <c r="X79" s="1523"/>
      <c r="Y79" s="1523"/>
      <c r="Z79" s="1523"/>
      <c r="AA79" s="1998"/>
      <c r="AB79" s="927"/>
      <c r="AC79" s="927"/>
      <c r="AD79" s="927"/>
      <c r="AE79" s="927"/>
    </row>
    <row s="19269" customFormat="1" customHeight="1" ht="11.25">
      <c r="A80" s="1349"/>
      <c r="B80" s="2002"/>
      <c r="C80" s="2002"/>
      <c r="D80" s="712"/>
      <c r="K80" s="1523"/>
      <c r="L80" s="2002"/>
      <c r="M80" s="2002"/>
      <c r="N80" s="1523"/>
      <c r="O80" s="1523"/>
      <c r="P80" s="1523"/>
      <c r="Q80" s="1523"/>
      <c r="R80" s="2002"/>
      <c r="S80" s="1523"/>
      <c r="T80" s="1523"/>
      <c r="U80" s="905"/>
      <c r="V80" s="1523"/>
      <c r="W80" s="1523"/>
      <c r="X80" s="1523"/>
      <c r="Y80" s="1523"/>
      <c r="Z80" s="1523"/>
      <c r="AA80" s="1998"/>
      <c r="AB80" s="927"/>
      <c r="AC80" s="927"/>
      <c r="AD80" s="927"/>
      <c r="AE80" s="927"/>
    </row>
    <row s="19269" customFormat="1" customHeight="1" ht="11.25">
      <c r="A81" s="1349"/>
      <c r="B81" s="2002"/>
      <c r="C81" s="2002"/>
      <c r="D81" s="712"/>
      <c r="K81" s="1523"/>
      <c r="L81" s="2002"/>
      <c r="M81" s="2002"/>
      <c r="N81" s="1523"/>
      <c r="O81" s="1523"/>
      <c r="P81" s="1523"/>
      <c r="Q81" s="1523"/>
      <c r="R81" s="2002"/>
      <c r="S81" s="1523"/>
      <c r="T81" s="1523"/>
      <c r="U81" s="905"/>
      <c r="V81" s="1523"/>
      <c r="W81" s="1523"/>
      <c r="X81" s="1523"/>
      <c r="Y81" s="1523"/>
      <c r="Z81" s="1523"/>
      <c r="AA81" s="1998"/>
      <c r="AB81" s="927"/>
      <c r="AC81" s="927"/>
      <c r="AD81" s="927"/>
      <c r="AE81" s="927"/>
    </row>
    <row s="19269" customFormat="1" customHeight="1" ht="11.25">
      <c r="A82" s="1349"/>
      <c r="B82" s="2002"/>
      <c r="C82" s="2002"/>
      <c r="D82" s="712"/>
      <c r="K82" s="1523"/>
      <c r="L82" s="2002"/>
      <c r="M82" s="2002"/>
      <c r="N82" s="1523"/>
      <c r="O82" s="1523"/>
      <c r="P82" s="1523"/>
      <c r="Q82" s="1523"/>
      <c r="R82" s="2002"/>
      <c r="S82" s="1523"/>
      <c r="T82" s="1523"/>
      <c r="U82" s="905"/>
      <c r="V82" s="1523"/>
      <c r="W82" s="1523"/>
      <c r="X82" s="1523"/>
      <c r="Y82" s="1523"/>
      <c r="Z82" s="1523"/>
      <c r="AA82" s="1998"/>
      <c r="AB82" s="927"/>
      <c r="AC82" s="927"/>
      <c r="AD82" s="927"/>
      <c r="AE82" s="927"/>
    </row>
    <row s="19269" customFormat="1" customHeight="1" ht="11.25">
      <c r="A83" s="1349"/>
      <c r="B83" s="2002"/>
      <c r="C83" s="2002"/>
      <c r="D83" s="712"/>
      <c r="K83" s="1523"/>
      <c r="L83" s="2002"/>
      <c r="M83" s="2002"/>
      <c r="N83" s="1523"/>
      <c r="O83" s="1523"/>
      <c r="P83" s="1523"/>
      <c r="Q83" s="1523"/>
      <c r="R83" s="2002"/>
      <c r="S83" s="1523"/>
      <c r="T83" s="1523"/>
      <c r="U83" s="905"/>
      <c r="V83" s="1523"/>
      <c r="W83" s="1523"/>
      <c r="X83" s="1523"/>
      <c r="Y83" s="1523"/>
      <c r="Z83" s="1523"/>
      <c r="AA83" s="1998"/>
      <c r="AB83" s="927"/>
      <c r="AC83" s="927"/>
      <c r="AD83" s="927"/>
      <c r="AE83" s="927"/>
    </row>
    <row s="19269" customFormat="1" customHeight="1" ht="11.25">
      <c r="A84" s="1349"/>
      <c r="B84" s="2002"/>
      <c r="C84" s="2002"/>
      <c r="D84" s="712"/>
      <c r="K84" s="1523"/>
      <c r="L84" s="2002"/>
      <c r="M84" s="2002"/>
      <c r="N84" s="1523"/>
      <c r="O84" s="1523"/>
      <c r="P84" s="1523"/>
      <c r="Q84" s="1523"/>
      <c r="R84" s="2002"/>
      <c r="S84" s="1523"/>
      <c r="T84" s="1523"/>
      <c r="U84" s="905"/>
      <c r="V84" s="1523"/>
      <c r="W84" s="1523"/>
      <c r="X84" s="1523"/>
      <c r="Y84" s="1523"/>
      <c r="Z84" s="1523"/>
      <c r="AA84" s="1998"/>
      <c r="AB84" s="927"/>
      <c r="AC84" s="927"/>
      <c r="AD84" s="927"/>
      <c r="AE84" s="927"/>
    </row>
    <row s="19269" customFormat="1" customHeight="1" ht="11.25">
      <c r="A85" s="1349"/>
      <c r="B85" s="2002"/>
      <c r="C85" s="2002"/>
      <c r="D85" s="712"/>
      <c r="K85" s="1523"/>
      <c r="L85" s="2002"/>
      <c r="M85" s="2002"/>
      <c r="N85" s="1523"/>
      <c r="O85" s="1523"/>
      <c r="P85" s="1523"/>
      <c r="Q85" s="1523"/>
      <c r="R85" s="2002"/>
      <c r="S85" s="1523"/>
      <c r="T85" s="1523"/>
      <c r="U85" s="905"/>
      <c r="V85" s="1523"/>
      <c r="W85" s="1523"/>
      <c r="X85" s="1523"/>
      <c r="Y85" s="1523"/>
      <c r="Z85" s="1523"/>
      <c r="AA85" s="1998"/>
      <c r="AB85" s="927"/>
      <c r="AC85" s="927"/>
      <c r="AD85" s="927"/>
      <c r="AE85" s="927"/>
    </row>
    <row s="19269" customFormat="1" customHeight="1" ht="11.25">
      <c r="A86" s="1349"/>
      <c r="B86" s="2002"/>
      <c r="C86" s="2002"/>
      <c r="D86" s="712"/>
      <c r="K86" s="1523"/>
      <c r="L86" s="2002"/>
      <c r="M86" s="2002"/>
      <c r="N86" s="1523"/>
      <c r="O86" s="1523"/>
      <c r="P86" s="1523"/>
      <c r="Q86" s="1523"/>
      <c r="R86" s="2002"/>
      <c r="S86" s="1523"/>
      <c r="T86" s="1523"/>
      <c r="U86" s="905"/>
      <c r="V86" s="1523"/>
      <c r="W86" s="1523"/>
      <c r="X86" s="1523"/>
      <c r="Y86" s="1523"/>
      <c r="Z86" s="1523"/>
      <c r="AA86" s="1998"/>
      <c r="AB86" s="927"/>
      <c r="AC86" s="927"/>
      <c r="AD86" s="927"/>
      <c r="AE86" s="927"/>
    </row>
    <row s="19269" customFormat="1" customHeight="1" ht="11.25">
      <c r="A87" s="1349"/>
      <c r="B87" s="2002"/>
      <c r="C87" s="2002"/>
      <c r="D87" s="712"/>
      <c r="K87" s="1523"/>
      <c r="L87" s="2002"/>
      <c r="M87" s="2002"/>
      <c r="N87" s="1523"/>
      <c r="O87" s="1523"/>
      <c r="P87" s="1523"/>
      <c r="Q87" s="1523"/>
      <c r="R87" s="2002"/>
      <c r="S87" s="1523"/>
      <c r="T87" s="1523"/>
      <c r="U87" s="905"/>
      <c r="V87" s="1523"/>
      <c r="W87" s="1523"/>
      <c r="X87" s="1523"/>
      <c r="Y87" s="1523"/>
      <c r="Z87" s="1523"/>
      <c r="AA87" s="1998"/>
      <c r="AB87" s="927"/>
      <c r="AC87" s="927"/>
      <c r="AD87" s="927"/>
      <c r="AE87" s="927"/>
    </row>
    <row s="19269" customFormat="1" customHeight="1" ht="11.25">
      <c r="A88" s="1349"/>
      <c r="B88" s="2002"/>
      <c r="C88" s="2002"/>
      <c r="D88" s="712"/>
      <c r="K88" s="1523"/>
      <c r="L88" s="2002"/>
      <c r="M88" s="2002"/>
      <c r="N88" s="1523"/>
      <c r="O88" s="1523"/>
      <c r="P88" s="1523"/>
      <c r="Q88" s="1523"/>
      <c r="R88" s="2002"/>
      <c r="S88" s="1523"/>
      <c r="T88" s="1523"/>
      <c r="U88" s="905"/>
      <c r="V88" s="1523"/>
      <c r="W88" s="1523"/>
      <c r="X88" s="1523"/>
      <c r="Y88" s="1523"/>
      <c r="Z88" s="1523"/>
      <c r="AA88" s="1998"/>
      <c r="AB88" s="927"/>
      <c r="AC88" s="927"/>
      <c r="AD88" s="927"/>
      <c r="AE88" s="927"/>
    </row>
    <row s="19269" customFormat="1" customHeight="1" ht="11.25">
      <c r="A89" s="1349"/>
      <c r="B89" s="2002"/>
      <c r="C89" s="2002"/>
      <c r="D89" s="712"/>
      <c r="K89" s="1523"/>
      <c r="L89" s="2002"/>
      <c r="M89" s="2002"/>
      <c r="N89" s="1523"/>
      <c r="O89" s="1523"/>
      <c r="P89" s="1523"/>
      <c r="Q89" s="1523"/>
      <c r="R89" s="2002"/>
      <c r="S89" s="1523"/>
      <c r="T89" s="1523"/>
      <c r="U89" s="905"/>
      <c r="V89" s="1523"/>
      <c r="W89" s="1523"/>
      <c r="X89" s="1523"/>
      <c r="Y89" s="1523"/>
      <c r="Z89" s="1523"/>
      <c r="AA89" s="1998"/>
      <c r="AB89" s="927"/>
      <c r="AC89" s="927"/>
      <c r="AD89" s="927"/>
      <c r="AE89" s="927"/>
    </row>
    <row s="19269" customFormat="1" customHeight="1" ht="11.25">
      <c r="A90" s="1349"/>
      <c r="B90" s="2002"/>
      <c r="C90" s="2002"/>
      <c r="D90" s="712"/>
      <c r="K90" s="1523"/>
      <c r="L90" s="2002"/>
      <c r="M90" s="2002"/>
      <c r="N90" s="1523"/>
      <c r="O90" s="1523"/>
      <c r="P90" s="1523"/>
      <c r="Q90" s="1523"/>
      <c r="R90" s="2002"/>
      <c r="S90" s="1523"/>
      <c r="T90" s="1523"/>
      <c r="U90" s="905"/>
      <c r="V90" s="1523"/>
      <c r="W90" s="1523"/>
      <c r="X90" s="1523"/>
      <c r="Y90" s="1523"/>
      <c r="Z90" s="1523"/>
      <c r="AA90" s="1998"/>
      <c r="AB90" s="927"/>
      <c r="AC90" s="927"/>
      <c r="AD90" s="927"/>
      <c r="AE90" s="927"/>
    </row>
    <row s="19269" customFormat="1" customHeight="1" ht="11.25">
      <c r="A91" s="1349"/>
      <c r="B91" s="2002"/>
      <c r="C91" s="2002"/>
      <c r="D91" s="712"/>
      <c r="K91" s="1523"/>
      <c r="L91" s="2002"/>
      <c r="M91" s="2002"/>
      <c r="N91" s="1523"/>
      <c r="O91" s="1523"/>
      <c r="P91" s="1523"/>
      <c r="Q91" s="1523"/>
      <c r="R91" s="2002"/>
      <c r="S91" s="1523"/>
      <c r="T91" s="1523"/>
      <c r="U91" s="905"/>
      <c r="V91" s="1523"/>
      <c r="W91" s="1523"/>
      <c r="X91" s="1523"/>
      <c r="Y91" s="1523"/>
      <c r="Z91" s="1523"/>
      <c r="AA91" s="1998"/>
      <c r="AB91" s="927"/>
      <c r="AC91" s="927"/>
      <c r="AD91" s="927"/>
      <c r="AE91" s="927"/>
    </row>
    <row s="19269" customFormat="1" customHeight="1" ht="11.25">
      <c r="A92" s="1349"/>
      <c r="B92" s="2002"/>
      <c r="C92" s="2002"/>
      <c r="D92" s="712"/>
      <c r="K92" s="1523"/>
      <c r="L92" s="2002"/>
      <c r="M92" s="2002"/>
      <c r="N92" s="1523"/>
      <c r="O92" s="1523"/>
      <c r="P92" s="1523"/>
      <c r="Q92" s="1523"/>
      <c r="R92" s="2002"/>
      <c r="S92" s="1523"/>
      <c r="T92" s="1523"/>
      <c r="U92" s="905"/>
      <c r="V92" s="1523"/>
      <c r="W92" s="1523"/>
      <c r="X92" s="1523"/>
      <c r="Y92" s="1523"/>
      <c r="Z92" s="1523"/>
      <c r="AA92" s="1998"/>
      <c r="AB92" s="927"/>
      <c r="AC92" s="927"/>
      <c r="AD92" s="927"/>
      <c r="AE92" s="927"/>
    </row>
    <row s="19269" customFormat="1" customHeight="1" ht="11.25">
      <c r="A93" s="1349"/>
      <c r="B93" s="2002"/>
      <c r="C93" s="2002"/>
      <c r="D93" s="712"/>
      <c r="K93" s="1523"/>
      <c r="L93" s="2002"/>
      <c r="M93" s="2002"/>
      <c r="N93" s="1523"/>
      <c r="O93" s="1523"/>
      <c r="P93" s="1523"/>
      <c r="Q93" s="1523"/>
      <c r="R93" s="2002"/>
      <c r="S93" s="1523"/>
      <c r="T93" s="1523"/>
      <c r="U93" s="905"/>
      <c r="V93" s="1523"/>
      <c r="W93" s="1523"/>
      <c r="X93" s="1523"/>
      <c r="Y93" s="1523"/>
      <c r="Z93" s="1523"/>
      <c r="AA93" s="1998"/>
      <c r="AB93" s="927"/>
      <c r="AC93" s="927"/>
      <c r="AD93" s="927"/>
      <c r="AE93" s="927"/>
    </row>
    <row s="19269" customFormat="1" customHeight="1" ht="11.25">
      <c r="A94" s="1349"/>
      <c r="B94" s="2002"/>
      <c r="C94" s="2002"/>
      <c r="D94" s="712"/>
      <c r="K94" s="1523"/>
      <c r="L94" s="2002"/>
      <c r="M94" s="2002"/>
      <c r="N94" s="1523"/>
      <c r="O94" s="1523"/>
      <c r="P94" s="1523"/>
      <c r="Q94" s="1523"/>
      <c r="R94" s="2002"/>
      <c r="S94" s="1523"/>
      <c r="T94" s="1523"/>
      <c r="U94" s="905"/>
      <c r="V94" s="1523"/>
      <c r="W94" s="1523"/>
      <c r="X94" s="1523"/>
      <c r="Y94" s="1523"/>
      <c r="Z94" s="1523"/>
      <c r="AA94" s="1998"/>
      <c r="AB94" s="927"/>
      <c r="AC94" s="927"/>
      <c r="AD94" s="927"/>
      <c r="AE94" s="927"/>
    </row>
    <row s="19269" customFormat="1" customHeight="1" ht="11.25">
      <c r="A95" s="1349"/>
      <c r="B95" s="2002"/>
      <c r="C95" s="2002"/>
      <c r="D95" s="712"/>
      <c r="K95" s="1523"/>
      <c r="L95" s="2002"/>
      <c r="M95" s="2002"/>
      <c r="N95" s="1523"/>
      <c r="O95" s="1523"/>
      <c r="P95" s="1523"/>
      <c r="Q95" s="1523"/>
      <c r="R95" s="2002"/>
      <c r="S95" s="1523"/>
      <c r="T95" s="1523"/>
      <c r="U95" s="905"/>
      <c r="V95" s="1523"/>
      <c r="W95" s="1523"/>
      <c r="X95" s="1523"/>
      <c r="Y95" s="1523"/>
      <c r="Z95" s="1523"/>
      <c r="AA95" s="1998"/>
      <c r="AB95" s="927"/>
      <c r="AC95" s="927"/>
      <c r="AD95" s="927"/>
      <c r="AE95" s="927"/>
    </row>
    <row s="19269" customFormat="1" customHeight="1" ht="11.25">
      <c r="A96" s="1349"/>
      <c r="B96" s="2002"/>
      <c r="C96" s="2002"/>
      <c r="D96" s="712"/>
      <c r="K96" s="1523"/>
      <c r="L96" s="2002"/>
      <c r="M96" s="2002"/>
      <c r="N96" s="1523"/>
      <c r="O96" s="1523"/>
      <c r="P96" s="1523"/>
      <c r="Q96" s="1523"/>
      <c r="R96" s="2002"/>
      <c r="S96" s="1523"/>
      <c r="T96" s="1523"/>
      <c r="U96" s="905"/>
      <c r="V96" s="1523"/>
      <c r="W96" s="1523"/>
      <c r="X96" s="1523"/>
      <c r="Y96" s="1523"/>
      <c r="Z96" s="1523"/>
      <c r="AA96" s="1998"/>
      <c r="AB96" s="927"/>
      <c r="AC96" s="927"/>
      <c r="AD96" s="927"/>
      <c r="AE96" s="927"/>
    </row>
    <row s="19269" customFormat="1" customHeight="1" ht="11.25">
      <c r="A97" s="1349"/>
      <c r="B97" s="2002"/>
      <c r="C97" s="2002"/>
      <c r="D97" s="712"/>
      <c r="K97" s="1523"/>
      <c r="L97" s="2002"/>
      <c r="M97" s="2002"/>
      <c r="N97" s="1523"/>
      <c r="O97" s="1523"/>
      <c r="P97" s="1523"/>
      <c r="Q97" s="1523"/>
      <c r="R97" s="2002"/>
      <c r="S97" s="1523"/>
      <c r="T97" s="1523"/>
      <c r="U97" s="905"/>
      <c r="V97" s="1523"/>
      <c r="W97" s="1523"/>
      <c r="X97" s="1523"/>
      <c r="Y97" s="1523"/>
      <c r="Z97" s="1523"/>
      <c r="AA97" s="1998"/>
      <c r="AB97" s="927"/>
      <c r="AC97" s="927"/>
      <c r="AD97" s="927"/>
      <c r="AE97" s="927"/>
    </row>
    <row s="19269" customFormat="1" customHeight="1" ht="11.25">
      <c r="A98" s="1349"/>
      <c r="B98" s="2002"/>
      <c r="C98" s="2002"/>
      <c r="D98" s="712"/>
      <c r="K98" s="1523"/>
      <c r="L98" s="2002"/>
      <c r="M98" s="2002"/>
      <c r="N98" s="1523"/>
      <c r="O98" s="1523"/>
      <c r="P98" s="1523"/>
      <c r="Q98" s="1523"/>
      <c r="R98" s="2002"/>
      <c r="S98" s="1523"/>
      <c r="T98" s="1523"/>
      <c r="U98" s="905"/>
      <c r="V98" s="1523"/>
      <c r="W98" s="1523"/>
      <c r="X98" s="1523"/>
      <c r="Y98" s="1523"/>
      <c r="Z98" s="1523"/>
      <c r="AA98" s="1998"/>
      <c r="AB98" s="927"/>
      <c r="AC98" s="927"/>
      <c r="AD98" s="927"/>
      <c r="AE98" s="927"/>
    </row>
    <row s="19269" customFormat="1" customHeight="1" ht="11.25">
      <c r="A99" s="1349"/>
      <c r="B99" s="2002"/>
      <c r="C99" s="2002"/>
      <c r="D99" s="712"/>
      <c r="K99" s="1523"/>
      <c r="L99" s="2002"/>
      <c r="M99" s="2002"/>
      <c r="N99" s="1523"/>
      <c r="O99" s="1523"/>
      <c r="P99" s="1523"/>
      <c r="Q99" s="1523"/>
      <c r="R99" s="2002"/>
      <c r="S99" s="1523"/>
      <c r="T99" s="1523"/>
      <c r="U99" s="905"/>
      <c r="V99" s="1523"/>
      <c r="W99" s="1523"/>
      <c r="X99" s="1523"/>
      <c r="Y99" s="1523"/>
      <c r="Z99" s="1523"/>
      <c r="AA99" s="1998"/>
      <c r="AB99" s="927"/>
      <c r="AC99" s="927"/>
      <c r="AD99" s="927"/>
      <c r="AE99" s="927"/>
    </row>
    <row s="19269" customFormat="1" customHeight="1" ht="11.25">
      <c r="A100" s="1349"/>
      <c r="B100" s="2002"/>
      <c r="C100" s="2002"/>
      <c r="D100" s="712"/>
      <c r="K100" s="1523"/>
      <c r="L100" s="2002"/>
      <c r="M100" s="2002"/>
      <c r="N100" s="1523"/>
      <c r="O100" s="1523"/>
      <c r="P100" s="1523"/>
      <c r="Q100" s="1523"/>
      <c r="R100" s="2002"/>
      <c r="S100" s="1523"/>
      <c r="T100" s="1523"/>
      <c r="U100" s="905"/>
      <c r="V100" s="1523"/>
      <c r="W100" s="1523"/>
      <c r="X100" s="1523"/>
      <c r="Y100" s="1523"/>
      <c r="Z100" s="1523"/>
      <c r="AA100" s="1998"/>
      <c r="AB100" s="927"/>
      <c r="AC100" s="927"/>
      <c r="AD100" s="927"/>
      <c r="AE100" s="927"/>
    </row>
    <row s="19269" customFormat="1" customHeight="1" ht="11.25">
      <c r="A101" s="1349"/>
      <c r="B101" s="2002"/>
      <c r="C101" s="2002"/>
      <c r="D101" s="712"/>
      <c r="K101" s="1523"/>
      <c r="L101" s="2002"/>
      <c r="M101" s="2002"/>
      <c r="N101" s="1523"/>
      <c r="O101" s="1523"/>
      <c r="P101" s="1523"/>
      <c r="Q101" s="1523"/>
      <c r="R101" s="2002"/>
      <c r="S101" s="1523"/>
      <c r="T101" s="1523"/>
      <c r="U101" s="905"/>
      <c r="V101" s="1523"/>
      <c r="W101" s="1523"/>
      <c r="X101" s="1523"/>
      <c r="Y101" s="1523"/>
      <c r="Z101" s="1523"/>
      <c r="AA101" s="1998"/>
      <c r="AB101" s="927"/>
      <c r="AC101" s="927"/>
      <c r="AD101" s="927"/>
      <c r="AE101" s="927"/>
    </row>
    <row s="19269" customFormat="1" customHeight="1" ht="11.25">
      <c r="A102" s="1349"/>
      <c r="B102" s="2002"/>
      <c r="C102" s="2002"/>
      <c r="D102" s="712"/>
      <c r="K102" s="1523"/>
      <c r="L102" s="2002"/>
      <c r="M102" s="2002"/>
      <c r="N102" s="1523"/>
      <c r="O102" s="1523"/>
      <c r="P102" s="1523"/>
      <c r="Q102" s="1523"/>
      <c r="R102" s="2002"/>
      <c r="S102" s="1523"/>
      <c r="T102" s="1523"/>
      <c r="U102" s="905"/>
      <c r="V102" s="1523"/>
      <c r="W102" s="1523"/>
      <c r="X102" s="1523"/>
      <c r="Y102" s="1523"/>
      <c r="Z102" s="1523"/>
      <c r="AA102" s="1998"/>
      <c r="AB102" s="927"/>
      <c r="AC102" s="927"/>
      <c r="AD102" s="927"/>
      <c r="AE102" s="927"/>
    </row>
    <row s="19269" customFormat="1" customHeight="1" ht="11.25">
      <c r="A103" s="1349"/>
      <c r="B103" s="2002"/>
      <c r="C103" s="2002"/>
      <c r="D103" s="712"/>
      <c r="K103" s="1523"/>
      <c r="L103" s="2002"/>
      <c r="M103" s="2002"/>
      <c r="N103" s="1523"/>
      <c r="O103" s="1523"/>
      <c r="P103" s="1523"/>
      <c r="Q103" s="1523"/>
      <c r="R103" s="2002"/>
      <c r="S103" s="1523"/>
      <c r="T103" s="1523"/>
      <c r="U103" s="905"/>
      <c r="V103" s="1523"/>
      <c r="W103" s="1523"/>
      <c r="X103" s="1523"/>
      <c r="Y103" s="1523"/>
      <c r="Z103" s="1523"/>
      <c r="AA103" s="1998"/>
      <c r="AB103" s="927"/>
      <c r="AC103" s="927"/>
      <c r="AD103" s="927"/>
      <c r="AE103" s="927"/>
    </row>
    <row s="19269" customFormat="1" customHeight="1" ht="11.25">
      <c r="A104" s="1349"/>
      <c r="B104" s="2002"/>
      <c r="C104" s="2002"/>
      <c r="D104" s="712"/>
      <c r="K104" s="1523"/>
      <c r="L104" s="2002"/>
      <c r="M104" s="2002"/>
      <c r="N104" s="1523"/>
      <c r="O104" s="1523"/>
      <c r="P104" s="1523"/>
      <c r="Q104" s="1523"/>
      <c r="R104" s="2002"/>
      <c r="S104" s="1523"/>
      <c r="T104" s="1523"/>
      <c r="U104" s="905"/>
      <c r="V104" s="1523"/>
      <c r="W104" s="1523"/>
      <c r="X104" s="1523"/>
      <c r="Y104" s="1523"/>
      <c r="Z104" s="1523"/>
      <c r="AA104" s="1998"/>
      <c r="AB104" s="927"/>
      <c r="AC104" s="927"/>
      <c r="AD104" s="927"/>
      <c r="AE104" s="927"/>
    </row>
    <row s="19269" customFormat="1" customHeight="1" ht="11.25">
      <c r="A105" s="1349"/>
      <c r="B105" s="2002"/>
      <c r="C105" s="2002"/>
      <c r="D105" s="712"/>
      <c r="K105" s="1523"/>
      <c r="L105" s="2002"/>
      <c r="M105" s="2002"/>
      <c r="N105" s="1523"/>
      <c r="O105" s="1523"/>
      <c r="P105" s="1523"/>
      <c r="Q105" s="1523"/>
      <c r="R105" s="2002"/>
      <c r="S105" s="1523"/>
      <c r="T105" s="1523"/>
      <c r="U105" s="905"/>
      <c r="V105" s="1523"/>
      <c r="W105" s="1523"/>
      <c r="X105" s="1523"/>
      <c r="Y105" s="1523"/>
      <c r="Z105" s="1523"/>
      <c r="AA105" s="1998"/>
      <c r="AB105" s="927"/>
      <c r="AC105" s="927"/>
      <c r="AD105" s="927"/>
      <c r="AE105" s="927"/>
    </row>
    <row s="19269" customFormat="1" customHeight="1" ht="11.25">
      <c r="A106" s="1349"/>
      <c r="B106" s="2002"/>
      <c r="C106" s="2002"/>
      <c r="D106" s="712"/>
      <c r="K106" s="1523"/>
      <c r="L106" s="2002"/>
      <c r="M106" s="2002"/>
      <c r="N106" s="1523"/>
      <c r="O106" s="1523"/>
      <c r="P106" s="1523"/>
      <c r="Q106" s="1523"/>
      <c r="R106" s="2002"/>
      <c r="S106" s="1523"/>
      <c r="T106" s="1523"/>
      <c r="U106" s="905"/>
      <c r="V106" s="1523"/>
      <c r="W106" s="1523"/>
      <c r="X106" s="1523"/>
      <c r="Y106" s="1523"/>
      <c r="Z106" s="1523"/>
      <c r="AA106" s="1998"/>
      <c r="AB106" s="927"/>
      <c r="AC106" s="927"/>
      <c r="AD106" s="927"/>
      <c r="AE106" s="927"/>
    </row>
    <row s="19269" customFormat="1" customHeight="1" ht="11.25">
      <c r="A107" s="1349"/>
      <c r="B107" s="2002"/>
      <c r="C107" s="2002"/>
      <c r="D107" s="712"/>
      <c r="K107" s="1523"/>
      <c r="L107" s="2002"/>
      <c r="M107" s="2002"/>
      <c r="N107" s="1523"/>
      <c r="O107" s="1523"/>
      <c r="P107" s="1523"/>
      <c r="Q107" s="1523"/>
      <c r="R107" s="2002"/>
      <c r="S107" s="1523"/>
      <c r="T107" s="1523"/>
      <c r="U107" s="905"/>
      <c r="V107" s="1523"/>
      <c r="W107" s="1523"/>
      <c r="X107" s="1523"/>
      <c r="Y107" s="1523"/>
      <c r="Z107" s="1523"/>
      <c r="AA107" s="1998"/>
      <c r="AB107" s="927"/>
      <c r="AC107" s="927"/>
      <c r="AD107" s="927"/>
      <c r="AE107" s="927"/>
    </row>
    <row s="19269" customFormat="1" customHeight="1" ht="11.25">
      <c r="A108" s="1349"/>
      <c r="B108" s="2002"/>
      <c r="C108" s="2002"/>
      <c r="D108" s="712"/>
      <c r="K108" s="1523"/>
      <c r="L108" s="2002"/>
      <c r="M108" s="2002"/>
      <c r="N108" s="1523"/>
      <c r="O108" s="1523"/>
      <c r="P108" s="1523"/>
      <c r="Q108" s="1523"/>
      <c r="R108" s="2002"/>
      <c r="S108" s="1523"/>
      <c r="T108" s="1523"/>
      <c r="U108" s="905"/>
      <c r="V108" s="1523"/>
      <c r="W108" s="1523"/>
      <c r="X108" s="1523"/>
      <c r="Y108" s="1523"/>
      <c r="Z108" s="1523"/>
      <c r="AA108" s="1998"/>
      <c r="AB108" s="927"/>
      <c r="AC108" s="927"/>
      <c r="AD108" s="927"/>
      <c r="AE108" s="927"/>
    </row>
    <row s="19269" customFormat="1" customHeight="1" ht="11.25">
      <c r="A109" s="1349"/>
      <c r="B109" s="2002"/>
      <c r="C109" s="2002"/>
      <c r="D109" s="712"/>
      <c r="K109" s="1523"/>
      <c r="L109" s="2002"/>
      <c r="M109" s="2002"/>
      <c r="N109" s="1523"/>
      <c r="O109" s="1523"/>
      <c r="P109" s="1523"/>
      <c r="Q109" s="1523"/>
      <c r="R109" s="2002"/>
      <c r="S109" s="1523"/>
      <c r="T109" s="1523"/>
      <c r="U109" s="905"/>
      <c r="V109" s="1523"/>
      <c r="W109" s="1523"/>
      <c r="X109" s="1523"/>
      <c r="Y109" s="1523"/>
      <c r="Z109" s="1523"/>
      <c r="AA109" s="1998"/>
      <c r="AB109" s="927"/>
      <c r="AC109" s="927"/>
      <c r="AD109" s="927"/>
      <c r="AE109" s="927"/>
    </row>
    <row s="19269" customFormat="1" customHeight="1" ht="11.25">
      <c r="A110" s="1349"/>
      <c r="B110" s="2002"/>
      <c r="C110" s="2002"/>
      <c r="D110" s="712"/>
      <c r="K110" s="1523"/>
      <c r="L110" s="2002"/>
      <c r="M110" s="2002"/>
      <c r="N110" s="1523"/>
      <c r="O110" s="1523"/>
      <c r="P110" s="1523"/>
      <c r="Q110" s="1523"/>
      <c r="R110" s="2002"/>
      <c r="S110" s="1523"/>
      <c r="T110" s="1523"/>
      <c r="U110" s="905"/>
      <c r="V110" s="1523"/>
      <c r="W110" s="1523"/>
      <c r="X110" s="1523"/>
      <c r="Y110" s="1523"/>
      <c r="Z110" s="1523"/>
      <c r="AA110" s="1998"/>
      <c r="AB110" s="927"/>
      <c r="AC110" s="927"/>
      <c r="AD110" s="927"/>
      <c r="AE110" s="927"/>
    </row>
    <row s="19269" customFormat="1" customHeight="1" ht="11.25">
      <c r="A111" s="1349"/>
      <c r="B111" s="2002"/>
      <c r="C111" s="2002"/>
      <c r="D111" s="712"/>
      <c r="K111" s="1523"/>
      <c r="L111" s="2002"/>
      <c r="M111" s="2002"/>
      <c r="N111" s="1523"/>
      <c r="O111" s="1523"/>
      <c r="P111" s="1523"/>
      <c r="Q111" s="1523"/>
      <c r="R111" s="2002"/>
      <c r="S111" s="1523"/>
      <c r="T111" s="1523"/>
      <c r="U111" s="905"/>
      <c r="V111" s="1523"/>
      <c r="W111" s="1523"/>
      <c r="X111" s="1523"/>
      <c r="Y111" s="1523"/>
      <c r="Z111" s="1523"/>
      <c r="AA111" s="1998"/>
      <c r="AB111" s="927"/>
      <c r="AC111" s="927"/>
      <c r="AD111" s="927"/>
      <c r="AE111" s="927"/>
    </row>
    <row s="19269" customFormat="1" customHeight="1" ht="11.25">
      <c r="A112" s="1349"/>
      <c r="B112" s="2002"/>
      <c r="C112" s="2002"/>
      <c r="D112" s="712"/>
      <c r="K112" s="1523"/>
      <c r="L112" s="2002"/>
      <c r="M112" s="2002"/>
      <c r="N112" s="1523"/>
      <c r="O112" s="1523"/>
      <c r="P112" s="1523"/>
      <c r="Q112" s="1523"/>
      <c r="R112" s="2002"/>
      <c r="S112" s="1523"/>
      <c r="T112" s="1523"/>
      <c r="U112" s="905"/>
      <c r="V112" s="1523"/>
      <c r="W112" s="1523"/>
      <c r="X112" s="1523"/>
      <c r="Y112" s="1523"/>
      <c r="Z112" s="1523"/>
      <c r="AA112" s="1998"/>
      <c r="AB112" s="927"/>
      <c r="AC112" s="927"/>
      <c r="AD112" s="927"/>
      <c r="AE112" s="927"/>
    </row>
    <row s="19269" customFormat="1" customHeight="1" ht="11.25">
      <c r="A113" s="1349"/>
      <c r="B113" s="2002"/>
      <c r="C113" s="2002"/>
      <c r="D113" s="712"/>
      <c r="K113" s="1523"/>
      <c r="L113" s="2002"/>
      <c r="M113" s="2002"/>
      <c r="N113" s="1523"/>
      <c r="O113" s="1523"/>
      <c r="P113" s="1523"/>
      <c r="Q113" s="1523"/>
      <c r="R113" s="2002"/>
      <c r="S113" s="1523"/>
      <c r="T113" s="1523"/>
      <c r="U113" s="905"/>
      <c r="V113" s="1523"/>
      <c r="W113" s="1523"/>
      <c r="X113" s="1523"/>
      <c r="Y113" s="1523"/>
      <c r="Z113" s="1523"/>
      <c r="AA113" s="1998"/>
      <c r="AB113" s="927"/>
      <c r="AC113" s="927"/>
      <c r="AD113" s="927"/>
      <c r="AE113" s="927"/>
    </row>
    <row s="19269" customFormat="1" customHeight="1" ht="11.25">
      <c r="A114" s="1349"/>
      <c r="B114" s="2002"/>
      <c r="C114" s="2002"/>
      <c r="D114" s="712"/>
      <c r="K114" s="1523"/>
      <c r="L114" s="2002"/>
      <c r="M114" s="2002"/>
      <c r="N114" s="1523"/>
      <c r="O114" s="1523"/>
      <c r="P114" s="1523"/>
      <c r="Q114" s="1523"/>
      <c r="R114" s="2002"/>
      <c r="S114" s="1523"/>
      <c r="T114" s="1523"/>
      <c r="U114" s="905"/>
      <c r="V114" s="1523"/>
      <c r="W114" s="1523"/>
      <c r="X114" s="1523"/>
      <c r="Y114" s="1523"/>
      <c r="Z114" s="1523"/>
      <c r="AA114" s="1998"/>
      <c r="AB114" s="927"/>
      <c r="AC114" s="927"/>
      <c r="AD114" s="927"/>
      <c r="AE114" s="927"/>
    </row>
    <row s="19269" customFormat="1" customHeight="1" ht="11.25">
      <c r="A115" s="1349"/>
      <c r="B115" s="2002"/>
      <c r="C115" s="2002"/>
      <c r="D115" s="712"/>
      <c r="K115" s="1523"/>
      <c r="L115" s="2002"/>
      <c r="M115" s="2002"/>
      <c r="N115" s="1523"/>
      <c r="O115" s="1523"/>
      <c r="P115" s="1523"/>
      <c r="Q115" s="1523"/>
      <c r="R115" s="2002"/>
      <c r="S115" s="1523"/>
      <c r="T115" s="1523"/>
      <c r="U115" s="905"/>
      <c r="V115" s="1523"/>
      <c r="W115" s="1523"/>
      <c r="X115" s="1523"/>
      <c r="Y115" s="1523"/>
      <c r="Z115" s="1523"/>
      <c r="AA115" s="1998"/>
      <c r="AB115" s="927"/>
      <c r="AC115" s="927"/>
      <c r="AD115" s="927"/>
      <c r="AE115" s="927"/>
    </row>
    <row s="19269" customFormat="1" customHeight="1" ht="11.25">
      <c r="A116" s="1349"/>
      <c r="B116" s="2002"/>
      <c r="C116" s="2002"/>
      <c r="D116" s="712"/>
      <c r="K116" s="1523"/>
      <c r="L116" s="2002"/>
      <c r="M116" s="2002"/>
      <c r="N116" s="1523"/>
      <c r="O116" s="1523"/>
      <c r="P116" s="1523"/>
      <c r="Q116" s="1523"/>
      <c r="R116" s="2002"/>
      <c r="S116" s="1523"/>
      <c r="T116" s="1523"/>
      <c r="U116" s="905"/>
      <c r="V116" s="1523"/>
      <c r="W116" s="1523"/>
      <c r="X116" s="1523"/>
      <c r="Y116" s="1523"/>
      <c r="Z116" s="1523"/>
      <c r="AA116" s="1998"/>
      <c r="AB116" s="927"/>
      <c r="AC116" s="927"/>
      <c r="AD116" s="927"/>
      <c r="AE116" s="927"/>
    </row>
    <row s="19269" customFormat="1" customHeight="1" ht="11.25">
      <c r="A117" s="1349"/>
      <c r="B117" s="2002"/>
      <c r="C117" s="2002"/>
      <c r="D117" s="712"/>
      <c r="K117" s="1523"/>
      <c r="L117" s="2002"/>
      <c r="M117" s="2002"/>
      <c r="N117" s="1523"/>
      <c r="O117" s="1523"/>
      <c r="P117" s="1523"/>
      <c r="Q117" s="1523"/>
      <c r="R117" s="2002"/>
      <c r="S117" s="1523"/>
      <c r="T117" s="1523"/>
      <c r="U117" s="905"/>
      <c r="V117" s="1523"/>
      <c r="W117" s="1523"/>
      <c r="X117" s="1523"/>
      <c r="Y117" s="1523"/>
      <c r="Z117" s="1523"/>
      <c r="AA117" s="1998"/>
      <c r="AB117" s="927"/>
      <c r="AC117" s="927"/>
      <c r="AD117" s="927"/>
      <c r="AE117" s="927"/>
    </row>
    <row s="19269" customFormat="1" customHeight="1" ht="11.25">
      <c r="A118" s="1349"/>
      <c r="B118" s="2002"/>
      <c r="C118" s="2002"/>
      <c r="D118" s="712"/>
      <c r="K118" s="1523"/>
      <c r="L118" s="2002"/>
      <c r="M118" s="2002"/>
      <c r="N118" s="1523"/>
      <c r="O118" s="1523"/>
      <c r="P118" s="1523"/>
      <c r="Q118" s="1523"/>
      <c r="R118" s="2002"/>
      <c r="S118" s="1523"/>
      <c r="T118" s="1523"/>
      <c r="U118" s="905"/>
      <c r="V118" s="1523"/>
      <c r="W118" s="1523"/>
      <c r="X118" s="1523"/>
      <c r="Y118" s="1523"/>
      <c r="Z118" s="1523"/>
      <c r="AA118" s="1998"/>
      <c r="AB118" s="927"/>
      <c r="AC118" s="927"/>
      <c r="AD118" s="927"/>
      <c r="AE118" s="927"/>
    </row>
    <row s="19269" customFormat="1" customHeight="1" ht="11.25">
      <c r="A119" s="1349"/>
      <c r="B119" s="2002"/>
      <c r="C119" s="2002"/>
      <c r="D119" s="712"/>
      <c r="K119" s="1523"/>
      <c r="L119" s="2002"/>
      <c r="M119" s="2002"/>
      <c r="N119" s="1523"/>
      <c r="O119" s="1523"/>
      <c r="P119" s="1523"/>
      <c r="Q119" s="1523"/>
      <c r="R119" s="2002"/>
      <c r="S119" s="1523"/>
      <c r="T119" s="1523"/>
      <c r="U119" s="905"/>
      <c r="V119" s="1523"/>
      <c r="W119" s="1523"/>
      <c r="X119" s="1523"/>
      <c r="Y119" s="1523"/>
      <c r="Z119" s="1523"/>
      <c r="AA119" s="1998"/>
      <c r="AB119" s="927"/>
      <c r="AC119" s="927"/>
      <c r="AD119" s="927"/>
      <c r="AE119" s="927"/>
    </row>
    <row s="19269" customFormat="1" customHeight="1" ht="11.25">
      <c r="A120" s="1349"/>
      <c r="B120" s="2002"/>
      <c r="C120" s="2002"/>
      <c r="D120" s="712"/>
      <c r="K120" s="1523"/>
      <c r="L120" s="2002"/>
      <c r="M120" s="2002"/>
      <c r="N120" s="1523"/>
      <c r="O120" s="1523"/>
      <c r="P120" s="1523"/>
      <c r="Q120" s="1523"/>
      <c r="R120" s="2002"/>
      <c r="S120" s="1523"/>
      <c r="T120" s="1523"/>
      <c r="U120" s="905"/>
      <c r="V120" s="1523"/>
      <c r="W120" s="1523"/>
      <c r="X120" s="1523"/>
      <c r="Y120" s="1523"/>
      <c r="Z120" s="1523"/>
      <c r="AA120" s="1998"/>
      <c r="AB120" s="927"/>
      <c r="AC120" s="927"/>
      <c r="AD120" s="927"/>
      <c r="AE120" s="927"/>
    </row>
    <row s="19269" customFormat="1" customHeight="1" ht="11.25">
      <c r="A121" s="1349"/>
      <c r="B121" s="2002"/>
      <c r="C121" s="2002"/>
      <c r="D121" s="712"/>
      <c r="K121" s="1523"/>
      <c r="L121" s="2002"/>
      <c r="M121" s="2002"/>
      <c r="N121" s="1523"/>
      <c r="O121" s="1523"/>
      <c r="P121" s="1523"/>
      <c r="Q121" s="1523"/>
      <c r="R121" s="2002"/>
      <c r="S121" s="1523"/>
      <c r="T121" s="1523"/>
      <c r="U121" s="905"/>
      <c r="V121" s="1523"/>
      <c r="W121" s="1523"/>
      <c r="X121" s="1523"/>
      <c r="Y121" s="1523"/>
      <c r="Z121" s="1523"/>
      <c r="AA121" s="1998"/>
      <c r="AB121" s="927"/>
      <c r="AC121" s="927"/>
      <c r="AD121" s="927"/>
      <c r="AE121" s="927"/>
    </row>
    <row s="19269" customFormat="1" customHeight="1" ht="11.25">
      <c r="A122" s="1349"/>
      <c r="B122" s="2002"/>
      <c r="C122" s="2002"/>
      <c r="D122" s="712"/>
      <c r="K122" s="1523"/>
      <c r="L122" s="2002"/>
      <c r="M122" s="2002"/>
      <c r="N122" s="1523"/>
      <c r="O122" s="1523"/>
      <c r="P122" s="1523"/>
      <c r="Q122" s="1523"/>
      <c r="R122" s="2002"/>
      <c r="S122" s="1523"/>
      <c r="T122" s="1523"/>
      <c r="U122" s="905"/>
      <c r="V122" s="1523"/>
      <c r="W122" s="1523"/>
      <c r="X122" s="1523"/>
      <c r="Y122" s="1523"/>
      <c r="Z122" s="1523"/>
      <c r="AA122" s="1998"/>
      <c r="AB122" s="927"/>
      <c r="AC122" s="927"/>
      <c r="AD122" s="927"/>
      <c r="AE122" s="927"/>
    </row>
    <row s="19269" customFormat="1" customHeight="1" ht="11.25">
      <c r="A123" s="1349"/>
      <c r="B123" s="2002"/>
      <c r="C123" s="2002"/>
      <c r="D123" s="712"/>
      <c r="K123" s="1523"/>
      <c r="L123" s="2002"/>
      <c r="M123" s="2002"/>
      <c r="N123" s="1523"/>
      <c r="O123" s="1523"/>
      <c r="P123" s="1523"/>
      <c r="Q123" s="1523"/>
      <c r="R123" s="2002"/>
      <c r="S123" s="1523"/>
      <c r="T123" s="1523"/>
      <c r="U123" s="905"/>
      <c r="V123" s="1523"/>
      <c r="W123" s="1523"/>
      <c r="X123" s="1523"/>
      <c r="Y123" s="1523"/>
      <c r="Z123" s="1523"/>
      <c r="AA123" s="1998"/>
      <c r="AB123" s="927"/>
      <c r="AC123" s="927"/>
      <c r="AD123" s="927"/>
      <c r="AE123" s="927"/>
    </row>
    <row s="19269" customFormat="1" customHeight="1" ht="11.25">
      <c r="A124" s="1349"/>
      <c r="B124" s="2002"/>
      <c r="C124" s="2002"/>
      <c r="D124" s="712"/>
      <c r="K124" s="1523"/>
      <c r="L124" s="2002"/>
      <c r="M124" s="2002"/>
      <c r="N124" s="1523"/>
      <c r="O124" s="1523"/>
      <c r="P124" s="1523"/>
      <c r="Q124" s="1523"/>
      <c r="R124" s="2002"/>
      <c r="S124" s="1523"/>
      <c r="T124" s="1523"/>
      <c r="U124" s="905"/>
      <c r="V124" s="1523"/>
      <c r="W124" s="1523"/>
      <c r="X124" s="1523"/>
      <c r="Y124" s="1523"/>
      <c r="Z124" s="1523"/>
      <c r="AA124" s="1998"/>
      <c r="AB124" s="927"/>
      <c r="AC124" s="927"/>
      <c r="AD124" s="927"/>
      <c r="AE124" s="927"/>
    </row>
    <row s="19269" customFormat="1" customHeight="1" ht="11.25">
      <c r="A125" s="1349"/>
      <c r="B125" s="2002"/>
      <c r="C125" s="2002"/>
      <c r="D125" s="712"/>
      <c r="K125" s="1523"/>
      <c r="L125" s="2002"/>
      <c r="M125" s="2002"/>
      <c r="N125" s="1523"/>
      <c r="O125" s="1523"/>
      <c r="P125" s="1523"/>
      <c r="Q125" s="1523"/>
      <c r="R125" s="2002"/>
      <c r="S125" s="1523"/>
      <c r="T125" s="1523"/>
      <c r="U125" s="905"/>
      <c r="V125" s="1523"/>
      <c r="W125" s="1523"/>
      <c r="X125" s="1523"/>
      <c r="Y125" s="1523"/>
      <c r="Z125" s="1523"/>
      <c r="AA125" s="1998"/>
      <c r="AB125" s="927"/>
      <c r="AC125" s="927"/>
      <c r="AD125" s="927"/>
      <c r="AE125" s="927"/>
    </row>
    <row s="19269" customFormat="1" customHeight="1" ht="11.25">
      <c r="A126" s="1349"/>
      <c r="B126" s="2002"/>
      <c r="C126" s="2002"/>
      <c r="D126" s="712"/>
      <c r="K126" s="1523"/>
      <c r="L126" s="2002"/>
      <c r="M126" s="2002"/>
      <c r="N126" s="1523"/>
      <c r="O126" s="1523"/>
      <c r="P126" s="1523"/>
      <c r="Q126" s="1523"/>
      <c r="R126" s="2002"/>
      <c r="S126" s="1523"/>
      <c r="T126" s="1523"/>
      <c r="U126" s="905"/>
      <c r="V126" s="1523"/>
      <c r="W126" s="1523"/>
      <c r="X126" s="1523"/>
      <c r="Y126" s="1523"/>
      <c r="Z126" s="1523"/>
      <c r="AA126" s="1998"/>
      <c r="AB126" s="927"/>
      <c r="AC126" s="927"/>
      <c r="AD126" s="927"/>
      <c r="AE126" s="927"/>
    </row>
    <row s="19269" customFormat="1" customHeight="1" ht="11.25">
      <c r="A127" s="1349"/>
      <c r="B127" s="2002"/>
      <c r="C127" s="2002"/>
      <c r="D127" s="712"/>
      <c r="K127" s="1523"/>
      <c r="L127" s="2002"/>
      <c r="M127" s="2002"/>
      <c r="N127" s="1523"/>
      <c r="O127" s="1523"/>
      <c r="P127" s="1523"/>
      <c r="Q127" s="1523"/>
      <c r="R127" s="2002"/>
      <c r="S127" s="1523"/>
      <c r="T127" s="1523"/>
      <c r="U127" s="905"/>
      <c r="V127" s="1523"/>
      <c r="W127" s="1523"/>
      <c r="X127" s="1523"/>
      <c r="Y127" s="1523"/>
      <c r="Z127" s="1523"/>
      <c r="AA127" s="1998"/>
      <c r="AB127" s="927"/>
      <c r="AC127" s="927"/>
      <c r="AD127" s="927"/>
      <c r="AE127" s="927"/>
    </row>
    <row s="19269" customFormat="1" customHeight="1" ht="11.25">
      <c r="A128" s="1349"/>
      <c r="B128" s="2002"/>
      <c r="C128" s="2002"/>
      <c r="D128" s="712"/>
      <c r="K128" s="1523"/>
      <c r="L128" s="2002"/>
      <c r="M128" s="2002"/>
      <c r="N128" s="1523"/>
      <c r="O128" s="1523"/>
      <c r="P128" s="1523"/>
      <c r="Q128" s="1523"/>
      <c r="R128" s="2002"/>
      <c r="S128" s="1523"/>
      <c r="T128" s="1523"/>
      <c r="U128" s="905"/>
      <c r="V128" s="1523"/>
      <c r="W128" s="1523"/>
      <c r="X128" s="1523"/>
      <c r="Y128" s="1523"/>
      <c r="Z128" s="1523"/>
      <c r="AA128" s="1998"/>
      <c r="AB128" s="927"/>
      <c r="AC128" s="927"/>
      <c r="AD128" s="927"/>
      <c r="AE128" s="927"/>
    </row>
    <row s="19269" customFormat="1" customHeight="1" ht="11.25">
      <c r="A129" s="1349"/>
      <c r="B129" s="2002"/>
      <c r="C129" s="2002"/>
      <c r="D129" s="712"/>
      <c r="K129" s="1523"/>
      <c r="L129" s="2002"/>
      <c r="M129" s="2002"/>
      <c r="N129" s="1523"/>
      <c r="O129" s="1523"/>
      <c r="P129" s="1523"/>
      <c r="Q129" s="1523"/>
      <c r="R129" s="2002"/>
      <c r="S129" s="1523"/>
      <c r="T129" s="1523"/>
      <c r="U129" s="905"/>
      <c r="V129" s="1523"/>
      <c r="W129" s="1523"/>
      <c r="X129" s="1523"/>
      <c r="Y129" s="1523"/>
      <c r="Z129" s="1523"/>
      <c r="AA129" s="1998"/>
      <c r="AB129" s="927"/>
      <c r="AC129" s="927"/>
      <c r="AD129" s="927"/>
      <c r="AE129" s="927"/>
    </row>
    <row s="19269" customFormat="1" customHeight="1" ht="11.25">
      <c r="A130" s="1349"/>
      <c r="B130" s="2002"/>
      <c r="C130" s="2002"/>
      <c r="D130" s="712"/>
      <c r="K130" s="1523"/>
      <c r="L130" s="2002"/>
      <c r="M130" s="2002"/>
      <c r="N130" s="1523"/>
      <c r="O130" s="1523"/>
      <c r="P130" s="1523"/>
      <c r="Q130" s="1523"/>
      <c r="R130" s="2002"/>
      <c r="S130" s="1523"/>
      <c r="T130" s="1523"/>
      <c r="U130" s="905"/>
      <c r="V130" s="1523"/>
      <c r="W130" s="1523"/>
      <c r="X130" s="1523"/>
      <c r="Y130" s="1523"/>
      <c r="Z130" s="1523"/>
      <c r="AA130" s="1998"/>
      <c r="AB130" s="927"/>
      <c r="AC130" s="927"/>
      <c r="AD130" s="927"/>
      <c r="AE130" s="927"/>
    </row>
    <row s="19269" customFormat="1" customHeight="1" ht="11.25">
      <c r="A131" s="1349"/>
      <c r="B131" s="2002"/>
      <c r="C131" s="2002"/>
      <c r="D131" s="712"/>
      <c r="K131" s="1523"/>
      <c r="L131" s="2002"/>
      <c r="M131" s="2002"/>
      <c r="N131" s="1523"/>
      <c r="O131" s="1523"/>
      <c r="P131" s="1523"/>
      <c r="Q131" s="1523"/>
      <c r="R131" s="2002"/>
      <c r="S131" s="1523"/>
      <c r="T131" s="1523"/>
      <c r="U131" s="905"/>
      <c r="V131" s="1523"/>
      <c r="W131" s="1523"/>
      <c r="X131" s="1523"/>
      <c r="Y131" s="1523"/>
      <c r="Z131" s="1523"/>
      <c r="AA131" s="1998"/>
      <c r="AB131" s="927"/>
      <c r="AC131" s="927"/>
      <c r="AD131" s="927"/>
      <c r="AE131" s="927"/>
    </row>
    <row s="19269" customFormat="1" customHeight="1" ht="11.25">
      <c r="A132" s="1349"/>
      <c r="B132" s="2002"/>
      <c r="C132" s="2002"/>
      <c r="D132" s="712"/>
      <c r="K132" s="1523"/>
      <c r="L132" s="2002"/>
      <c r="M132" s="2002"/>
      <c r="N132" s="1523"/>
      <c r="O132" s="1523"/>
      <c r="P132" s="1523"/>
      <c r="Q132" s="1523"/>
      <c r="R132" s="2002"/>
      <c r="S132" s="1523"/>
      <c r="T132" s="1523"/>
      <c r="U132" s="905"/>
      <c r="V132" s="1523"/>
      <c r="W132" s="1523"/>
      <c r="X132" s="1523"/>
      <c r="Y132" s="1523"/>
      <c r="Z132" s="1523"/>
      <c r="AA132" s="1998"/>
      <c r="AB132" s="927"/>
      <c r="AC132" s="927"/>
      <c r="AD132" s="927"/>
      <c r="AE132" s="927"/>
    </row>
    <row s="19269" customFormat="1" customHeight="1" ht="11.25">
      <c r="A133" s="1349"/>
      <c r="B133" s="2002"/>
      <c r="C133" s="2002"/>
      <c r="D133" s="712"/>
      <c r="K133" s="1523"/>
      <c r="L133" s="2002"/>
      <c r="M133" s="2002"/>
      <c r="N133" s="1523"/>
      <c r="O133" s="1523"/>
      <c r="P133" s="1523"/>
      <c r="Q133" s="1523"/>
      <c r="R133" s="2002"/>
      <c r="S133" s="1523"/>
      <c r="T133" s="1523"/>
      <c r="U133" s="905"/>
      <c r="V133" s="1523"/>
      <c r="W133" s="1523"/>
      <c r="X133" s="1523"/>
      <c r="Y133" s="1523"/>
      <c r="Z133" s="1523"/>
      <c r="AA133" s="1998"/>
      <c r="AB133" s="927"/>
      <c r="AC133" s="927"/>
      <c r="AD133" s="927"/>
      <c r="AE133" s="927"/>
    </row>
    <row s="19269" customFormat="1" customHeight="1" ht="11.25">
      <c r="A134" s="1349"/>
      <c r="B134" s="2002"/>
      <c r="C134" s="2002"/>
      <c r="D134" s="712"/>
      <c r="K134" s="1523"/>
      <c r="L134" s="2002"/>
      <c r="M134" s="2002"/>
      <c r="N134" s="1523"/>
      <c r="O134" s="1523"/>
      <c r="P134" s="1523"/>
      <c r="Q134" s="1523"/>
      <c r="R134" s="2002"/>
      <c r="S134" s="1523"/>
      <c r="T134" s="1523"/>
      <c r="U134" s="905"/>
      <c r="V134" s="1523"/>
      <c r="W134" s="1523"/>
      <c r="X134" s="1523"/>
      <c r="Y134" s="1523"/>
      <c r="Z134" s="1523"/>
      <c r="AA134" s="1998"/>
      <c r="AB134" s="927"/>
      <c r="AC134" s="927"/>
      <c r="AD134" s="927"/>
      <c r="AE134" s="927"/>
    </row>
    <row s="19269" customFormat="1" customHeight="1" ht="11.25">
      <c r="A135" s="1349"/>
      <c r="B135" s="2002"/>
      <c r="C135" s="2002"/>
      <c r="D135" s="712"/>
      <c r="K135" s="1523"/>
      <c r="L135" s="2002"/>
      <c r="M135" s="2002"/>
      <c r="N135" s="1523"/>
      <c r="O135" s="1523"/>
      <c r="P135" s="1523"/>
      <c r="Q135" s="1523"/>
      <c r="R135" s="2002"/>
      <c r="S135" s="1523"/>
      <c r="T135" s="1523"/>
      <c r="U135" s="905"/>
      <c r="V135" s="1523"/>
      <c r="W135" s="1523"/>
      <c r="X135" s="1523"/>
      <c r="Y135" s="1523"/>
      <c r="Z135" s="1523"/>
      <c r="AA135" s="1998"/>
      <c r="AB135" s="927"/>
      <c r="AC135" s="927"/>
      <c r="AD135" s="927"/>
      <c r="AE135" s="927"/>
    </row>
    <row s="19269" customFormat="1" customHeight="1" ht="11.25">
      <c r="A136" s="1349"/>
      <c r="B136" s="2002"/>
      <c r="C136" s="2002"/>
      <c r="D136" s="712"/>
      <c r="K136" s="1523"/>
      <c r="L136" s="2002"/>
      <c r="M136" s="2002"/>
      <c r="N136" s="1523"/>
      <c r="O136" s="1523"/>
      <c r="P136" s="1523"/>
      <c r="Q136" s="1523"/>
      <c r="R136" s="2002"/>
      <c r="S136" s="1523"/>
      <c r="T136" s="1523"/>
      <c r="U136" s="905"/>
      <c r="V136" s="1523"/>
      <c r="W136" s="1523"/>
      <c r="X136" s="1523"/>
      <c r="Y136" s="1523"/>
      <c r="Z136" s="1523"/>
      <c r="AA136" s="1998"/>
      <c r="AB136" s="927"/>
      <c r="AC136" s="927"/>
      <c r="AD136" s="927"/>
      <c r="AE136" s="927"/>
    </row>
    <row s="19269" customFormat="1" customHeight="1" ht="11.25">
      <c r="A137" s="1349"/>
      <c r="B137" s="2002"/>
      <c r="C137" s="2002"/>
      <c r="D137" s="712"/>
      <c r="K137" s="1523"/>
      <c r="L137" s="2002"/>
      <c r="M137" s="2002"/>
      <c r="N137" s="1523"/>
      <c r="O137" s="1523"/>
      <c r="P137" s="1523"/>
      <c r="Q137" s="1523"/>
      <c r="R137" s="2002"/>
      <c r="S137" s="1523"/>
      <c r="T137" s="1523"/>
      <c r="U137" s="905"/>
      <c r="V137" s="1523"/>
      <c r="W137" s="1523"/>
      <c r="X137" s="1523"/>
      <c r="Y137" s="1523"/>
      <c r="Z137" s="1523"/>
      <c r="AA137" s="1998"/>
      <c r="AB137" s="927"/>
      <c r="AC137" s="927"/>
      <c r="AD137" s="927"/>
      <c r="AE137" s="927"/>
    </row>
    <row s="19269" customFormat="1" customHeight="1" ht="11.25">
      <c r="A138" s="1349"/>
      <c r="B138" s="2002"/>
      <c r="C138" s="2002"/>
      <c r="D138" s="712"/>
      <c r="K138" s="1523"/>
      <c r="L138" s="2002"/>
      <c r="M138" s="2002"/>
      <c r="N138" s="1523"/>
      <c r="O138" s="1523"/>
      <c r="P138" s="1523"/>
      <c r="Q138" s="1523"/>
      <c r="R138" s="2002"/>
      <c r="S138" s="1523"/>
      <c r="T138" s="1523"/>
      <c r="U138" s="905"/>
      <c r="V138" s="1523"/>
      <c r="W138" s="1523"/>
      <c r="X138" s="1523"/>
      <c r="Y138" s="1523"/>
      <c r="Z138" s="1523"/>
      <c r="AA138" s="1998"/>
      <c r="AB138" s="927"/>
      <c r="AC138" s="927"/>
      <c r="AD138" s="927"/>
      <c r="AE138" s="927"/>
    </row>
    <row s="19269" customFormat="1" customHeight="1" ht="11.25">
      <c r="A139" s="1349"/>
      <c r="B139" s="2002"/>
      <c r="C139" s="2002"/>
      <c r="D139" s="712"/>
      <c r="K139" s="1523"/>
      <c r="L139" s="2002"/>
      <c r="M139" s="2002"/>
      <c r="N139" s="1523"/>
      <c r="O139" s="1523"/>
      <c r="P139" s="1523"/>
      <c r="Q139" s="1523"/>
      <c r="R139" s="2002"/>
      <c r="S139" s="1523"/>
      <c r="T139" s="1523"/>
      <c r="U139" s="905"/>
      <c r="V139" s="1523"/>
      <c r="W139" s="1523"/>
      <c r="X139" s="1523"/>
      <c r="Y139" s="1523"/>
      <c r="Z139" s="1523"/>
      <c r="AA139" s="1998"/>
      <c r="AB139" s="927"/>
      <c r="AC139" s="927"/>
      <c r="AD139" s="927"/>
      <c r="AE139" s="927"/>
    </row>
    <row s="19269" customFormat="1" customHeight="1" ht="11.25">
      <c r="A140" s="1349"/>
      <c r="B140" s="2002"/>
      <c r="C140" s="2002"/>
      <c r="D140" s="712"/>
      <c r="K140" s="1523"/>
      <c r="L140" s="2002"/>
      <c r="M140" s="2002"/>
      <c r="N140" s="1523"/>
      <c r="O140" s="1523"/>
      <c r="P140" s="1523"/>
      <c r="Q140" s="1523"/>
      <c r="R140" s="2002"/>
      <c r="S140" s="1523"/>
      <c r="T140" s="1523"/>
      <c r="U140" s="905"/>
      <c r="V140" s="1523"/>
      <c r="W140" s="1523"/>
      <c r="X140" s="1523"/>
      <c r="Y140" s="1523"/>
      <c r="Z140" s="1523"/>
      <c r="AA140" s="1998"/>
      <c r="AB140" s="927"/>
      <c r="AC140" s="927"/>
      <c r="AD140" s="927"/>
      <c r="AE140" s="927"/>
    </row>
    <row s="19269" customFormat="1" customHeight="1" ht="11.25">
      <c r="A141" s="1349"/>
      <c r="B141" s="2002"/>
      <c r="C141" s="2002"/>
      <c r="D141" s="712"/>
      <c r="K141" s="1523"/>
      <c r="L141" s="2002"/>
      <c r="M141" s="2002"/>
      <c r="N141" s="1523"/>
      <c r="O141" s="1523"/>
      <c r="P141" s="1523"/>
      <c r="Q141" s="1523"/>
      <c r="R141" s="2002"/>
      <c r="S141" s="1523"/>
      <c r="T141" s="1523"/>
      <c r="U141" s="905"/>
      <c r="V141" s="1523"/>
      <c r="W141" s="1523"/>
      <c r="X141" s="1523"/>
      <c r="Y141" s="1523"/>
      <c r="Z141" s="1523"/>
      <c r="AA141" s="1998"/>
      <c r="AB141" s="927"/>
      <c r="AC141" s="927"/>
      <c r="AD141" s="927"/>
      <c r="AE141" s="927"/>
    </row>
    <row s="19269" customFormat="1" customHeight="1" ht="11.25">
      <c r="A142" s="1349"/>
      <c r="B142" s="2002"/>
      <c r="C142" s="2002"/>
      <c r="D142" s="712"/>
      <c r="K142" s="1523"/>
      <c r="L142" s="2002"/>
      <c r="M142" s="2002"/>
      <c r="N142" s="1523"/>
      <c r="O142" s="1523"/>
      <c r="P142" s="1523"/>
      <c r="Q142" s="1523"/>
      <c r="R142" s="2002"/>
      <c r="S142" s="1523"/>
      <c r="T142" s="1523"/>
      <c r="U142" s="905"/>
      <c r="V142" s="1523"/>
      <c r="W142" s="1523"/>
      <c r="X142" s="1523"/>
      <c r="Y142" s="1523"/>
      <c r="Z142" s="1523"/>
      <c r="AA142" s="1998"/>
      <c r="AB142" s="927"/>
      <c r="AC142" s="927"/>
      <c r="AD142" s="927"/>
      <c r="AE142" s="927"/>
    </row>
    <row s="19269" customFormat="1" customHeight="1" ht="11.25">
      <c r="A143" s="1349"/>
      <c r="B143" s="2002"/>
      <c r="C143" s="2002"/>
      <c r="D143" s="712"/>
      <c r="K143" s="1523"/>
      <c r="L143" s="2002"/>
      <c r="M143" s="2002"/>
      <c r="N143" s="1523"/>
      <c r="O143" s="1523"/>
      <c r="P143" s="1523"/>
      <c r="Q143" s="1523"/>
      <c r="R143" s="2002"/>
      <c r="S143" s="1523"/>
      <c r="T143" s="1523"/>
      <c r="U143" s="905"/>
      <c r="V143" s="1523"/>
      <c r="W143" s="1523"/>
      <c r="X143" s="1523"/>
      <c r="Y143" s="1523"/>
      <c r="Z143" s="1523"/>
      <c r="AA143" s="1998"/>
      <c r="AB143" s="927"/>
      <c r="AC143" s="927"/>
      <c r="AD143" s="927"/>
      <c r="AE143" s="927"/>
    </row>
    <row s="19269" customFormat="1" customHeight="1" ht="11.25">
      <c r="A144" s="1349"/>
      <c r="B144" s="2002"/>
      <c r="C144" s="2002"/>
      <c r="D144" s="712"/>
      <c r="K144" s="1523"/>
      <c r="L144" s="2002"/>
      <c r="M144" s="2002"/>
      <c r="N144" s="1523"/>
      <c r="O144" s="1523"/>
      <c r="P144" s="1523"/>
      <c r="Q144" s="1523"/>
      <c r="R144" s="2002"/>
      <c r="S144" s="1523"/>
      <c r="T144" s="1523"/>
      <c r="U144" s="905"/>
      <c r="V144" s="1523"/>
      <c r="W144" s="1523"/>
      <c r="X144" s="1523"/>
      <c r="Y144" s="1523"/>
      <c r="Z144" s="1523"/>
      <c r="AA144" s="1998"/>
      <c r="AB144" s="927"/>
      <c r="AC144" s="927"/>
      <c r="AD144" s="927"/>
      <c r="AE144" s="927"/>
    </row>
    <row s="19269" customFormat="1" customHeight="1" ht="11.25">
      <c r="A145" s="1349"/>
      <c r="B145" s="2002"/>
      <c r="C145" s="2002"/>
      <c r="D145" s="712"/>
      <c r="K145" s="1523"/>
      <c r="L145" s="2002"/>
      <c r="M145" s="2002"/>
      <c r="N145" s="1523"/>
      <c r="O145" s="1523"/>
      <c r="P145" s="1523"/>
      <c r="Q145" s="1523"/>
      <c r="R145" s="2002"/>
      <c r="S145" s="1523"/>
      <c r="T145" s="1523"/>
      <c r="U145" s="905"/>
      <c r="V145" s="1523"/>
      <c r="W145" s="1523"/>
      <c r="X145" s="1523"/>
      <c r="Y145" s="1523"/>
      <c r="Z145" s="1523"/>
      <c r="AA145" s="1998"/>
      <c r="AB145" s="927"/>
      <c r="AC145" s="927"/>
      <c r="AD145" s="927"/>
      <c r="AE145" s="927"/>
    </row>
    <row s="19269" customFormat="1" customHeight="1" ht="11.25">
      <c r="A146" s="1349"/>
      <c r="B146" s="2002"/>
      <c r="C146" s="2002"/>
      <c r="D146" s="712"/>
      <c r="K146" s="1523"/>
      <c r="L146" s="2002"/>
      <c r="M146" s="2002"/>
      <c r="N146" s="1523"/>
      <c r="O146" s="1523"/>
      <c r="P146" s="1523"/>
      <c r="Q146" s="1523"/>
      <c r="R146" s="2002"/>
      <c r="S146" s="1523"/>
      <c r="T146" s="1523"/>
      <c r="U146" s="905"/>
      <c r="V146" s="1523"/>
      <c r="W146" s="1523"/>
      <c r="X146" s="1523"/>
      <c r="Y146" s="1523"/>
      <c r="Z146" s="1523"/>
      <c r="AA146" s="1998"/>
      <c r="AB146" s="927"/>
      <c r="AC146" s="927"/>
      <c r="AD146" s="927"/>
      <c r="AE146" s="927"/>
    </row>
    <row s="19269" customFormat="1" customHeight="1" ht="11.25">
      <c r="A147" s="1349"/>
      <c r="B147" s="2002"/>
      <c r="C147" s="2002"/>
      <c r="D147" s="712"/>
      <c r="K147" s="1523"/>
      <c r="L147" s="2002"/>
      <c r="M147" s="2002"/>
      <c r="N147" s="1523"/>
      <c r="O147" s="1523"/>
      <c r="P147" s="1523"/>
      <c r="Q147" s="1523"/>
      <c r="R147" s="2002"/>
      <c r="S147" s="1523"/>
      <c r="T147" s="1523"/>
      <c r="U147" s="905"/>
      <c r="V147" s="1523"/>
      <c r="W147" s="1523"/>
      <c r="X147" s="1523"/>
      <c r="Y147" s="1523"/>
      <c r="Z147" s="1523"/>
      <c r="AA147" s="1998"/>
      <c r="AB147" s="927"/>
      <c r="AC147" s="927"/>
      <c r="AD147" s="927"/>
      <c r="AE147" s="927"/>
    </row>
    <row s="19269" customFormat="1" customHeight="1" ht="11.25">
      <c r="A148" s="1349"/>
      <c r="B148" s="2002"/>
      <c r="C148" s="2002"/>
      <c r="D148" s="712"/>
      <c r="K148" s="1523"/>
      <c r="L148" s="2002"/>
      <c r="M148" s="2002"/>
      <c r="N148" s="1523"/>
      <c r="O148" s="1523"/>
      <c r="P148" s="1523"/>
      <c r="Q148" s="1523"/>
      <c r="R148" s="2002"/>
      <c r="S148" s="1523"/>
      <c r="T148" s="1523"/>
      <c r="U148" s="905"/>
      <c r="V148" s="1523"/>
      <c r="W148" s="1523"/>
      <c r="X148" s="1523"/>
      <c r="Y148" s="1523"/>
      <c r="Z148" s="1523"/>
      <c r="AA148" s="1998"/>
      <c r="AB148" s="927"/>
      <c r="AC148" s="927"/>
      <c r="AD148" s="927"/>
      <c r="AE148" s="927"/>
    </row>
    <row s="19269" customFormat="1" customHeight="1" ht="11.25">
      <c r="A149" s="1349"/>
      <c r="B149" s="2002"/>
      <c r="C149" s="2002"/>
      <c r="D149" s="712"/>
      <c r="K149" s="1523"/>
      <c r="L149" s="2002"/>
      <c r="M149" s="2002"/>
      <c r="N149" s="1523"/>
      <c r="O149" s="1523"/>
      <c r="P149" s="1523"/>
      <c r="Q149" s="1523"/>
      <c r="R149" s="2002"/>
      <c r="S149" s="1523"/>
      <c r="T149" s="1523"/>
      <c r="U149" s="905"/>
      <c r="V149" s="1523"/>
      <c r="W149" s="1523"/>
      <c r="X149" s="1523"/>
      <c r="Y149" s="1523"/>
      <c r="Z149" s="1523"/>
      <c r="AA149" s="1998"/>
      <c r="AB149" s="927"/>
      <c r="AC149" s="927"/>
      <c r="AD149" s="927"/>
      <c r="AE149" s="927"/>
    </row>
    <row s="19269" customFormat="1" customHeight="1" ht="11.25">
      <c r="A150" s="1349"/>
      <c r="B150" s="2002"/>
      <c r="C150" s="2002"/>
      <c r="D150" s="712"/>
      <c r="K150" s="1523"/>
      <c r="L150" s="2002"/>
      <c r="M150" s="2002"/>
      <c r="N150" s="1523"/>
      <c r="O150" s="1523"/>
      <c r="P150" s="1523"/>
      <c r="Q150" s="1523"/>
      <c r="R150" s="2002"/>
      <c r="S150" s="1523"/>
      <c r="T150" s="1523"/>
      <c r="U150" s="905"/>
      <c r="V150" s="1523"/>
      <c r="W150" s="1523"/>
      <c r="X150" s="1523"/>
      <c r="Y150" s="1523"/>
      <c r="Z150" s="1523"/>
      <c r="AA150" s="1998"/>
      <c r="AB150" s="927"/>
      <c r="AC150" s="927"/>
      <c r="AD150" s="927"/>
      <c r="AE150" s="927"/>
    </row>
    <row s="19269" customFormat="1" customHeight="1" ht="11.25">
      <c r="A151" s="1349"/>
      <c r="B151" s="2002"/>
      <c r="C151" s="2002"/>
      <c r="D151" s="712"/>
      <c r="K151" s="1523"/>
      <c r="L151" s="2002"/>
      <c r="M151" s="2002"/>
      <c r="N151" s="1523"/>
      <c r="O151" s="1523"/>
      <c r="P151" s="1523"/>
      <c r="Q151" s="1523"/>
      <c r="R151" s="2002"/>
      <c r="S151" s="1523"/>
      <c r="T151" s="1523"/>
      <c r="U151" s="905"/>
      <c r="V151" s="1523"/>
      <c r="W151" s="1523"/>
      <c r="X151" s="1523"/>
      <c r="Y151" s="1523"/>
      <c r="Z151" s="1523"/>
      <c r="AA151" s="1998"/>
      <c r="AB151" s="927"/>
      <c r="AC151" s="927"/>
      <c r="AD151" s="927"/>
      <c r="AE151" s="927"/>
    </row>
    <row s="19269" customFormat="1" customHeight="1" ht="11.25">
      <c r="A152" s="1349"/>
      <c r="B152" s="2002"/>
      <c r="C152" s="2002"/>
      <c r="D152" s="712"/>
      <c r="K152" s="1523"/>
      <c r="L152" s="2002"/>
      <c r="M152" s="2002"/>
      <c r="N152" s="1523"/>
      <c r="O152" s="1523"/>
      <c r="P152" s="1523"/>
      <c r="Q152" s="1523"/>
      <c r="R152" s="2002"/>
      <c r="S152" s="1523"/>
      <c r="T152" s="1523"/>
      <c r="U152" s="905"/>
      <c r="V152" s="1523"/>
      <c r="W152" s="1523"/>
      <c r="X152" s="1523"/>
      <c r="Y152" s="1523"/>
      <c r="Z152" s="1523"/>
      <c r="AA152" s="1998"/>
      <c r="AB152" s="927"/>
      <c r="AC152" s="927"/>
      <c r="AD152" s="927"/>
      <c r="AE152" s="927"/>
    </row>
    <row s="19269" customFormat="1" customHeight="1" ht="11.25">
      <c r="A153" s="1349"/>
      <c r="B153" s="2002"/>
      <c r="C153" s="2002"/>
      <c r="D153" s="712"/>
      <c r="K153" s="1523"/>
      <c r="L153" s="2002"/>
      <c r="M153" s="2002"/>
      <c r="N153" s="1523"/>
      <c r="O153" s="1523"/>
      <c r="P153" s="1523"/>
      <c r="Q153" s="1523"/>
      <c r="R153" s="2002"/>
      <c r="S153" s="1523"/>
      <c r="T153" s="1523"/>
      <c r="U153" s="905"/>
      <c r="V153" s="1523"/>
      <c r="W153" s="1523"/>
      <c r="X153" s="1523"/>
      <c r="Y153" s="1523"/>
      <c r="Z153" s="1523"/>
      <c r="AA153" s="1998"/>
      <c r="AB153" s="927"/>
      <c r="AC153" s="927"/>
      <c r="AD153" s="927"/>
      <c r="AE153" s="927"/>
    </row>
    <row s="19269" customFormat="1" customHeight="1" ht="11.25">
      <c r="A154" s="1349"/>
      <c r="B154" s="2002"/>
      <c r="C154" s="2002"/>
      <c r="D154" s="712"/>
      <c r="K154" s="1523"/>
      <c r="L154" s="2002"/>
      <c r="M154" s="2002"/>
      <c r="N154" s="1523"/>
      <c r="O154" s="1523"/>
      <c r="P154" s="1523"/>
      <c r="Q154" s="1523"/>
      <c r="R154" s="2002"/>
      <c r="S154" s="1523"/>
      <c r="T154" s="1523"/>
      <c r="U154" s="905"/>
      <c r="V154" s="1523"/>
      <c r="W154" s="1523"/>
      <c r="X154" s="1523"/>
      <c r="Y154" s="1523"/>
      <c r="Z154" s="1523"/>
      <c r="AA154" s="1998"/>
      <c r="AB154" s="927"/>
      <c r="AC154" s="927"/>
      <c r="AD154" s="927"/>
      <c r="AE154" s="927"/>
    </row>
    <row s="19269" customFormat="1" customHeight="1" ht="11.25">
      <c r="A155" s="1349"/>
      <c r="B155" s="2002"/>
      <c r="C155" s="2002"/>
      <c r="D155" s="712"/>
      <c r="K155" s="1523"/>
      <c r="L155" s="2002"/>
      <c r="M155" s="2002"/>
      <c r="N155" s="1523"/>
      <c r="O155" s="1523"/>
      <c r="P155" s="1523"/>
      <c r="Q155" s="1523"/>
      <c r="R155" s="2002"/>
      <c r="S155" s="1523"/>
      <c r="T155" s="1523"/>
      <c r="U155" s="905"/>
      <c r="V155" s="1523"/>
      <c r="W155" s="1523"/>
      <c r="X155" s="1523"/>
      <c r="Y155" s="1523"/>
      <c r="Z155" s="1523"/>
      <c r="AA155" s="1998"/>
      <c r="AB155" s="927"/>
      <c r="AC155" s="927"/>
      <c r="AD155" s="927"/>
      <c r="AE155" s="927"/>
    </row>
    <row s="19269" customFormat="1" customHeight="1" ht="11.25">
      <c r="A156" s="1349"/>
      <c r="B156" s="2002"/>
      <c r="C156" s="2002"/>
      <c r="D156" s="712"/>
      <c r="K156" s="1523"/>
      <c r="L156" s="2002"/>
      <c r="M156" s="2002"/>
      <c r="N156" s="1523"/>
      <c r="O156" s="1523"/>
      <c r="P156" s="1523"/>
      <c r="Q156" s="1523"/>
      <c r="R156" s="2002"/>
      <c r="S156" s="1523"/>
      <c r="T156" s="1523"/>
      <c r="U156" s="905"/>
      <c r="V156" s="1523"/>
      <c r="W156" s="1523"/>
      <c r="X156" s="1523"/>
      <c r="Y156" s="1523"/>
      <c r="Z156" s="1523"/>
      <c r="AA156" s="1998"/>
      <c r="AB156" s="927"/>
      <c r="AC156" s="927"/>
      <c r="AD156" s="927"/>
      <c r="AE156" s="927"/>
    </row>
    <row s="19269" customFormat="1" customHeight="1" ht="11.25">
      <c r="A157" s="1349"/>
      <c r="B157" s="2002"/>
      <c r="C157" s="2002"/>
      <c r="D157" s="712"/>
      <c r="K157" s="1523"/>
      <c r="L157" s="2002"/>
      <c r="M157" s="2002"/>
      <c r="N157" s="1523"/>
      <c r="O157" s="1523"/>
      <c r="P157" s="1523"/>
      <c r="Q157" s="1523"/>
      <c r="R157" s="2002"/>
      <c r="S157" s="1523"/>
      <c r="T157" s="1523"/>
      <c r="U157" s="905"/>
      <c r="V157" s="1523"/>
      <c r="W157" s="1523"/>
      <c r="X157" s="1523"/>
      <c r="Y157" s="1523"/>
      <c r="Z157" s="1523"/>
      <c r="AA157" s="1998"/>
      <c r="AB157" s="927"/>
      <c r="AC157" s="927"/>
      <c r="AD157" s="927"/>
      <c r="AE157" s="927"/>
    </row>
    <row s="19269" customFormat="1" customHeight="1" ht="11.25">
      <c r="A158" s="1349"/>
      <c r="B158" s="2002"/>
      <c r="C158" s="2002"/>
      <c r="D158" s="712"/>
      <c r="K158" s="1523"/>
      <c r="L158" s="2002"/>
      <c r="M158" s="2002"/>
      <c r="N158" s="1523"/>
      <c r="O158" s="1523"/>
      <c r="P158" s="1523"/>
      <c r="Q158" s="1523"/>
      <c r="R158" s="2002"/>
      <c r="S158" s="1523"/>
      <c r="T158" s="1523"/>
      <c r="U158" s="905"/>
      <c r="V158" s="1523"/>
      <c r="W158" s="1523"/>
      <c r="X158" s="1523"/>
      <c r="Y158" s="1523"/>
      <c r="Z158" s="1523"/>
      <c r="AA158" s="1998"/>
      <c r="AB158" s="927"/>
      <c r="AC158" s="927"/>
      <c r="AD158" s="927"/>
      <c r="AE158" s="927"/>
    </row>
    <row s="19269" customFormat="1" customHeight="1" ht="11.25">
      <c r="A159" s="1349"/>
      <c r="B159" s="2002"/>
      <c r="C159" s="2002"/>
      <c r="D159" s="712"/>
      <c r="K159" s="1523"/>
      <c r="L159" s="2002"/>
      <c r="M159" s="2002"/>
      <c r="N159" s="1523"/>
      <c r="O159" s="1523"/>
      <c r="P159" s="1523"/>
      <c r="Q159" s="1523"/>
      <c r="R159" s="2002"/>
      <c r="S159" s="1523"/>
      <c r="T159" s="1523"/>
      <c r="U159" s="905"/>
      <c r="V159" s="1523"/>
      <c r="W159" s="1523"/>
      <c r="X159" s="1523"/>
      <c r="Y159" s="1523"/>
      <c r="Z159" s="1523"/>
      <c r="AA159" s="1998"/>
      <c r="AB159" s="927"/>
      <c r="AC159" s="927"/>
      <c r="AD159" s="927"/>
      <c r="AE159" s="927"/>
    </row>
    <row s="19269" customFormat="1" customHeight="1" ht="11.25">
      <c r="A160" s="1349"/>
      <c r="B160" s="2002"/>
      <c r="C160" s="2002"/>
      <c r="D160" s="712"/>
      <c r="K160" s="1523"/>
      <c r="L160" s="2002"/>
      <c r="M160" s="2002"/>
      <c r="N160" s="1523"/>
      <c r="O160" s="1523"/>
      <c r="P160" s="1523"/>
      <c r="Q160" s="1523"/>
      <c r="R160" s="2002"/>
      <c r="S160" s="1523"/>
      <c r="T160" s="1523"/>
      <c r="U160" s="905"/>
      <c r="V160" s="1523"/>
      <c r="W160" s="1523"/>
      <c r="X160" s="1523"/>
      <c r="Y160" s="1523"/>
      <c r="Z160" s="1523"/>
      <c r="AA160" s="1998"/>
      <c r="AB160" s="927"/>
      <c r="AC160" s="927"/>
      <c r="AD160" s="927"/>
      <c r="AE160" s="927"/>
    </row>
    <row s="19269" customFormat="1" customHeight="1" ht="11.25">
      <c r="A161" s="1349"/>
      <c r="B161" s="2002"/>
      <c r="C161" s="2002"/>
      <c r="D161" s="712"/>
      <c r="K161" s="1523"/>
      <c r="L161" s="2002"/>
      <c r="M161" s="2002"/>
      <c r="N161" s="1523"/>
      <c r="O161" s="1523"/>
      <c r="P161" s="1523"/>
      <c r="Q161" s="1523"/>
      <c r="R161" s="2002"/>
      <c r="S161" s="1523"/>
      <c r="T161" s="1523"/>
      <c r="U161" s="905"/>
      <c r="V161" s="1523"/>
      <c r="W161" s="1523"/>
      <c r="X161" s="1523"/>
      <c r="Y161" s="1523"/>
      <c r="Z161" s="1523"/>
      <c r="AA161" s="1998"/>
      <c r="AB161" s="927"/>
      <c r="AC161" s="927"/>
      <c r="AD161" s="927"/>
      <c r="AE161" s="927"/>
    </row>
    <row s="19269" customFormat="1" customHeight="1" ht="11.25">
      <c r="A162" s="1349"/>
      <c r="B162" s="2002"/>
      <c r="C162" s="2002"/>
      <c r="D162" s="712"/>
      <c r="K162" s="1523"/>
      <c r="L162" s="2002"/>
      <c r="M162" s="2002"/>
      <c r="N162" s="1523"/>
      <c r="O162" s="1523"/>
      <c r="P162" s="1523"/>
      <c r="Q162" s="1523"/>
      <c r="R162" s="2002"/>
      <c r="S162" s="1523"/>
      <c r="T162" s="1523"/>
      <c r="U162" s="905"/>
      <c r="V162" s="1523"/>
      <c r="W162" s="1523"/>
      <c r="X162" s="1523"/>
      <c r="Y162" s="1523"/>
      <c r="Z162" s="1523"/>
      <c r="AA162" s="1998"/>
      <c r="AB162" s="927"/>
      <c r="AC162" s="927"/>
      <c r="AD162" s="927"/>
      <c r="AE162" s="927"/>
    </row>
    <row s="19269" customFormat="1" customHeight="1" ht="11.25">
      <c r="A163" s="1349"/>
      <c r="B163" s="2002"/>
      <c r="C163" s="2002"/>
      <c r="D163" s="712"/>
      <c r="K163" s="1523"/>
      <c r="L163" s="2002"/>
      <c r="M163" s="2002"/>
      <c r="N163" s="1523"/>
      <c r="O163" s="1523"/>
      <c r="P163" s="1523"/>
      <c r="Q163" s="1523"/>
      <c r="R163" s="2002"/>
      <c r="S163" s="1523"/>
      <c r="T163" s="1523"/>
      <c r="U163" s="905"/>
      <c r="V163" s="1523"/>
      <c r="W163" s="1523"/>
      <c r="X163" s="1523"/>
      <c r="Y163" s="1523"/>
      <c r="Z163" s="1523"/>
      <c r="AA163" s="1998"/>
      <c r="AB163" s="927"/>
      <c r="AC163" s="927"/>
      <c r="AD163" s="927"/>
      <c r="AE163" s="927"/>
    </row>
    <row s="19269" customFormat="1" customHeight="1" ht="11.25">
      <c r="A164" s="1349"/>
      <c r="B164" s="2002"/>
      <c r="C164" s="2002"/>
      <c r="D164" s="712"/>
      <c r="K164" s="1523"/>
      <c r="L164" s="2002"/>
      <c r="M164" s="2002"/>
      <c r="N164" s="1523"/>
      <c r="O164" s="1523"/>
      <c r="P164" s="1523"/>
      <c r="Q164" s="1523"/>
      <c r="R164" s="2002"/>
      <c r="S164" s="1523"/>
      <c r="T164" s="1523"/>
      <c r="U164" s="905"/>
      <c r="V164" s="1523"/>
      <c r="W164" s="1523"/>
      <c r="X164" s="1523"/>
      <c r="Y164" s="1523"/>
      <c r="Z164" s="1523"/>
      <c r="AA164" s="1998"/>
      <c r="AB164" s="927"/>
      <c r="AC164" s="927"/>
      <c r="AD164" s="927"/>
      <c r="AE164" s="927"/>
    </row>
    <row s="19269" customFormat="1" customHeight="1" ht="11.25">
      <c r="A165" s="1349"/>
      <c r="B165" s="2002"/>
      <c r="C165" s="2002"/>
      <c r="D165" s="712"/>
      <c r="K165" s="1523"/>
      <c r="L165" s="2002"/>
      <c r="M165" s="2002"/>
      <c r="N165" s="1523"/>
      <c r="O165" s="1523"/>
      <c r="P165" s="1523"/>
      <c r="Q165" s="1523"/>
      <c r="R165" s="2002"/>
      <c r="S165" s="1523"/>
      <c r="T165" s="1523"/>
      <c r="U165" s="905"/>
      <c r="V165" s="1523"/>
      <c r="W165" s="1523"/>
      <c r="X165" s="1523"/>
      <c r="Y165" s="1523"/>
      <c r="Z165" s="1523"/>
      <c r="AA165" s="1998"/>
      <c r="AB165" s="927"/>
      <c r="AC165" s="927"/>
      <c r="AD165" s="927"/>
      <c r="AE165" s="927"/>
    </row>
    <row s="19269" customFormat="1" customHeight="1" ht="11.25">
      <c r="A166" s="1349"/>
      <c r="B166" s="2002"/>
      <c r="C166" s="2002"/>
      <c r="D166" s="712"/>
      <c r="K166" s="1523"/>
      <c r="L166" s="2002"/>
      <c r="M166" s="2002"/>
      <c r="N166" s="1523"/>
      <c r="O166" s="1523"/>
      <c r="P166" s="1523"/>
      <c r="Q166" s="1523"/>
      <c r="R166" s="2002"/>
      <c r="S166" s="1523"/>
      <c r="T166" s="1523"/>
      <c r="U166" s="905"/>
      <c r="V166" s="1523"/>
      <c r="W166" s="1523"/>
      <c r="X166" s="1523"/>
      <c r="Y166" s="1523"/>
      <c r="Z166" s="1523"/>
      <c r="AA166" s="1998"/>
      <c r="AB166" s="927"/>
      <c r="AC166" s="927"/>
      <c r="AD166" s="927"/>
      <c r="AE166" s="927"/>
    </row>
    <row s="19269" customFormat="1" customHeight="1" ht="11.25">
      <c r="A167" s="1349"/>
      <c r="B167" s="2002"/>
      <c r="C167" s="2002"/>
      <c r="D167" s="712"/>
      <c r="K167" s="1523"/>
      <c r="L167" s="2002"/>
      <c r="M167" s="2002"/>
      <c r="N167" s="1523"/>
      <c r="O167" s="1523"/>
      <c r="P167" s="1523"/>
      <c r="Q167" s="1523"/>
      <c r="R167" s="2002"/>
      <c r="S167" s="1523"/>
      <c r="T167" s="1523"/>
      <c r="U167" s="905"/>
      <c r="V167" s="1523"/>
      <c r="W167" s="1523"/>
      <c r="X167" s="1523"/>
      <c r="Y167" s="1523"/>
      <c r="Z167" s="1523"/>
      <c r="AA167" s="1998"/>
      <c r="AB167" s="927"/>
      <c r="AC167" s="927"/>
      <c r="AD167" s="927"/>
      <c r="AE167" s="927"/>
    </row>
    <row s="19269" customFormat="1" customHeight="1" ht="11.25">
      <c r="A168" s="1349"/>
      <c r="B168" s="2002"/>
      <c r="C168" s="2002"/>
      <c r="D168" s="712"/>
      <c r="K168" s="1523"/>
      <c r="L168" s="2002"/>
      <c r="M168" s="2002"/>
      <c r="N168" s="1523"/>
      <c r="O168" s="1523"/>
      <c r="P168" s="1523"/>
      <c r="Q168" s="1523"/>
      <c r="R168" s="2002"/>
      <c r="S168" s="1523"/>
      <c r="T168" s="1523"/>
      <c r="U168" s="905"/>
      <c r="V168" s="1523"/>
      <c r="W168" s="1523"/>
      <c r="X168" s="1523"/>
      <c r="Y168" s="1523"/>
      <c r="Z168" s="1523"/>
      <c r="AA168" s="1998"/>
      <c r="AB168" s="927"/>
      <c r="AC168" s="927"/>
      <c r="AD168" s="927"/>
      <c r="AE168" s="927"/>
    </row>
    <row s="19269" customFormat="1" customHeight="1" ht="11.25">
      <c r="A169" s="1349"/>
      <c r="B169" s="2002"/>
      <c r="C169" s="2002"/>
      <c r="D169" s="712"/>
      <c r="K169" s="1523"/>
      <c r="L169" s="2002"/>
      <c r="M169" s="2002"/>
      <c r="N169" s="1523"/>
      <c r="O169" s="1523"/>
      <c r="P169" s="1523"/>
      <c r="Q169" s="1523"/>
      <c r="R169" s="2002"/>
      <c r="S169" s="1523"/>
      <c r="T169" s="1523"/>
      <c r="U169" s="905"/>
      <c r="V169" s="1523"/>
      <c r="W169" s="1523"/>
      <c r="X169" s="1523"/>
      <c r="Y169" s="1523"/>
      <c r="Z169" s="1523"/>
      <c r="AA169" s="1998"/>
      <c r="AB169" s="927"/>
      <c r="AC169" s="927"/>
      <c r="AD169" s="927"/>
      <c r="AE169" s="927"/>
    </row>
    <row s="19269" customFormat="1" customHeight="1" ht="11.25">
      <c r="A170" s="1349"/>
      <c r="B170" s="2002"/>
      <c r="C170" s="2002"/>
      <c r="D170" s="712"/>
      <c r="K170" s="1523"/>
      <c r="L170" s="2002"/>
      <c r="M170" s="2002"/>
      <c r="N170" s="1523"/>
      <c r="O170" s="1523"/>
      <c r="P170" s="1523"/>
      <c r="Q170" s="1523"/>
      <c r="R170" s="2002"/>
      <c r="S170" s="1523"/>
      <c r="T170" s="1523"/>
      <c r="U170" s="905"/>
      <c r="V170" s="1523"/>
      <c r="W170" s="1523"/>
      <c r="X170" s="1523"/>
      <c r="Y170" s="1523"/>
      <c r="Z170" s="1523"/>
      <c r="AA170" s="1998"/>
      <c r="AB170" s="927"/>
      <c r="AC170" s="927"/>
      <c r="AD170" s="927"/>
      <c r="AE170" s="927"/>
    </row>
    <row s="19269" customFormat="1" customHeight="1" ht="11.25">
      <c r="A171" s="1349"/>
      <c r="B171" s="2002"/>
      <c r="C171" s="2002"/>
      <c r="D171" s="712"/>
      <c r="K171" s="1523"/>
      <c r="L171" s="2002"/>
      <c r="M171" s="2002"/>
      <c r="N171" s="1523"/>
      <c r="O171" s="1523"/>
      <c r="P171" s="1523"/>
      <c r="Q171" s="1523"/>
      <c r="R171" s="2002"/>
      <c r="S171" s="1523"/>
      <c r="T171" s="1523"/>
      <c r="U171" s="905"/>
      <c r="V171" s="1523"/>
      <c r="W171" s="1523"/>
      <c r="X171" s="1523"/>
      <c r="Y171" s="1523"/>
      <c r="Z171" s="1523"/>
      <c r="AA171" s="1998"/>
      <c r="AB171" s="927"/>
      <c r="AC171" s="927"/>
      <c r="AD171" s="927"/>
      <c r="AE171" s="927"/>
    </row>
    <row s="19269" customFormat="1" customHeight="1" ht="11.25">
      <c r="A172" s="1349"/>
      <c r="B172" s="2002"/>
      <c r="C172" s="2002"/>
      <c r="D172" s="712"/>
      <c r="K172" s="1523"/>
      <c r="L172" s="2002"/>
      <c r="M172" s="2002"/>
      <c r="N172" s="1523"/>
      <c r="O172" s="1523"/>
      <c r="P172" s="1523"/>
      <c r="Q172" s="1523"/>
      <c r="R172" s="2002"/>
      <c r="S172" s="1523"/>
      <c r="T172" s="1523"/>
      <c r="U172" s="905"/>
      <c r="V172" s="1523"/>
      <c r="W172" s="1523"/>
      <c r="X172" s="1523"/>
      <c r="Y172" s="1523"/>
      <c r="Z172" s="1523"/>
      <c r="AA172" s="1998"/>
      <c r="AB172" s="927"/>
      <c r="AC172" s="927"/>
      <c r="AD172" s="927"/>
      <c r="AE172" s="927"/>
    </row>
    <row s="19269" customFormat="1" customHeight="1" ht="11.25">
      <c r="A173" s="1349"/>
      <c r="B173" s="2002"/>
      <c r="C173" s="2002"/>
      <c r="D173" s="712"/>
      <c r="K173" s="1523"/>
      <c r="L173" s="2002"/>
      <c r="M173" s="2002"/>
      <c r="N173" s="1523"/>
      <c r="O173" s="1523"/>
      <c r="P173" s="1523"/>
      <c r="Q173" s="1523"/>
      <c r="R173" s="2002"/>
      <c r="S173" s="1523"/>
      <c r="T173" s="1523"/>
      <c r="U173" s="905"/>
      <c r="V173" s="1523"/>
      <c r="W173" s="1523"/>
      <c r="X173" s="1523"/>
      <c r="Y173" s="1523"/>
      <c r="Z173" s="1523"/>
      <c r="AA173" s="1998"/>
      <c r="AB173" s="927"/>
      <c r="AC173" s="927"/>
      <c r="AD173" s="927"/>
      <c r="AE173" s="927"/>
    </row>
    <row s="19269" customFormat="1" customHeight="1" ht="11.25">
      <c r="A174" s="1349"/>
      <c r="B174" s="2002"/>
      <c r="C174" s="2002"/>
      <c r="D174" s="712"/>
      <c r="K174" s="1523"/>
      <c r="L174" s="2002"/>
      <c r="M174" s="2002"/>
      <c r="N174" s="1523"/>
      <c r="O174" s="1523"/>
      <c r="P174" s="1523"/>
      <c r="Q174" s="1523"/>
      <c r="R174" s="2002"/>
      <c r="S174" s="1523"/>
      <c r="T174" s="1523"/>
      <c r="U174" s="905"/>
      <c r="V174" s="1523"/>
      <c r="W174" s="1523"/>
      <c r="X174" s="1523"/>
      <c r="Y174" s="1523"/>
      <c r="Z174" s="1523"/>
      <c r="AA174" s="1998"/>
      <c r="AB174" s="927"/>
      <c r="AC174" s="927"/>
      <c r="AD174" s="927"/>
      <c r="AE174" s="927"/>
    </row>
    <row s="19269" customFormat="1" customHeight="1" ht="11.25">
      <c r="A175" s="1349"/>
      <c r="B175" s="2002"/>
      <c r="C175" s="2002"/>
      <c r="D175" s="712"/>
      <c r="K175" s="1523"/>
      <c r="L175" s="2002"/>
      <c r="M175" s="2002"/>
      <c r="N175" s="1523"/>
      <c r="O175" s="1523"/>
      <c r="P175" s="1523"/>
      <c r="Q175" s="1523"/>
      <c r="R175" s="2002"/>
      <c r="S175" s="1523"/>
      <c r="T175" s="1523"/>
      <c r="U175" s="905"/>
      <c r="V175" s="1523"/>
      <c r="W175" s="1523"/>
      <c r="X175" s="1523"/>
      <c r="Y175" s="1523"/>
      <c r="Z175" s="1523"/>
      <c r="AA175" s="1998"/>
      <c r="AB175" s="927"/>
      <c r="AC175" s="927"/>
      <c r="AD175" s="927"/>
      <c r="AE175" s="927"/>
    </row>
    <row s="19269" customFormat="1" customHeight="1" ht="11.25">
      <c r="A176" s="1349"/>
      <c r="B176" s="2002"/>
      <c r="C176" s="2002"/>
      <c r="D176" s="712"/>
      <c r="K176" s="1523"/>
      <c r="L176" s="2002"/>
      <c r="M176" s="2002"/>
      <c r="N176" s="1523"/>
      <c r="O176" s="1523"/>
      <c r="P176" s="1523"/>
      <c r="Q176" s="1523"/>
      <c r="R176" s="2002"/>
      <c r="S176" s="1523"/>
      <c r="T176" s="1523"/>
      <c r="U176" s="905"/>
      <c r="V176" s="1523"/>
      <c r="W176" s="1523"/>
      <c r="X176" s="1523"/>
      <c r="Y176" s="1523"/>
      <c r="Z176" s="1523"/>
      <c r="AA176" s="1998"/>
      <c r="AB176" s="927"/>
      <c r="AC176" s="927"/>
      <c r="AD176" s="927"/>
      <c r="AE176" s="927"/>
    </row>
    <row s="19269" customFormat="1" customHeight="1" ht="11.25">
      <c r="A177" s="1349"/>
      <c r="B177" s="2002"/>
      <c r="C177" s="2002"/>
      <c r="D177" s="712"/>
      <c r="K177" s="1523"/>
      <c r="L177" s="2002"/>
      <c r="M177" s="2002"/>
      <c r="N177" s="1523"/>
      <c r="O177" s="1523"/>
      <c r="P177" s="1523"/>
      <c r="Q177" s="1523"/>
      <c r="R177" s="2002"/>
      <c r="S177" s="1523"/>
      <c r="T177" s="1523"/>
      <c r="U177" s="905"/>
      <c r="V177" s="1523"/>
      <c r="W177" s="1523"/>
      <c r="X177" s="1523"/>
      <c r="Y177" s="1523"/>
      <c r="Z177" s="1523"/>
      <c r="AA177" s="1998"/>
      <c r="AB177" s="927"/>
      <c r="AC177" s="927"/>
      <c r="AD177" s="927"/>
      <c r="AE177" s="927"/>
    </row>
    <row s="19269" customFormat="1" customHeight="1" ht="11.25">
      <c r="A178" s="1349"/>
      <c r="B178" s="2002"/>
      <c r="C178" s="2002"/>
      <c r="D178" s="712"/>
      <c r="K178" s="1523"/>
      <c r="L178" s="2002"/>
      <c r="M178" s="2002"/>
      <c r="N178" s="1523"/>
      <c r="O178" s="1523"/>
      <c r="P178" s="1523"/>
      <c r="Q178" s="1523"/>
      <c r="R178" s="2002"/>
      <c r="S178" s="1523"/>
      <c r="T178" s="1523"/>
      <c r="U178" s="905"/>
      <c r="V178" s="1523"/>
      <c r="W178" s="1523"/>
      <c r="X178" s="1523"/>
      <c r="Y178" s="1523"/>
      <c r="Z178" s="1523"/>
      <c r="AA178" s="1998"/>
      <c r="AB178" s="927"/>
      <c r="AC178" s="927"/>
      <c r="AD178" s="927"/>
      <c r="AE178" s="927"/>
    </row>
    <row s="19269" customFormat="1" customHeight="1" ht="11.25">
      <c r="A179" s="1349"/>
      <c r="B179" s="2002"/>
      <c r="C179" s="2002"/>
      <c r="D179" s="712"/>
      <c r="K179" s="1523"/>
      <c r="L179" s="2002"/>
      <c r="M179" s="2002"/>
      <c r="N179" s="1523"/>
      <c r="O179" s="1523"/>
      <c r="P179" s="1523"/>
      <c r="Q179" s="1523"/>
      <c r="R179" s="2002"/>
      <c r="S179" s="1523"/>
      <c r="T179" s="1523"/>
      <c r="U179" s="905"/>
      <c r="V179" s="1523"/>
      <c r="W179" s="1523"/>
      <c r="X179" s="1523"/>
      <c r="Y179" s="1523"/>
      <c r="Z179" s="1523"/>
      <c r="AA179" s="1998"/>
      <c r="AB179" s="927"/>
      <c r="AC179" s="927"/>
      <c r="AD179" s="927"/>
      <c r="AE179" s="927"/>
    </row>
    <row s="19269" customFormat="1" customHeight="1" ht="11.25">
      <c r="A180" s="1349"/>
      <c r="B180" s="2002"/>
      <c r="C180" s="2002"/>
      <c r="D180" s="712"/>
      <c r="K180" s="1523"/>
      <c r="L180" s="2002"/>
      <c r="M180" s="2002"/>
      <c r="N180" s="1523"/>
      <c r="O180" s="1523"/>
      <c r="P180" s="1523"/>
      <c r="Q180" s="1523"/>
      <c r="R180" s="2002"/>
      <c r="S180" s="1523"/>
      <c r="T180" s="1523"/>
      <c r="U180" s="905"/>
      <c r="V180" s="1523"/>
      <c r="W180" s="1523"/>
      <c r="X180" s="1523"/>
      <c r="Y180" s="1523"/>
      <c r="Z180" s="1523"/>
      <c r="AA180" s="1998"/>
      <c r="AB180" s="927"/>
      <c r="AC180" s="927"/>
      <c r="AD180" s="927"/>
      <c r="AE180" s="927"/>
    </row>
    <row s="19269" customFormat="1" customHeight="1" ht="11.25">
      <c r="A181" s="1349"/>
      <c r="B181" s="2002"/>
      <c r="C181" s="2002"/>
      <c r="D181" s="712"/>
      <c r="K181" s="1523"/>
      <c r="L181" s="2002"/>
      <c r="M181" s="2002"/>
      <c r="N181" s="1523"/>
      <c r="O181" s="1523"/>
      <c r="P181" s="1523"/>
      <c r="Q181" s="1523"/>
      <c r="R181" s="2002"/>
      <c r="S181" s="1523"/>
      <c r="T181" s="1523"/>
      <c r="U181" s="905"/>
      <c r="V181" s="1523"/>
      <c r="W181" s="1523"/>
      <c r="X181" s="1523"/>
      <c r="Y181" s="1523"/>
      <c r="Z181" s="1523"/>
      <c r="AA181" s="1998"/>
      <c r="AB181" s="927"/>
      <c r="AC181" s="927"/>
      <c r="AD181" s="927"/>
      <c r="AE181" s="927"/>
    </row>
    <row s="19269" customFormat="1" customHeight="1" ht="11.25">
      <c r="A182" s="1349"/>
      <c r="B182" s="2002"/>
      <c r="C182" s="2002"/>
      <c r="D182" s="712"/>
      <c r="K182" s="1523"/>
      <c r="L182" s="2002"/>
      <c r="M182" s="2002"/>
      <c r="N182" s="1523"/>
      <c r="O182" s="1523"/>
      <c r="P182" s="1523"/>
      <c r="Q182" s="1523"/>
      <c r="R182" s="2002"/>
      <c r="S182" s="1523"/>
      <c r="T182" s="1523"/>
      <c r="U182" s="905"/>
      <c r="V182" s="1523"/>
      <c r="W182" s="1523"/>
      <c r="X182" s="1523"/>
      <c r="Y182" s="1523"/>
      <c r="Z182" s="1523"/>
      <c r="AA182" s="1998"/>
      <c r="AB182" s="927"/>
      <c r="AC182" s="927"/>
      <c r="AD182" s="927"/>
      <c r="AE182" s="927"/>
    </row>
    <row s="19269" customFormat="1" customHeight="1" ht="11.25">
      <c r="A183" s="1349"/>
      <c r="B183" s="2002"/>
      <c r="C183" s="2002"/>
      <c r="D183" s="712"/>
      <c r="K183" s="1523"/>
      <c r="L183" s="2002"/>
      <c r="M183" s="2002"/>
      <c r="N183" s="1523"/>
      <c r="O183" s="1523"/>
      <c r="P183" s="1523"/>
      <c r="Q183" s="1523"/>
      <c r="R183" s="2002"/>
      <c r="S183" s="1523"/>
      <c r="T183" s="1523"/>
      <c r="U183" s="905"/>
      <c r="V183" s="1523"/>
      <c r="W183" s="1523"/>
      <c r="X183" s="1523"/>
      <c r="Y183" s="1523"/>
      <c r="Z183" s="1523"/>
      <c r="AA183" s="1998"/>
      <c r="AB183" s="927"/>
      <c r="AC183" s="927"/>
      <c r="AD183" s="927"/>
      <c r="AE183" s="927"/>
    </row>
    <row s="19269" customFormat="1" customHeight="1" ht="11.25">
      <c r="A184" s="1349"/>
      <c r="B184" s="2002"/>
      <c r="C184" s="2002"/>
      <c r="D184" s="712"/>
      <c r="K184" s="1523"/>
      <c r="L184" s="2002"/>
      <c r="M184" s="2002"/>
      <c r="N184" s="1523"/>
      <c r="O184" s="1523"/>
      <c r="P184" s="1523"/>
      <c r="Q184" s="1523"/>
      <c r="R184" s="2002"/>
      <c r="S184" s="1523"/>
      <c r="T184" s="1523"/>
      <c r="U184" s="905"/>
      <c r="V184" s="1523"/>
      <c r="W184" s="1523"/>
      <c r="X184" s="1523"/>
      <c r="Y184" s="1523"/>
      <c r="Z184" s="1523"/>
      <c r="AA184" s="1998"/>
      <c r="AB184" s="927"/>
      <c r="AC184" s="927"/>
      <c r="AD184" s="927"/>
      <c r="AE184" s="927"/>
    </row>
    <row s="19269" customFormat="1" customHeight="1" ht="11.25">
      <c r="A185" s="1349"/>
      <c r="B185" s="2002"/>
      <c r="C185" s="2002"/>
      <c r="D185" s="712"/>
      <c r="K185" s="1523"/>
      <c r="L185" s="2002"/>
      <c r="M185" s="2002"/>
      <c r="N185" s="1523"/>
      <c r="O185" s="1523"/>
      <c r="P185" s="1523"/>
      <c r="Q185" s="1523"/>
      <c r="R185" s="2002"/>
      <c r="S185" s="1523"/>
      <c r="T185" s="1523"/>
      <c r="U185" s="905"/>
      <c r="V185" s="1523"/>
      <c r="W185" s="1523"/>
      <c r="X185" s="1523"/>
      <c r="Y185" s="1523"/>
      <c r="Z185" s="1523"/>
      <c r="AA185" s="1998"/>
      <c r="AB185" s="927"/>
      <c r="AC185" s="927"/>
      <c r="AD185" s="927"/>
      <c r="AE185" s="927"/>
    </row>
    <row s="19269" customFormat="1" customHeight="1" ht="11.25">
      <c r="A186" s="1349"/>
      <c r="B186" s="2002"/>
      <c r="C186" s="2002"/>
      <c r="D186" s="712"/>
      <c r="K186" s="1523"/>
      <c r="L186" s="2002"/>
      <c r="M186" s="2002"/>
      <c r="N186" s="1523"/>
      <c r="O186" s="1523"/>
      <c r="P186" s="1523"/>
      <c r="Q186" s="1523"/>
      <c r="R186" s="2002"/>
      <c r="S186" s="1523"/>
      <c r="T186" s="1523"/>
      <c r="U186" s="905"/>
      <c r="V186" s="1523"/>
      <c r="W186" s="1523"/>
      <c r="X186" s="1523"/>
      <c r="Y186" s="1523"/>
      <c r="Z186" s="1523"/>
      <c r="AA186" s="1998"/>
      <c r="AB186" s="927"/>
      <c r="AC186" s="927"/>
      <c r="AD186" s="927"/>
      <c r="AE186" s="927"/>
    </row>
    <row s="19269" customFormat="1" customHeight="1" ht="11.25">
      <c r="A187" s="1349"/>
      <c r="B187" s="2002"/>
      <c r="C187" s="2002"/>
      <c r="D187" s="712"/>
      <c r="K187" s="1523"/>
      <c r="L187" s="2002"/>
      <c r="M187" s="2002"/>
      <c r="N187" s="1523"/>
      <c r="O187" s="1523"/>
      <c r="P187" s="1523"/>
      <c r="Q187" s="1523"/>
      <c r="R187" s="2002"/>
      <c r="S187" s="1523"/>
      <c r="T187" s="1523"/>
      <c r="U187" s="905"/>
      <c r="V187" s="1523"/>
      <c r="W187" s="1523"/>
      <c r="X187" s="1523"/>
      <c r="Y187" s="1523"/>
      <c r="Z187" s="1523"/>
      <c r="AA187" s="1998"/>
      <c r="AB187" s="927"/>
      <c r="AC187" s="927"/>
      <c r="AD187" s="927"/>
      <c r="AE187" s="927"/>
    </row>
    <row s="19269" customFormat="1" customHeight="1" ht="11.25">
      <c r="A188" s="1349"/>
      <c r="B188" s="2002"/>
      <c r="C188" s="2002"/>
      <c r="D188" s="712"/>
      <c r="K188" s="1523"/>
      <c r="L188" s="2002"/>
      <c r="M188" s="2002"/>
      <c r="N188" s="1523"/>
      <c r="O188" s="1523"/>
      <c r="P188" s="1523"/>
      <c r="Q188" s="1523"/>
      <c r="R188" s="2002"/>
      <c r="S188" s="1523"/>
      <c r="T188" s="1523"/>
      <c r="U188" s="905"/>
      <c r="V188" s="1523"/>
      <c r="W188" s="1523"/>
      <c r="X188" s="1523"/>
      <c r="Y188" s="1523"/>
      <c r="Z188" s="1523"/>
      <c r="AA188" s="1998"/>
      <c r="AB188" s="927"/>
      <c r="AC188" s="927"/>
      <c r="AD188" s="927"/>
      <c r="AE188" s="927"/>
    </row>
    <row s="19269" customFormat="1" customHeight="1" ht="11.25">
      <c r="A189" s="1349"/>
      <c r="B189" s="2002"/>
      <c r="C189" s="2002"/>
      <c r="D189" s="712"/>
      <c r="K189" s="1523"/>
      <c r="L189" s="2002"/>
      <c r="M189" s="2002"/>
      <c r="N189" s="1523"/>
      <c r="O189" s="1523"/>
      <c r="P189" s="1523"/>
      <c r="Q189" s="1523"/>
      <c r="R189" s="2002"/>
      <c r="S189" s="1523"/>
      <c r="T189" s="1523"/>
      <c r="U189" s="905"/>
      <c r="V189" s="1523"/>
      <c r="W189" s="1523"/>
      <c r="X189" s="1523"/>
      <c r="Y189" s="1523"/>
      <c r="Z189" s="1523"/>
      <c r="AA189" s="1998"/>
      <c r="AB189" s="927"/>
      <c r="AC189" s="927"/>
      <c r="AD189" s="927"/>
      <c r="AE189" s="927"/>
    </row>
    <row s="19269" customFormat="1" customHeight="1" ht="11.25">
      <c r="A190" s="1349"/>
      <c r="B190" s="2002"/>
      <c r="C190" s="2002"/>
      <c r="D190" s="712"/>
      <c r="K190" s="1523"/>
      <c r="L190" s="2002"/>
      <c r="M190" s="2002"/>
      <c r="N190" s="1523"/>
      <c r="O190" s="1523"/>
      <c r="P190" s="1523"/>
      <c r="Q190" s="1523"/>
      <c r="R190" s="2002"/>
      <c r="S190" s="1523"/>
      <c r="T190" s="1523"/>
      <c r="U190" s="905"/>
      <c r="V190" s="1523"/>
      <c r="W190" s="1523"/>
      <c r="X190" s="1523"/>
      <c r="Y190" s="1523"/>
      <c r="Z190" s="1523"/>
      <c r="AA190" s="1998"/>
      <c r="AB190" s="927"/>
      <c r="AC190" s="927"/>
      <c r="AD190" s="927"/>
      <c r="AE190" s="927"/>
    </row>
    <row s="19269" customFormat="1" customHeight="1" ht="11.25">
      <c r="A191" s="1349"/>
      <c r="B191" s="2002"/>
      <c r="C191" s="2002"/>
      <c r="D191" s="712"/>
      <c r="K191" s="1523"/>
      <c r="L191" s="2002"/>
      <c r="M191" s="2002"/>
      <c r="N191" s="1523"/>
      <c r="O191" s="1523"/>
      <c r="P191" s="1523"/>
      <c r="Q191" s="1523"/>
      <c r="R191" s="2002"/>
      <c r="S191" s="1523"/>
      <c r="T191" s="1523"/>
      <c r="U191" s="905"/>
      <c r="V191" s="1523"/>
      <c r="W191" s="1523"/>
      <c r="X191" s="1523"/>
      <c r="Y191" s="1523"/>
      <c r="Z191" s="1523"/>
      <c r="AA191" s="1998"/>
      <c r="AB191" s="927"/>
      <c r="AC191" s="927"/>
      <c r="AD191" s="927"/>
      <c r="AE191" s="927"/>
    </row>
    <row s="19269" customFormat="1" customHeight="1" ht="11.25">
      <c r="A192" s="1349"/>
      <c r="B192" s="2002"/>
      <c r="C192" s="2002"/>
      <c r="D192" s="712"/>
      <c r="K192" s="1523"/>
      <c r="L192" s="2002"/>
      <c r="M192" s="2002"/>
      <c r="N192" s="1523"/>
      <c r="O192" s="1523"/>
      <c r="P192" s="1523"/>
      <c r="Q192" s="1523"/>
      <c r="R192" s="2002"/>
      <c r="S192" s="1523"/>
      <c r="T192" s="1523"/>
      <c r="U192" s="905"/>
      <c r="V192" s="1523"/>
      <c r="W192" s="1523"/>
      <c r="X192" s="1523"/>
      <c r="Y192" s="1523"/>
      <c r="Z192" s="1523"/>
      <c r="AA192" s="1998"/>
      <c r="AB192" s="927"/>
      <c r="AC192" s="927"/>
      <c r="AD192" s="927"/>
      <c r="AE192" s="927"/>
    </row>
    <row s="19269" customFormat="1" customHeight="1" ht="11.25">
      <c r="A193" s="1349"/>
      <c r="B193" s="2002"/>
      <c r="C193" s="2002"/>
      <c r="D193" s="712"/>
      <c r="K193" s="1523"/>
      <c r="L193" s="2002"/>
      <c r="M193" s="2002"/>
      <c r="N193" s="1523"/>
      <c r="O193" s="1523"/>
      <c r="P193" s="1523"/>
      <c r="Q193" s="1523"/>
      <c r="R193" s="2002"/>
      <c r="S193" s="1523"/>
      <c r="T193" s="1523"/>
      <c r="U193" s="905"/>
      <c r="V193" s="1523"/>
      <c r="W193" s="1523"/>
      <c r="X193" s="1523"/>
      <c r="Y193" s="1523"/>
      <c r="Z193" s="1523"/>
      <c r="AA193" s="1998"/>
      <c r="AB193" s="927"/>
      <c r="AC193" s="927"/>
      <c r="AD193" s="927"/>
      <c r="AE193" s="927"/>
    </row>
    <row s="19269" customFormat="1" customHeight="1" ht="11.25">
      <c r="A194" s="1349"/>
      <c r="B194" s="2002"/>
      <c r="C194" s="2002"/>
      <c r="D194" s="712"/>
      <c r="K194" s="1523"/>
      <c r="L194" s="2002"/>
      <c r="M194" s="2002"/>
      <c r="N194" s="1523"/>
      <c r="O194" s="1523"/>
      <c r="P194" s="1523"/>
      <c r="Q194" s="1523"/>
      <c r="R194" s="2002"/>
      <c r="S194" s="1523"/>
      <c r="T194" s="1523"/>
      <c r="U194" s="905"/>
      <c r="V194" s="1523"/>
      <c r="W194" s="1523"/>
      <c r="X194" s="1523"/>
      <c r="Y194" s="1523"/>
      <c r="Z194" s="1523"/>
      <c r="AA194" s="1998"/>
      <c r="AB194" s="927"/>
      <c r="AC194" s="927"/>
      <c r="AD194" s="927"/>
      <c r="AE194" s="927"/>
    </row>
    <row s="19269" customFormat="1" customHeight="1" ht="11.25">
      <c r="A195" s="1349"/>
      <c r="B195" s="2002"/>
      <c r="C195" s="2002"/>
      <c r="D195" s="712"/>
      <c r="K195" s="1523"/>
      <c r="L195" s="2002"/>
      <c r="M195" s="2002"/>
      <c r="N195" s="1523"/>
      <c r="O195" s="1523"/>
      <c r="P195" s="1523"/>
      <c r="Q195" s="1523"/>
      <c r="R195" s="2002"/>
      <c r="S195" s="1523"/>
      <c r="T195" s="1523"/>
      <c r="U195" s="905"/>
      <c r="V195" s="1523"/>
      <c r="W195" s="1523"/>
      <c r="X195" s="1523"/>
      <c r="Y195" s="1523"/>
      <c r="Z195" s="1523"/>
      <c r="AA195" s="1998"/>
      <c r="AB195" s="927"/>
      <c r="AC195" s="927"/>
      <c r="AD195" s="927"/>
      <c r="AE195" s="927"/>
    </row>
    <row r="199" customHeight="1" ht="11.25">
      <c r="A199" s="1352"/>
      <c r="B199" s="1997"/>
      <c r="D199" s="1997"/>
      <c r="K199" s="1997"/>
      <c r="N199" s="1997"/>
      <c r="O199" s="1997"/>
      <c r="P199" s="1997"/>
      <c r="Q199" s="1997"/>
      <c r="S199" s="1997"/>
      <c r="T199" s="1997"/>
      <c r="U199" s="1997"/>
      <c r="V199" s="1997"/>
      <c r="W199" s="1997"/>
      <c r="X199" s="1997"/>
      <c r="Y199" s="1997"/>
      <c r="Z199" s="1997"/>
      <c r="AA199" s="1997"/>
      <c r="AB199" s="1997"/>
      <c r="AC199" s="1997"/>
      <c r="AD199" s="1997"/>
      <c r="AE199" s="1997"/>
    </row>
    <row customHeight="1" ht="11.25">
      <c r="A200" s="1352"/>
      <c r="B200" s="1997"/>
      <c r="D200" s="1997"/>
      <c r="K200" s="1997"/>
      <c r="N200" s="1997"/>
      <c r="O200" s="1997"/>
      <c r="P200" s="1997"/>
      <c r="Q200" s="1997"/>
      <c r="S200" s="1997"/>
      <c r="T200" s="1997"/>
      <c r="U200" s="1997"/>
      <c r="V200" s="1997"/>
      <c r="W200" s="1997"/>
      <c r="X200" s="1997"/>
      <c r="Y200" s="1997"/>
      <c r="Z200" s="1997"/>
      <c r="AA200" s="1997"/>
      <c r="AB200" s="1997"/>
      <c r="AC200" s="1997"/>
      <c r="AD200" s="1997"/>
      <c r="AE200" s="1997"/>
    </row>
    <row customHeight="1" ht="11.25">
      <c r="A201" s="1352"/>
      <c r="B201" s="1997"/>
      <c r="D201" s="1997"/>
      <c r="K201" s="1997"/>
      <c r="N201" s="1997"/>
      <c r="O201" s="1997"/>
      <c r="P201" s="1997"/>
      <c r="Q201" s="1997"/>
      <c r="S201" s="1997"/>
      <c r="T201" s="1997"/>
      <c r="U201" s="1997"/>
      <c r="V201" s="1997"/>
      <c r="W201" s="1997"/>
      <c r="X201" s="1997"/>
      <c r="Y201" s="1997"/>
      <c r="Z201" s="1997"/>
      <c r="AA201" s="1997"/>
      <c r="AB201" s="1997"/>
      <c r="AC201" s="1997"/>
      <c r="AD201" s="1997"/>
      <c r="AE201" s="1997"/>
    </row>
    <row customHeight="1" ht="11.25">
      <c r="A202" s="1352"/>
      <c r="B202" s="1997"/>
      <c r="D202" s="1997"/>
      <c r="K202" s="1997"/>
      <c r="N202" s="1997"/>
      <c r="O202" s="1997"/>
      <c r="P202" s="1997"/>
      <c r="Q202" s="1997"/>
      <c r="S202" s="1997"/>
      <c r="T202" s="1997"/>
      <c r="U202" s="1997"/>
      <c r="V202" s="1997"/>
      <c r="W202" s="1997"/>
      <c r="X202" s="1997"/>
      <c r="Y202" s="1997"/>
      <c r="Z202" s="1997"/>
      <c r="AA202" s="1997"/>
      <c r="AB202" s="1997"/>
      <c r="AC202" s="1997"/>
      <c r="AD202" s="1997"/>
      <c r="AE202" s="1997"/>
    </row>
    <row customHeight="1" ht="11.25">
      <c r="A203" s="1352"/>
      <c r="B203" s="1997"/>
      <c r="D203" s="1997"/>
      <c r="K203" s="1997"/>
      <c r="N203" s="1997"/>
      <c r="O203" s="1997"/>
      <c r="P203" s="1997"/>
      <c r="Q203" s="1997"/>
      <c r="S203" s="1997"/>
      <c r="T203" s="1997"/>
      <c r="U203" s="1997"/>
      <c r="V203" s="1997"/>
      <c r="W203" s="1997"/>
      <c r="X203" s="1997"/>
      <c r="Y203" s="1997"/>
      <c r="Z203" s="1997"/>
      <c r="AA203" s="1997"/>
      <c r="AB203" s="1997"/>
      <c r="AC203" s="1997"/>
      <c r="AD203" s="1997"/>
      <c r="AE203" s="1997"/>
    </row>
    <row customHeight="1" ht="11.25">
      <c r="A204" s="1352"/>
      <c r="B204" s="1997"/>
      <c r="D204" s="1997"/>
      <c r="K204" s="1997"/>
      <c r="N204" s="1997"/>
      <c r="O204" s="1997"/>
      <c r="P204" s="1997"/>
      <c r="Q204" s="1997"/>
      <c r="S204" s="1997"/>
      <c r="T204" s="1997"/>
      <c r="U204" s="1997"/>
      <c r="V204" s="1997"/>
      <c r="W204" s="1997"/>
      <c r="X204" s="1997"/>
      <c r="Y204" s="1997"/>
      <c r="Z204" s="1997"/>
      <c r="AA204" s="1997"/>
      <c r="AB204" s="1997"/>
      <c r="AC204" s="1997"/>
      <c r="AD204" s="1997"/>
      <c r="AE204" s="1997"/>
    </row>
    <row customHeight="1" ht="11.25">
      <c r="A205" s="1352"/>
      <c r="B205" s="1997"/>
      <c r="D205" s="1997"/>
      <c r="K205" s="1997"/>
      <c r="N205" s="1997"/>
      <c r="O205" s="1997"/>
      <c r="P205" s="1997"/>
      <c r="Q205" s="1997"/>
      <c r="S205" s="1997"/>
      <c r="T205" s="1997"/>
      <c r="U205" s="1997"/>
      <c r="V205" s="1997"/>
      <c r="W205" s="1997"/>
      <c r="X205" s="1997"/>
      <c r="Y205" s="1997"/>
      <c r="Z205" s="1997"/>
      <c r="AA205" s="1997"/>
      <c r="AB205" s="1997"/>
      <c r="AC205" s="1997"/>
      <c r="AD205" s="1997"/>
      <c r="AE205" s="1997"/>
    </row>
    <row customHeight="1" ht="11.25">
      <c r="A206" s="1352"/>
      <c r="B206" s="1997"/>
      <c r="D206" s="1997"/>
      <c r="K206" s="1997"/>
      <c r="N206" s="1997"/>
      <c r="O206" s="1997"/>
      <c r="P206" s="1997"/>
      <c r="Q206" s="1997"/>
      <c r="S206" s="1997"/>
      <c r="T206" s="1997"/>
      <c r="U206" s="1997"/>
      <c r="V206" s="1997"/>
      <c r="W206" s="1997"/>
      <c r="X206" s="1997"/>
      <c r="Y206" s="1997"/>
      <c r="Z206" s="1997"/>
      <c r="AA206" s="1997"/>
      <c r="AB206" s="1997"/>
      <c r="AC206" s="1997"/>
      <c r="AD206" s="1997"/>
      <c r="AE206" s="1997"/>
    </row>
    <row customHeight="1" ht="11.25">
      <c r="A207" s="1352"/>
      <c r="B207" s="1997"/>
      <c r="D207" s="1997"/>
      <c r="K207" s="1997"/>
      <c r="N207" s="1997"/>
      <c r="O207" s="1997"/>
      <c r="P207" s="1997"/>
      <c r="Q207" s="1997"/>
      <c r="S207" s="1997"/>
      <c r="T207" s="1997"/>
      <c r="U207" s="1997"/>
      <c r="V207" s="1997"/>
      <c r="W207" s="1997"/>
      <c r="X207" s="1997"/>
      <c r="Y207" s="1997"/>
      <c r="Z207" s="1997"/>
      <c r="AA207" s="1997"/>
      <c r="AB207" s="1997"/>
      <c r="AC207" s="1997"/>
      <c r="AD207" s="1997"/>
      <c r="AE207" s="1997"/>
    </row>
    <row customHeight="1" ht="11.25">
      <c r="A208" s="1352"/>
      <c r="B208" s="1997"/>
      <c r="D208" s="1997"/>
      <c r="K208" s="1997"/>
      <c r="N208" s="1997"/>
      <c r="O208" s="1997"/>
      <c r="P208" s="1997"/>
      <c r="Q208" s="1997"/>
      <c r="S208" s="1997"/>
      <c r="T208" s="1997"/>
      <c r="U208" s="1997"/>
      <c r="V208" s="1997"/>
      <c r="W208" s="1997"/>
      <c r="X208" s="1997"/>
      <c r="Y208" s="1997"/>
      <c r="Z208" s="1997"/>
      <c r="AA208" s="1997"/>
      <c r="AB208" s="1997"/>
      <c r="AC208" s="1997"/>
      <c r="AD208" s="1997"/>
      <c r="AE208" s="1997"/>
    </row>
    <row customHeight="1" ht="11.25">
      <c r="A209" s="1352"/>
      <c r="B209" s="1997"/>
      <c r="D209" s="1997"/>
      <c r="K209" s="1997"/>
      <c r="N209" s="1997"/>
      <c r="O209" s="1997"/>
      <c r="P209" s="1997"/>
      <c r="Q209" s="1997"/>
      <c r="S209" s="1997"/>
      <c r="T209" s="1997"/>
      <c r="U209" s="1997"/>
      <c r="V209" s="1997"/>
      <c r="W209" s="1997"/>
      <c r="X209" s="1997"/>
      <c r="Y209" s="1997"/>
      <c r="Z209" s="1997"/>
      <c r="AA209" s="1997"/>
      <c r="AB209" s="1997"/>
      <c r="AC209" s="1997"/>
      <c r="AD209" s="1997"/>
      <c r="AE209" s="1997"/>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D01C2B-A816-6219-B846-055E62993522}"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19928" width="9.140625" hidden="1" customWidth="1"/>
    <col min="2" max="2" style="19219" width="3.57421875" hidden="1" customWidth="1"/>
    <col min="3" max="3" style="19001" width="3.7109375" customWidth="1"/>
    <col min="4" max="4" style="19001" width="7.7109375" customWidth="1"/>
    <col min="5" max="5" style="19001" width="69.8515625" customWidth="1"/>
    <col min="6" max="6" style="19001" width="11.140625" customWidth="1"/>
    <col min="7" max="8" style="19001" width="44.00390625" hidden="1" customWidth="1"/>
    <col min="9" max="10" style="18482" width="44.00390625" customWidth="1"/>
    <col min="11" max="11" style="19001" width="74.00390625" customWidth="1"/>
    <col min="12" max="12" style="19001" width="3.7109375" customWidth="1"/>
    <col min="13" max="23" style="19001" width="10.57421875"/>
  </cols>
  <sheetData>
    <row s="18483" customFormat="1" customHeight="1" ht="11.25" hidden="1">
      <c r="A1" s="897"/>
      <c r="B1" s="872"/>
      <c r="G1" s="778">
        <v>4</v>
      </c>
      <c r="I1" s="778">
        <v>4</v>
      </c>
      <c r="K1" s="778">
        <v>5</v>
      </c>
    </row>
    <row customHeight="1" ht="3"/>
    <row customHeight="1" ht="75">
      <c r="D3" s="251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512"/>
      <c r="F3" s="2513"/>
    </row>
    <row s="18482" customFormat="1" customHeight="1" ht="20.25">
      <c r="A4" s="1313"/>
      <c r="B4" s="872"/>
      <c r="D4" s="2499" t="str">
        <f>IF(org=0,"Не определено",org)</f>
        <v>Филиал "Шатурская ГРЭС" ПАО "Юнипро"</v>
      </c>
      <c r="E4" s="2500"/>
      <c r="F4" s="2501"/>
    </row>
    <row customHeight="1" ht="11.25">
      <c r="C5" s="870"/>
      <c r="D5" s="949"/>
      <c r="E5" s="949"/>
      <c r="F5" s="949"/>
      <c r="G5" s="949"/>
      <c r="H5" s="1113"/>
      <c r="I5" s="949"/>
      <c r="J5" s="1113"/>
      <c r="K5" s="949"/>
    </row>
    <row customHeight="1" ht="0.75">
      <c r="C6" s="870"/>
      <c r="D6" s="870"/>
      <c r="E6" s="883"/>
      <c r="F6" s="975"/>
      <c r="G6" s="1384"/>
      <c r="H6" s="1384"/>
      <c r="I6" s="1384" t="s">
        <v>114</v>
      </c>
      <c r="J6" s="1384"/>
    </row>
    <row customHeight="1" ht="11.25">
      <c r="D7" s="1072"/>
      <c r="E7" s="2636" t="s">
        <v>102</v>
      </c>
      <c r="F7" s="2637"/>
      <c r="G7" s="2653" t="str">
        <f>IF(G6="","",INDEX(DIFFERENTIATION_UNMERGE_VD,MATCH(G6,DIFFERENTIATION_ID_DIFF,0)))</f>
        <v/>
      </c>
      <c r="H7" s="2654"/>
      <c r="I7" s="2653">
        <f>IF(I6="","",INDEX(DIFFERENTIATION_UNMERGE_VD,MATCH(I6,DIFFERENTIATION_ID_DIFF,0)))</f>
        <v>0</v>
      </c>
      <c r="J7" s="2654"/>
      <c r="K7" s="2449"/>
      <c r="L7" s="870"/>
    </row>
    <row customHeight="1" ht="11.25">
      <c r="A8" s="1065"/>
      <c r="D8" s="1072"/>
      <c r="E8" s="2636" t="s">
        <v>564</v>
      </c>
      <c r="F8" s="2637"/>
      <c r="G8" s="2653" t="str">
        <f>IF(G6="","",INDEX(DIFFERENTIATION_UNMERGE_AREA,MATCH(G6,DIFFERENTIATION_ID_DIFF,0)))</f>
        <v/>
      </c>
      <c r="H8" s="2654"/>
      <c r="I8" s="2653" t="str">
        <f>IF(I6="","",INDEX(DIFFERENTIATION_UNMERGE_AREA,MATCH(I6,DIFFERENTIATION_ID_DIFF,0)))</f>
        <v/>
      </c>
      <c r="J8" s="2654"/>
      <c r="K8" s="2457"/>
      <c r="L8" s="870"/>
    </row>
    <row customHeight="1" ht="11.25">
      <c r="A9" s="1065"/>
      <c r="D9" s="1072"/>
      <c r="E9" s="2636" t="s">
        <v>565</v>
      </c>
      <c r="F9" s="2637"/>
      <c r="G9" s="2653" t="str">
        <f>IF(G6="","",INDEX(DIFFERENTIATION_UNMERGE_SYSTEM,MATCH(G6,DIFFERENTIATION_ID_DIFF,0)))</f>
        <v/>
      </c>
      <c r="H9" s="2654"/>
      <c r="I9" s="2653" t="str">
        <f>IF(I6="","",INDEX(DIFFERENTIATION_UNMERGE_SYSTEM,MATCH(I6,DIFFERENTIATION_ID_DIFF,0)))</f>
        <v>без дифференциации</v>
      </c>
      <c r="J9" s="2654"/>
      <c r="K9" s="2457"/>
      <c r="L9" s="870"/>
    </row>
    <row s="18482" customFormat="1" customHeight="1" ht="11.25">
      <c r="A10" s="1383"/>
      <c r="B10" s="872"/>
      <c r="D10" s="2376" t="s">
        <v>300</v>
      </c>
      <c r="E10" s="2377"/>
      <c r="F10" s="2377"/>
      <c r="G10" s="2377"/>
      <c r="H10" s="2377"/>
      <c r="I10" s="2377"/>
      <c r="J10" s="2378"/>
      <c r="K10" s="2457"/>
      <c r="L10" s="870"/>
    </row>
    <row s="19770" customFormat="1" customHeight="1" ht="22.5">
      <c r="A11" s="2656"/>
      <c r="B11" s="2656"/>
      <c r="C11" s="1018"/>
      <c r="D11" s="1064" t="s">
        <v>85</v>
      </c>
      <c r="E11" s="1066" t="s">
        <v>721</v>
      </c>
      <c r="F11" s="1066" t="s">
        <v>566</v>
      </c>
      <c r="G11" s="826" t="s">
        <v>303</v>
      </c>
      <c r="H11" s="826" t="s">
        <v>390</v>
      </c>
      <c r="I11" s="1168" t="s">
        <v>303</v>
      </c>
      <c r="J11" s="1169" t="s">
        <v>390</v>
      </c>
      <c r="K11" s="2510"/>
      <c r="L11" s="1019"/>
    </row>
    <row s="19219" customFormat="1" customHeight="1" ht="10.5">
      <c r="A12" s="1314"/>
      <c r="D12" s="1387" t="s">
        <v>106</v>
      </c>
      <c r="E12" s="1387" t="s">
        <v>107</v>
      </c>
      <c r="F12" s="1387" t="s">
        <v>87</v>
      </c>
      <c r="G12" s="1388" t="str">
        <f>G1&amp;".1"</f>
        <v>4.1</v>
      </c>
      <c r="H12" s="1388" t="str">
        <f>G1&amp;".2"</f>
        <v>4.2</v>
      </c>
      <c r="I12" s="1388" t="str">
        <f>I1&amp;".1"</f>
        <v>4.1</v>
      </c>
      <c r="J12" s="1388" t="str">
        <f>I1&amp;".2"</f>
        <v>4.2</v>
      </c>
      <c r="K12" s="1388"/>
    </row>
    <row customHeight="1" ht="22.5" hidden="1">
      <c r="A13" s="2655" t="s">
        <v>722</v>
      </c>
      <c r="D13" s="1315" t="s">
        <v>106</v>
      </c>
      <c r="E13" s="640" t="s">
        <v>723</v>
      </c>
      <c r="F13" s="1021" t="s">
        <v>724</v>
      </c>
      <c r="G13" s="918"/>
      <c r="H13" s="1022"/>
      <c r="I13" s="918"/>
      <c r="J13" s="1022"/>
      <c r="K13" s="650" t="s">
        <v>725</v>
      </c>
      <c r="L13" s="1081"/>
    </row>
    <row customHeight="1" ht="22.5" hidden="1">
      <c r="A14" s="2655"/>
      <c r="D14" s="900" t="s">
        <v>107</v>
      </c>
      <c r="E14" s="640" t="s">
        <v>726</v>
      </c>
      <c r="F14" s="1021" t="s">
        <v>727</v>
      </c>
      <c r="G14" s="918"/>
      <c r="H14" s="1023"/>
      <c r="I14" s="918"/>
      <c r="J14" s="1023"/>
      <c r="K14" s="650" t="s">
        <v>728</v>
      </c>
      <c r="L14" s="1081"/>
    </row>
    <row s="18482" customFormat="1" customHeight="1" ht="78.75" hidden="1">
      <c r="A15" s="2655"/>
      <c r="B15" s="872"/>
      <c r="D15" s="1315" t="s">
        <v>87</v>
      </c>
      <c r="E15" s="1068" t="s">
        <v>729</v>
      </c>
      <c r="F15" s="1312" t="s">
        <v>306</v>
      </c>
      <c r="G15" s="1312" t="s">
        <v>306</v>
      </c>
      <c r="H15" s="468"/>
      <c r="I15" s="1312" t="s">
        <v>306</v>
      </c>
      <c r="J15" s="468"/>
      <c r="K15" s="650" t="s">
        <v>730</v>
      </c>
      <c r="L15" s="1081"/>
    </row>
    <row s="18482" customFormat="1" customHeight="1" ht="22.5" hidden="1">
      <c r="A16" s="2655"/>
      <c r="B16" s="872"/>
      <c r="D16" s="1315" t="s">
        <v>324</v>
      </c>
      <c r="E16" s="1316" t="s">
        <v>731</v>
      </c>
      <c r="F16" s="1312" t="s">
        <v>732</v>
      </c>
      <c r="G16" s="1178"/>
      <c r="H16" s="468"/>
      <c r="I16" s="1178"/>
      <c r="J16" s="468"/>
      <c r="K16" s="650"/>
      <c r="L16" s="1081"/>
    </row>
    <row s="18482" customFormat="1" customHeight="1" ht="22.5" hidden="1">
      <c r="A17" s="2655"/>
      <c r="B17" s="872"/>
      <c r="D17" s="1315" t="s">
        <v>332</v>
      </c>
      <c r="E17" s="1316" t="s">
        <v>733</v>
      </c>
      <c r="F17" s="1312" t="s">
        <v>734</v>
      </c>
      <c r="G17" s="1178"/>
      <c r="H17" s="468"/>
      <c r="I17" s="1178"/>
      <c r="J17" s="468"/>
      <c r="K17" s="650"/>
      <c r="L17" s="1081"/>
    </row>
    <row s="18482" customFormat="1" customHeight="1" ht="33.75" hidden="1">
      <c r="A18" s="2655"/>
      <c r="B18" s="872"/>
      <c r="D18" s="1315" t="s">
        <v>334</v>
      </c>
      <c r="E18" s="1316" t="s">
        <v>735</v>
      </c>
      <c r="F18" s="1312" t="s">
        <v>571</v>
      </c>
      <c r="G18" s="1041"/>
      <c r="H18" s="468"/>
      <c r="I18" s="1041"/>
      <c r="J18" s="468"/>
      <c r="K18" s="650"/>
      <c r="L18" s="1081"/>
    </row>
    <row customHeight="1" ht="101.25" hidden="1">
      <c r="A19" s="2655"/>
      <c r="D19" s="1315" t="s">
        <v>88</v>
      </c>
      <c r="E19" s="640" t="s">
        <v>736</v>
      </c>
      <c r="F19" s="1021" t="s">
        <v>546</v>
      </c>
      <c r="G19" s="1024"/>
      <c r="H19" s="1023"/>
      <c r="I19" s="1317"/>
      <c r="J19" s="1023"/>
      <c r="K19" s="650" t="s">
        <v>737</v>
      </c>
      <c r="L19" s="1081"/>
    </row>
    <row s="18482" customFormat="1" customHeight="1" ht="18.75" hidden="1">
      <c r="A20" s="2655"/>
      <c r="C20" s="1318"/>
      <c r="D20" s="1315" t="s">
        <v>667</v>
      </c>
      <c r="E20" s="1316" t="s">
        <v>738</v>
      </c>
      <c r="F20" s="1312" t="s">
        <v>306</v>
      </c>
      <c r="G20" s="1312" t="s">
        <v>306</v>
      </c>
      <c r="H20" s="1311" t="s">
        <v>306</v>
      </c>
      <c r="I20" s="1312" t="s">
        <v>306</v>
      </c>
      <c r="J20" s="1311" t="s">
        <v>306</v>
      </c>
      <c r="K20" s="1310"/>
      <c r="L20" s="1081"/>
      <c r="W20" s="1036"/>
    </row>
    <row s="18482" customFormat="1" customHeight="1" ht="33.75" hidden="1">
      <c r="A21" s="2655"/>
      <c r="C21" s="1318"/>
      <c r="D21" s="1315" t="s">
        <v>670</v>
      </c>
      <c r="E21" s="937" t="s">
        <v>739</v>
      </c>
      <c r="F21" s="1312" t="s">
        <v>740</v>
      </c>
      <c r="G21" s="1304"/>
      <c r="H21" s="468"/>
      <c r="I21" s="1304"/>
      <c r="J21" s="468"/>
      <c r="K21" s="1310"/>
      <c r="L21" s="1081"/>
      <c r="W21" s="1036"/>
    </row>
    <row s="18482" customFormat="1" customHeight="1" ht="33.75" hidden="1">
      <c r="A22" s="2655"/>
      <c r="C22" s="1318"/>
      <c r="D22" s="1315" t="s">
        <v>673</v>
      </c>
      <c r="E22" s="937" t="s">
        <v>741</v>
      </c>
      <c r="F22" s="1312" t="s">
        <v>742</v>
      </c>
      <c r="G22" s="1304"/>
      <c r="H22" s="468"/>
      <c r="I22" s="1304"/>
      <c r="J22" s="468"/>
      <c r="K22" s="1310"/>
      <c r="L22" s="1081"/>
      <c r="W22" s="1036"/>
    </row>
    <row s="18482" customFormat="1" customHeight="1" ht="22.5" hidden="1">
      <c r="A23" s="2655"/>
      <c r="C23" s="1318"/>
      <c r="D23" s="1315" t="s">
        <v>710</v>
      </c>
      <c r="E23" s="1316" t="s">
        <v>743</v>
      </c>
      <c r="F23" s="1312" t="s">
        <v>306</v>
      </c>
      <c r="G23" s="1312" t="s">
        <v>306</v>
      </c>
      <c r="H23" s="1311" t="s">
        <v>306</v>
      </c>
      <c r="I23" s="1312" t="s">
        <v>306</v>
      </c>
      <c r="J23" s="1311" t="s">
        <v>306</v>
      </c>
      <c r="K23" s="1310"/>
      <c r="L23" s="1081"/>
      <c r="W23" s="1036"/>
    </row>
    <row s="18482" customFormat="1" customHeight="1" ht="22.5" hidden="1">
      <c r="A24" s="2655"/>
      <c r="C24" s="1318"/>
      <c r="D24" s="1315" t="s">
        <v>744</v>
      </c>
      <c r="E24" s="937" t="s">
        <v>745</v>
      </c>
      <c r="F24" s="1312" t="s">
        <v>746</v>
      </c>
      <c r="G24" s="1304"/>
      <c r="H24" s="1047"/>
      <c r="I24" s="1304"/>
      <c r="J24" s="1047"/>
      <c r="K24" s="1310"/>
      <c r="L24" s="1081"/>
      <c r="W24" s="1036"/>
    </row>
    <row s="18482" customFormat="1" customHeight="1" ht="22.5" hidden="1">
      <c r="A25" s="2655"/>
      <c r="C25" s="1318"/>
      <c r="D25" s="1315" t="s">
        <v>747</v>
      </c>
      <c r="E25" s="937" t="s">
        <v>748</v>
      </c>
      <c r="F25" s="1312" t="s">
        <v>306</v>
      </c>
      <c r="G25" s="1312" t="s">
        <v>306</v>
      </c>
      <c r="H25" s="1311" t="s">
        <v>306</v>
      </c>
      <c r="I25" s="1312" t="s">
        <v>306</v>
      </c>
      <c r="J25" s="1311" t="s">
        <v>306</v>
      </c>
      <c r="K25" s="1310"/>
      <c r="L25" s="1081"/>
      <c r="W25" s="1036"/>
    </row>
    <row s="18482" customFormat="1" customHeight="1" ht="18.75" hidden="1">
      <c r="A26" s="2655"/>
      <c r="C26" s="1318"/>
      <c r="D26" s="1315" t="s">
        <v>749</v>
      </c>
      <c r="E26" s="914" t="s">
        <v>750</v>
      </c>
      <c r="F26" s="1312" t="s">
        <v>751</v>
      </c>
      <c r="G26" s="1041"/>
      <c r="H26" s="1047"/>
      <c r="I26" s="1041"/>
      <c r="J26" s="1047"/>
      <c r="K26" s="1310"/>
      <c r="L26" s="1081"/>
      <c r="W26" s="1036"/>
    </row>
    <row s="18482" customFormat="1" customHeight="1" ht="18.75" hidden="1">
      <c r="A27" s="2655"/>
      <c r="C27" s="1318"/>
      <c r="D27" s="1315" t="s">
        <v>752</v>
      </c>
      <c r="E27" s="914" t="s">
        <v>753</v>
      </c>
      <c r="F27" s="1312" t="s">
        <v>754</v>
      </c>
      <c r="G27" s="1041"/>
      <c r="H27" s="1047"/>
      <c r="I27" s="1041"/>
      <c r="J27" s="1047"/>
      <c r="K27" s="1310"/>
      <c r="L27" s="1081"/>
      <c r="W27" s="1036"/>
    </row>
    <row s="18482" customFormat="1" customHeight="1" ht="18.75" hidden="1">
      <c r="A28" s="2655"/>
      <c r="C28" s="1318"/>
      <c r="D28" s="1315" t="s">
        <v>755</v>
      </c>
      <c r="E28" s="937" t="s">
        <v>756</v>
      </c>
      <c r="F28" s="1312" t="s">
        <v>306</v>
      </c>
      <c r="G28" s="1312" t="s">
        <v>306</v>
      </c>
      <c r="H28" s="1311" t="s">
        <v>306</v>
      </c>
      <c r="I28" s="1312" t="s">
        <v>306</v>
      </c>
      <c r="J28" s="1311" t="s">
        <v>306</v>
      </c>
      <c r="K28" s="1310"/>
      <c r="L28" s="1081"/>
      <c r="W28" s="1036"/>
    </row>
    <row s="18482" customFormat="1" customHeight="1" ht="18.75" hidden="1">
      <c r="A29" s="2655"/>
      <c r="C29" s="1318"/>
      <c r="D29" s="1315" t="s">
        <v>757</v>
      </c>
      <c r="E29" s="914" t="s">
        <v>750</v>
      </c>
      <c r="F29" s="1312" t="s">
        <v>758</v>
      </c>
      <c r="G29" s="1041"/>
      <c r="H29" s="1047"/>
      <c r="I29" s="1041"/>
      <c r="J29" s="1047"/>
      <c r="K29" s="1310"/>
      <c r="L29" s="1081"/>
      <c r="W29" s="1036"/>
    </row>
    <row s="18482" customFormat="1" customHeight="1" ht="18.75" hidden="1">
      <c r="A30" s="2655"/>
      <c r="C30" s="1318"/>
      <c r="D30" s="1315" t="s">
        <v>759</v>
      </c>
      <c r="E30" s="914" t="s">
        <v>760</v>
      </c>
      <c r="F30" s="1312" t="s">
        <v>761</v>
      </c>
      <c r="G30" s="1041"/>
      <c r="H30" s="1047"/>
      <c r="I30" s="1041"/>
      <c r="J30" s="1047"/>
      <c r="K30" s="1310"/>
      <c r="L30" s="1081"/>
      <c r="W30" s="1036"/>
    </row>
    <row customHeight="1" ht="126.75" hidden="1">
      <c r="A31" s="2655"/>
      <c r="D31" s="1315" t="s">
        <v>108</v>
      </c>
      <c r="E31" s="640" t="s">
        <v>762</v>
      </c>
      <c r="F31" s="1021" t="s">
        <v>558</v>
      </c>
      <c r="G31" s="918"/>
      <c r="H31" s="1023"/>
      <c r="I31" s="918"/>
      <c r="J31" s="1023"/>
      <c r="K31" s="650" t="s">
        <v>763</v>
      </c>
      <c r="L31" s="1081"/>
    </row>
    <row customHeight="1" ht="56.25" hidden="1">
      <c r="A32" s="2655"/>
      <c r="D32" s="1315" t="s">
        <v>89</v>
      </c>
      <c r="E32" s="640" t="s">
        <v>764</v>
      </c>
      <c r="F32" s="900" t="s">
        <v>734</v>
      </c>
      <c r="G32" s="918"/>
      <c r="H32" s="1023"/>
      <c r="I32" s="918"/>
      <c r="J32" s="1023"/>
      <c r="K32" s="650" t="s">
        <v>765</v>
      </c>
      <c r="L32" s="1081"/>
    </row>
    <row customHeight="1" ht="11.25" hidden="1">
      <c r="A33" s="2655"/>
      <c r="E33" s="1025"/>
      <c r="F33" s="543"/>
      <c r="G33" s="543"/>
      <c r="H33" s="543"/>
      <c r="I33" s="543"/>
      <c r="J33" s="543"/>
      <c r="K33" s="543"/>
    </row>
    <row customHeight="1" ht="12.75" hidden="1">
      <c r="A34" s="2655"/>
      <c r="D34" s="426">
        <v>1</v>
      </c>
      <c r="E34" s="696" t="s">
        <v>766</v>
      </c>
    </row>
    <row customHeight="1" ht="11.25" hidden="1">
      <c r="A35" s="2655"/>
      <c r="D35" s="730"/>
      <c r="E35" s="696" t="s">
        <v>767</v>
      </c>
    </row>
    <row s="19770" customFormat="1" customHeight="1" ht="11.25">
      <c r="A36" s="1395"/>
      <c r="B36" s="879"/>
      <c r="D36" s="1396"/>
      <c r="E36" s="1397"/>
    </row>
    <row s="18482" customFormat="1" customHeight="1" ht="22.5" hidden="1">
      <c r="A37" s="2655" t="s">
        <v>768</v>
      </c>
      <c r="B37" s="872"/>
      <c r="D37" s="1315">
        <v>1</v>
      </c>
      <c r="E37" s="1068" t="s">
        <v>769</v>
      </c>
      <c r="F37" s="1021" t="s">
        <v>724</v>
      </c>
      <c r="G37" s="918"/>
      <c r="H37" s="880"/>
      <c r="I37" s="918"/>
      <c r="J37" s="880"/>
      <c r="K37" s="650" t="s">
        <v>770</v>
      </c>
    </row>
    <row s="18482" customFormat="1" customHeight="1" ht="22.5" hidden="1">
      <c r="A38" s="2655"/>
      <c r="B38" s="872"/>
      <c r="D38" s="1030" t="s">
        <v>107</v>
      </c>
      <c r="E38" s="1394" t="s">
        <v>771</v>
      </c>
      <c r="F38" s="1398" t="s">
        <v>546</v>
      </c>
      <c r="G38" s="1398" t="s">
        <v>546</v>
      </c>
      <c r="H38" s="1392"/>
      <c r="I38" s="1398" t="s">
        <v>546</v>
      </c>
      <c r="J38" s="1392"/>
      <c r="K38" s="1393"/>
    </row>
    <row s="18482" customFormat="1" customHeight="1" ht="33.75" hidden="1">
      <c r="A39" s="2655"/>
      <c r="B39" s="872"/>
      <c r="D39" s="1026" t="s">
        <v>625</v>
      </c>
      <c r="E39" s="1084" t="s">
        <v>772</v>
      </c>
      <c r="F39" s="1021" t="s">
        <v>773</v>
      </c>
      <c r="G39" s="1029"/>
      <c r="H39" s="1385"/>
      <c r="I39" s="1029"/>
      <c r="J39" s="1385"/>
      <c r="K39" s="650" t="s">
        <v>774</v>
      </c>
    </row>
    <row s="18482" customFormat="1" customHeight="1" ht="33.75" hidden="1">
      <c r="A40" s="2655"/>
      <c r="B40" s="872"/>
      <c r="D40" s="1026" t="s">
        <v>628</v>
      </c>
      <c r="E40" s="1084" t="s">
        <v>775</v>
      </c>
      <c r="F40" s="1389" t="s">
        <v>776</v>
      </c>
      <c r="G40" s="1102"/>
      <c r="H40" s="1385"/>
      <c r="I40" s="1102"/>
      <c r="J40" s="1385"/>
      <c r="K40" s="650" t="s">
        <v>777</v>
      </c>
    </row>
    <row s="18482" customFormat="1" customHeight="1" ht="22.5" hidden="1">
      <c r="A41" s="2655"/>
      <c r="B41" s="872"/>
      <c r="D41" s="1026" t="s">
        <v>87</v>
      </c>
      <c r="E41" s="1083" t="s">
        <v>778</v>
      </c>
      <c r="F41" s="1021" t="s">
        <v>546</v>
      </c>
      <c r="G41" s="1021" t="s">
        <v>546</v>
      </c>
      <c r="H41" s="1386"/>
      <c r="I41" s="1021" t="s">
        <v>546</v>
      </c>
      <c r="J41" s="1386"/>
      <c r="K41" s="663"/>
    </row>
    <row s="18482" customFormat="1" customHeight="1" ht="45" hidden="1">
      <c r="A42" s="2655"/>
      <c r="B42" s="872"/>
      <c r="D42" s="1026" t="s">
        <v>324</v>
      </c>
      <c r="E42" s="1084" t="s">
        <v>779</v>
      </c>
      <c r="F42" s="1021" t="s">
        <v>558</v>
      </c>
      <c r="G42" s="918"/>
      <c r="H42" s="1386"/>
      <c r="I42" s="918"/>
      <c r="J42" s="1386"/>
      <c r="K42" s="663" t="s">
        <v>780</v>
      </c>
    </row>
    <row s="18482" customFormat="1" customHeight="1" ht="45" hidden="1">
      <c r="A43" s="2655"/>
      <c r="B43" s="872"/>
      <c r="D43" s="1026" t="s">
        <v>332</v>
      </c>
      <c r="E43" s="1028" t="s">
        <v>781</v>
      </c>
      <c r="F43" s="1390" t="s">
        <v>558</v>
      </c>
      <c r="G43" s="1103"/>
      <c r="H43" s="1385"/>
      <c r="I43" s="1103"/>
      <c r="J43" s="1385"/>
      <c r="K43" s="663" t="s">
        <v>782</v>
      </c>
    </row>
    <row s="18482" customFormat="1" customHeight="1" ht="11.25" hidden="1">
      <c r="A44" s="2655"/>
      <c r="B44" s="872"/>
      <c r="D44" s="1026" t="s">
        <v>88</v>
      </c>
      <c r="E44" s="1027" t="s">
        <v>783</v>
      </c>
      <c r="F44" s="1021" t="s">
        <v>773</v>
      </c>
      <c r="G44" s="1029"/>
      <c r="H44" s="1385"/>
      <c r="I44" s="1029"/>
      <c r="J44" s="1385"/>
      <c r="K44" s="650"/>
    </row>
    <row s="18482" customFormat="1" customHeight="1" ht="11.25" hidden="1">
      <c r="A45" s="2655"/>
      <c r="B45" s="872"/>
      <c r="D45" s="1026" t="s">
        <v>667</v>
      </c>
      <c r="E45" s="1028" t="s">
        <v>784</v>
      </c>
      <c r="F45" s="1021" t="s">
        <v>773</v>
      </c>
      <c r="G45" s="1029"/>
      <c r="H45" s="1385"/>
      <c r="I45" s="1029"/>
      <c r="J45" s="1385"/>
      <c r="K45" s="650"/>
    </row>
    <row s="18482" customFormat="1" customHeight="1" ht="11.25" hidden="1">
      <c r="A46" s="2655"/>
      <c r="B46" s="872"/>
      <c r="D46" s="1026" t="s">
        <v>710</v>
      </c>
      <c r="E46" s="1028" t="s">
        <v>785</v>
      </c>
      <c r="F46" s="1021" t="s">
        <v>773</v>
      </c>
      <c r="G46" s="1029"/>
      <c r="H46" s="1385"/>
      <c r="I46" s="1029"/>
      <c r="J46" s="1385"/>
      <c r="K46" s="650"/>
    </row>
    <row s="18482" customFormat="1" customHeight="1" ht="11.25" hidden="1">
      <c r="A47" s="2655"/>
      <c r="B47" s="872"/>
      <c r="D47" s="1026" t="s">
        <v>713</v>
      </c>
      <c r="E47" s="1028" t="s">
        <v>786</v>
      </c>
      <c r="F47" s="1021" t="s">
        <v>773</v>
      </c>
      <c r="G47" s="1029"/>
      <c r="H47" s="1385"/>
      <c r="I47" s="1029"/>
      <c r="J47" s="1385"/>
      <c r="K47" s="650"/>
    </row>
    <row s="18482" customFormat="1" customHeight="1" ht="11.25" hidden="1">
      <c r="A48" s="2655"/>
      <c r="B48" s="872"/>
      <c r="D48" s="1026" t="s">
        <v>787</v>
      </c>
      <c r="E48" s="1032" t="s">
        <v>788</v>
      </c>
      <c r="F48" s="1021" t="s">
        <v>773</v>
      </c>
      <c r="G48" s="1029"/>
      <c r="H48" s="1385"/>
      <c r="I48" s="1029"/>
      <c r="J48" s="1385"/>
      <c r="K48" s="650"/>
    </row>
    <row s="18482" customFormat="1" customHeight="1" ht="11.25" hidden="1">
      <c r="A49" s="2655"/>
      <c r="B49" s="872"/>
      <c r="D49" s="1026" t="s">
        <v>789</v>
      </c>
      <c r="E49" s="1032" t="s">
        <v>790</v>
      </c>
      <c r="F49" s="1021" t="s">
        <v>773</v>
      </c>
      <c r="G49" s="1029"/>
      <c r="H49" s="1385"/>
      <c r="I49" s="1029"/>
      <c r="J49" s="1385"/>
      <c r="K49" s="650"/>
    </row>
    <row s="18482" customFormat="1" customHeight="1" ht="11.25" hidden="1">
      <c r="A50" s="2655"/>
      <c r="B50" s="872"/>
      <c r="D50" s="1026" t="s">
        <v>791</v>
      </c>
      <c r="E50" s="1028" t="s">
        <v>792</v>
      </c>
      <c r="F50" s="1021" t="s">
        <v>773</v>
      </c>
      <c r="G50" s="1029"/>
      <c r="H50" s="1385"/>
      <c r="I50" s="1029"/>
      <c r="J50" s="1385"/>
      <c r="K50" s="650"/>
    </row>
    <row s="18482" customFormat="1" customHeight="1" ht="11.25" hidden="1">
      <c r="A51" s="2655"/>
      <c r="B51" s="872"/>
      <c r="D51" s="1026" t="s">
        <v>793</v>
      </c>
      <c r="E51" s="1028" t="s">
        <v>794</v>
      </c>
      <c r="F51" s="1021" t="s">
        <v>773</v>
      </c>
      <c r="G51" s="1029"/>
      <c r="H51" s="1385"/>
      <c r="I51" s="1029"/>
      <c r="J51" s="1385"/>
      <c r="K51" s="650"/>
    </row>
    <row s="18482" customFormat="1" customHeight="1" ht="45" hidden="1">
      <c r="A52" s="2655"/>
      <c r="B52" s="872"/>
      <c r="D52" s="1026" t="s">
        <v>108</v>
      </c>
      <c r="E52" s="1027" t="s">
        <v>795</v>
      </c>
      <c r="F52" s="1021" t="s">
        <v>773</v>
      </c>
      <c r="G52" s="1029"/>
      <c r="H52" s="1385"/>
      <c r="I52" s="1029"/>
      <c r="J52" s="1385"/>
      <c r="K52" s="650"/>
    </row>
    <row s="18482" customFormat="1" customHeight="1" ht="11.25" hidden="1">
      <c r="A53" s="2655"/>
      <c r="B53" s="872"/>
      <c r="D53" s="1026" t="s">
        <v>313</v>
      </c>
      <c r="E53" s="1028" t="s">
        <v>784</v>
      </c>
      <c r="F53" s="1021" t="s">
        <v>773</v>
      </c>
      <c r="G53" s="1029"/>
      <c r="H53" s="1385"/>
      <c r="I53" s="1029"/>
      <c r="J53" s="1385"/>
      <c r="K53" s="650"/>
    </row>
    <row s="18482" customFormat="1" customHeight="1" ht="11.25" hidden="1">
      <c r="A54" s="2655"/>
      <c r="B54" s="872"/>
      <c r="D54" s="1026" t="s">
        <v>796</v>
      </c>
      <c r="E54" s="1028" t="s">
        <v>785</v>
      </c>
      <c r="F54" s="1021" t="s">
        <v>773</v>
      </c>
      <c r="G54" s="1029"/>
      <c r="H54" s="1385"/>
      <c r="I54" s="1029"/>
      <c r="J54" s="1385"/>
      <c r="K54" s="650"/>
    </row>
    <row s="18482" customFormat="1" customHeight="1" ht="11.25" hidden="1">
      <c r="A55" s="2655"/>
      <c r="B55" s="872"/>
      <c r="D55" s="1026" t="s">
        <v>797</v>
      </c>
      <c r="E55" s="1028" t="s">
        <v>786</v>
      </c>
      <c r="F55" s="1021" t="s">
        <v>773</v>
      </c>
      <c r="G55" s="1029"/>
      <c r="H55" s="1385"/>
      <c r="I55" s="1029"/>
      <c r="J55" s="1385"/>
      <c r="K55" s="650"/>
    </row>
    <row s="18482" customFormat="1" customHeight="1" ht="11.25" hidden="1">
      <c r="A56" s="2655"/>
      <c r="B56" s="872"/>
      <c r="D56" s="1026" t="s">
        <v>798</v>
      </c>
      <c r="E56" s="1032" t="s">
        <v>788</v>
      </c>
      <c r="F56" s="1021" t="s">
        <v>773</v>
      </c>
      <c r="G56" s="1029"/>
      <c r="H56" s="1385"/>
      <c r="I56" s="1029"/>
      <c r="J56" s="1385"/>
      <c r="K56" s="650"/>
    </row>
    <row s="18482" customFormat="1" customHeight="1" ht="11.25" hidden="1">
      <c r="A57" s="2655"/>
      <c r="B57" s="872"/>
      <c r="D57" s="1026" t="s">
        <v>799</v>
      </c>
      <c r="E57" s="1032" t="s">
        <v>790</v>
      </c>
      <c r="F57" s="1021" t="s">
        <v>773</v>
      </c>
      <c r="G57" s="1029"/>
      <c r="H57" s="1385"/>
      <c r="I57" s="1029"/>
      <c r="J57" s="1385"/>
      <c r="K57" s="650"/>
    </row>
    <row s="18482" customFormat="1" customHeight="1" ht="11.25" hidden="1">
      <c r="A58" s="2655"/>
      <c r="B58" s="872"/>
      <c r="D58" s="1026" t="s">
        <v>800</v>
      </c>
      <c r="E58" s="1028" t="s">
        <v>792</v>
      </c>
      <c r="F58" s="1021" t="s">
        <v>773</v>
      </c>
      <c r="G58" s="1029"/>
      <c r="H58" s="1385"/>
      <c r="I58" s="1029"/>
      <c r="J58" s="1385"/>
      <c r="K58" s="650"/>
    </row>
    <row s="18482" customFormat="1" customHeight="1" ht="11.25" hidden="1">
      <c r="A59" s="2655"/>
      <c r="B59" s="872"/>
      <c r="D59" s="1026" t="s">
        <v>801</v>
      </c>
      <c r="E59" s="1028" t="s">
        <v>794</v>
      </c>
      <c r="F59" s="1021" t="s">
        <v>773</v>
      </c>
      <c r="G59" s="1029"/>
      <c r="H59" s="1385"/>
      <c r="I59" s="1029"/>
      <c r="J59" s="1385"/>
      <c r="K59" s="650"/>
    </row>
    <row s="18482" customFormat="1" customHeight="1" ht="33.75" hidden="1">
      <c r="A60" s="2655"/>
      <c r="B60" s="872"/>
      <c r="D60" s="1026" t="s">
        <v>89</v>
      </c>
      <c r="E60" s="1027" t="s">
        <v>802</v>
      </c>
      <c r="F60" s="1082" t="s">
        <v>558</v>
      </c>
      <c r="G60" s="1103"/>
      <c r="H60" s="1385"/>
      <c r="I60" s="1103"/>
      <c r="J60" s="1385"/>
      <c r="K60" s="663" t="s">
        <v>803</v>
      </c>
    </row>
    <row s="18482" customFormat="1" customHeight="1" ht="33.75" hidden="1">
      <c r="A61" s="2655"/>
      <c r="B61" s="872"/>
      <c r="D61" s="1026" t="s">
        <v>90</v>
      </c>
      <c r="E61" s="1027" t="s">
        <v>804</v>
      </c>
      <c r="F61" s="1087" t="s">
        <v>734</v>
      </c>
      <c r="G61" s="1029"/>
      <c r="H61" s="1385"/>
      <c r="I61" s="1029"/>
      <c r="J61" s="1385"/>
      <c r="K61" s="650"/>
    </row>
    <row s="18482" customFormat="1" customHeight="1" ht="22.5" hidden="1">
      <c r="A62" s="2655"/>
      <c r="B62" s="872" t="s">
        <v>588</v>
      </c>
      <c r="D62" s="1026" t="s">
        <v>109</v>
      </c>
      <c r="E62" s="1027" t="s">
        <v>805</v>
      </c>
      <c r="F62" s="1087" t="s">
        <v>306</v>
      </c>
      <c r="G62" s="743"/>
      <c r="H62" s="1385"/>
      <c r="I62" s="743"/>
      <c r="J62" s="1385"/>
      <c r="K62" s="650" t="s">
        <v>806</v>
      </c>
    </row>
    <row s="18482" customFormat="1" customHeight="1" ht="45" hidden="1">
      <c r="A63" s="2655"/>
      <c r="B63" s="872" t="s">
        <v>588</v>
      </c>
      <c r="D63" s="1026" t="s">
        <v>807</v>
      </c>
      <c r="E63" s="1028" t="s">
        <v>808</v>
      </c>
      <c r="F63" s="1082" t="s">
        <v>306</v>
      </c>
      <c r="G63" s="743"/>
      <c r="H63" s="1385"/>
      <c r="I63" s="743"/>
      <c r="J63" s="1385"/>
      <c r="K63" s="650" t="s">
        <v>806</v>
      </c>
    </row>
    <row s="19770" customFormat="1" customHeight="1" ht="11.25">
      <c r="A64" s="1395"/>
      <c r="B64" s="879"/>
      <c r="D64" s="1396"/>
      <c r="E64" s="1397"/>
    </row>
    <row s="18482" customFormat="1" customHeight="1" ht="22.5">
      <c r="A65" s="2655" t="s">
        <v>809</v>
      </c>
      <c r="B65" s="872"/>
      <c r="D65" s="1026">
        <v>1</v>
      </c>
      <c r="E65" s="1105" t="s">
        <v>810</v>
      </c>
      <c r="F65" s="1101" t="s">
        <v>724</v>
      </c>
      <c r="G65" s="1102"/>
      <c r="H65" s="1391"/>
      <c r="I65" s="1102"/>
      <c r="J65" s="1391"/>
      <c r="K65" s="662" t="s">
        <v>811</v>
      </c>
    </row>
    <row s="18482" customFormat="1" customHeight="1" ht="56.25">
      <c r="A66" s="2655"/>
      <c r="B66" s="872"/>
      <c r="D66" s="1104" t="s">
        <v>107</v>
      </c>
      <c r="E66" s="1068" t="s">
        <v>812</v>
      </c>
      <c r="F66" s="1021" t="s">
        <v>546</v>
      </c>
      <c r="G66" s="1021" t="s">
        <v>546</v>
      </c>
      <c r="H66" s="880"/>
      <c r="I66" s="1021" t="s">
        <v>546</v>
      </c>
      <c r="J66" s="880"/>
      <c r="K66" s="650"/>
    </row>
    <row s="18482" customFormat="1" customHeight="1" ht="33.75">
      <c r="A67" s="2655"/>
      <c r="B67" s="872"/>
      <c r="D67" s="1104" t="s">
        <v>622</v>
      </c>
      <c r="E67" s="1316" t="s">
        <v>813</v>
      </c>
      <c r="F67" s="1021" t="s">
        <v>776</v>
      </c>
      <c r="G67" s="1088"/>
      <c r="H67" s="880"/>
      <c r="I67" s="1088"/>
      <c r="J67" s="880"/>
      <c r="K67" s="650"/>
    </row>
    <row s="18482" customFormat="1" customHeight="1" ht="22.5">
      <c r="A68" s="2655"/>
      <c r="B68" s="872"/>
      <c r="D68" s="1104" t="s">
        <v>307</v>
      </c>
      <c r="E68" s="1316" t="s">
        <v>814</v>
      </c>
      <c r="F68" s="1021" t="s">
        <v>776</v>
      </c>
      <c r="G68" s="1088"/>
      <c r="H68" s="880"/>
      <c r="I68" s="1088"/>
      <c r="J68" s="880"/>
      <c r="K68" s="650"/>
    </row>
    <row s="18482" customFormat="1" customHeight="1" ht="22.5">
      <c r="A69" s="2655"/>
      <c r="B69" s="872"/>
      <c r="D69" s="1104" t="s">
        <v>310</v>
      </c>
      <c r="E69" s="1316" t="s">
        <v>815</v>
      </c>
      <c r="F69" s="1082" t="s">
        <v>558</v>
      </c>
      <c r="G69" s="1103"/>
      <c r="H69" s="880"/>
      <c r="I69" s="1103"/>
      <c r="J69" s="880"/>
      <c r="K69" s="650"/>
    </row>
    <row s="18482" customFormat="1" customHeight="1" ht="22.5">
      <c r="A70" s="2655"/>
      <c r="B70" s="872"/>
      <c r="D70" s="1104" t="s">
        <v>642</v>
      </c>
      <c r="E70" s="1316" t="s">
        <v>816</v>
      </c>
      <c r="F70" s="1082" t="s">
        <v>558</v>
      </c>
      <c r="G70" s="1103"/>
      <c r="H70" s="880"/>
      <c r="I70" s="1103"/>
      <c r="J70" s="880"/>
      <c r="K70" s="650"/>
    </row>
    <row s="18482" customFormat="1" customHeight="1" ht="22.5">
      <c r="A71" s="2655"/>
      <c r="B71" s="872"/>
      <c r="D71" s="1026" t="s">
        <v>87</v>
      </c>
      <c r="E71" s="1027" t="s">
        <v>817</v>
      </c>
      <c r="F71" s="1021" t="s">
        <v>776</v>
      </c>
      <c r="G71" s="918"/>
      <c r="H71" s="1392"/>
      <c r="I71" s="918"/>
      <c r="J71" s="1392"/>
      <c r="K71" s="663"/>
    </row>
    <row s="18482" customFormat="1" customHeight="1" ht="56.25">
      <c r="A72" s="2655"/>
      <c r="B72" s="872"/>
      <c r="D72" s="1026" t="s">
        <v>88</v>
      </c>
      <c r="E72" s="1027" t="s">
        <v>818</v>
      </c>
      <c r="F72" s="1082" t="s">
        <v>558</v>
      </c>
      <c r="G72" s="1103"/>
      <c r="H72" s="1385"/>
      <c r="I72" s="1103"/>
      <c r="J72" s="1385"/>
      <c r="K72" s="663"/>
    </row>
    <row s="18482" customFormat="1" customHeight="1" ht="33.75">
      <c r="A73" s="2655"/>
      <c r="B73" s="872"/>
      <c r="D73" s="1026" t="s">
        <v>108</v>
      </c>
      <c r="E73" s="1027" t="s">
        <v>819</v>
      </c>
      <c r="F73" s="1087" t="s">
        <v>734</v>
      </c>
      <c r="G73" s="1029"/>
      <c r="H73" s="1385"/>
      <c r="I73" s="1029"/>
      <c r="J73" s="1385"/>
      <c r="K73" s="650"/>
    </row>
    <row s="18482" customFormat="1" customHeight="1" ht="22.5">
      <c r="A74" s="2655"/>
      <c r="B74" s="872" t="s">
        <v>588</v>
      </c>
      <c r="D74" s="1026" t="s">
        <v>89</v>
      </c>
      <c r="E74" s="1027" t="s">
        <v>820</v>
      </c>
      <c r="F74" s="1087" t="s">
        <v>306</v>
      </c>
      <c r="G74" s="743"/>
      <c r="H74" s="1385"/>
      <c r="I74" s="743"/>
      <c r="J74" s="1385"/>
      <c r="K74" s="650" t="s">
        <v>806</v>
      </c>
    </row>
    <row s="18482" customFormat="1" customHeight="1" ht="45">
      <c r="A75" s="2655"/>
      <c r="B75" s="872" t="s">
        <v>588</v>
      </c>
      <c r="D75" s="1026" t="s">
        <v>821</v>
      </c>
      <c r="E75" s="1028" t="s">
        <v>822</v>
      </c>
      <c r="F75" s="1082" t="s">
        <v>306</v>
      </c>
      <c r="G75" s="743"/>
      <c r="H75" s="1385"/>
      <c r="I75" s="743"/>
      <c r="J75" s="1385"/>
      <c r="K75" s="650" t="s">
        <v>806</v>
      </c>
    </row>
    <row s="19770" customFormat="1" customHeight="1" ht="11.25">
      <c r="A76" s="1395"/>
      <c r="B76" s="879"/>
      <c r="D76" s="1396"/>
      <c r="E76" s="1397"/>
    </row>
    <row s="18482" customFormat="1" customHeight="1" ht="11.25" hidden="1">
      <c r="A77" s="2655" t="s">
        <v>823</v>
      </c>
      <c r="B77" s="872"/>
      <c r="D77" s="1026">
        <v>1</v>
      </c>
      <c r="E77" s="1027" t="s">
        <v>824</v>
      </c>
      <c r="F77" s="1082" t="s">
        <v>724</v>
      </c>
      <c r="G77" s="1085"/>
      <c r="H77" s="1385"/>
      <c r="I77" s="1085"/>
      <c r="J77" s="1385"/>
      <c r="K77" s="650" t="s">
        <v>825</v>
      </c>
    </row>
    <row s="18482" customFormat="1" customHeight="1" ht="11.25" hidden="1">
      <c r="A78" s="2655"/>
      <c r="B78" s="872"/>
      <c r="D78" s="1026" t="s">
        <v>107</v>
      </c>
      <c r="E78" s="1027" t="s">
        <v>826</v>
      </c>
      <c r="F78" s="1082" t="s">
        <v>724</v>
      </c>
      <c r="G78" s="1085"/>
      <c r="H78" s="1385"/>
      <c r="I78" s="1085"/>
      <c r="J78" s="1385"/>
      <c r="K78" s="650" t="s">
        <v>827</v>
      </c>
    </row>
    <row s="18482" customFormat="1" customHeight="1" ht="22.5" hidden="1">
      <c r="A79" s="2655"/>
      <c r="B79" s="872"/>
      <c r="D79" s="1026" t="s">
        <v>87</v>
      </c>
      <c r="E79" s="1083" t="s">
        <v>828</v>
      </c>
      <c r="F79" s="1021" t="s">
        <v>773</v>
      </c>
      <c r="G79" s="1085"/>
      <c r="H79" s="1385"/>
      <c r="I79" s="1085"/>
      <c r="J79" s="1385"/>
      <c r="K79" s="650" t="s">
        <v>829</v>
      </c>
    </row>
    <row s="18482" customFormat="1" customHeight="1" ht="11.25" hidden="1">
      <c r="A80" s="2655"/>
      <c r="B80" s="872"/>
      <c r="D80" s="1026" t="s">
        <v>324</v>
      </c>
      <c r="E80" s="1084" t="s">
        <v>830</v>
      </c>
      <c r="F80" s="1021" t="s">
        <v>773</v>
      </c>
      <c r="G80" s="1085"/>
      <c r="H80" s="1385"/>
      <c r="I80" s="1085"/>
      <c r="J80" s="1385"/>
      <c r="K80" s="650"/>
    </row>
    <row s="18482" customFormat="1" customHeight="1" ht="11.25" hidden="1">
      <c r="A81" s="2655"/>
      <c r="B81" s="872"/>
      <c r="D81" s="1026" t="s">
        <v>332</v>
      </c>
      <c r="E81" s="1084" t="s">
        <v>831</v>
      </c>
      <c r="F81" s="1021" t="s">
        <v>773</v>
      </c>
      <c r="G81" s="1085"/>
      <c r="H81" s="1385"/>
      <c r="I81" s="1085"/>
      <c r="J81" s="1385"/>
      <c r="K81" s="650"/>
    </row>
    <row s="18482" customFormat="1" customHeight="1" ht="11.25" hidden="1">
      <c r="A82" s="2655"/>
      <c r="B82" s="872"/>
      <c r="D82" s="1026" t="s">
        <v>334</v>
      </c>
      <c r="E82" s="1084" t="s">
        <v>832</v>
      </c>
      <c r="F82" s="1021" t="s">
        <v>773</v>
      </c>
      <c r="G82" s="1085"/>
      <c r="H82" s="1385"/>
      <c r="I82" s="1085"/>
      <c r="J82" s="1385"/>
      <c r="K82" s="650"/>
    </row>
    <row s="18482" customFormat="1" customHeight="1" ht="11.25" hidden="1">
      <c r="A83" s="2655"/>
      <c r="B83" s="872"/>
      <c r="D83" s="1026" t="s">
        <v>336</v>
      </c>
      <c r="E83" s="1084" t="s">
        <v>833</v>
      </c>
      <c r="F83" s="1021" t="s">
        <v>773</v>
      </c>
      <c r="G83" s="1085"/>
      <c r="H83" s="1385"/>
      <c r="I83" s="1085"/>
      <c r="J83" s="1385"/>
      <c r="K83" s="650"/>
    </row>
    <row s="18482" customFormat="1" customHeight="1" ht="11.25" hidden="1">
      <c r="A84" s="2655"/>
      <c r="B84" s="872"/>
      <c r="D84" s="1026" t="s">
        <v>834</v>
      </c>
      <c r="E84" s="1084" t="s">
        <v>835</v>
      </c>
      <c r="F84" s="1021" t="s">
        <v>773</v>
      </c>
      <c r="G84" s="1085"/>
      <c r="H84" s="1385"/>
      <c r="I84" s="1085"/>
      <c r="J84" s="1385"/>
      <c r="K84" s="650"/>
    </row>
    <row s="18482" customFormat="1" customHeight="1" ht="11.25" hidden="1">
      <c r="A85" s="2655"/>
      <c r="B85" s="872"/>
      <c r="D85" s="1026" t="s">
        <v>836</v>
      </c>
      <c r="E85" s="1084" t="s">
        <v>837</v>
      </c>
      <c r="F85" s="1021" t="s">
        <v>773</v>
      </c>
      <c r="G85" s="1085"/>
      <c r="H85" s="1385"/>
      <c r="I85" s="1085"/>
      <c r="J85" s="1385"/>
      <c r="K85" s="650"/>
    </row>
    <row s="18482" customFormat="1" customHeight="1" ht="11.25" hidden="1">
      <c r="A86" s="2655"/>
      <c r="B86" s="872"/>
      <c r="D86" s="1026" t="s">
        <v>838</v>
      </c>
      <c r="E86" s="1084" t="s">
        <v>839</v>
      </c>
      <c r="F86" s="1021" t="s">
        <v>773</v>
      </c>
      <c r="G86" s="1085"/>
      <c r="H86" s="1385"/>
      <c r="I86" s="1085"/>
      <c r="J86" s="1385"/>
      <c r="K86" s="650"/>
    </row>
    <row s="18482" customFormat="1" customHeight="1" ht="45" hidden="1">
      <c r="A87" s="2655"/>
      <c r="B87" s="872"/>
      <c r="D87" s="1026" t="s">
        <v>88</v>
      </c>
      <c r="E87" s="1027" t="s">
        <v>840</v>
      </c>
      <c r="F87" s="1021" t="s">
        <v>773</v>
      </c>
      <c r="G87" s="1085"/>
      <c r="H87" s="1385"/>
      <c r="I87" s="1085"/>
      <c r="J87" s="1385"/>
      <c r="K87" s="650" t="s">
        <v>841</v>
      </c>
    </row>
    <row s="18482" customFormat="1" customHeight="1" ht="11.25" hidden="1">
      <c r="A88" s="2655"/>
      <c r="B88" s="872"/>
      <c r="D88" s="1026" t="s">
        <v>667</v>
      </c>
      <c r="E88" s="1084" t="s">
        <v>830</v>
      </c>
      <c r="F88" s="1021" t="s">
        <v>773</v>
      </c>
      <c r="G88" s="1085"/>
      <c r="H88" s="1385"/>
      <c r="I88" s="1085"/>
      <c r="J88" s="1385"/>
      <c r="K88" s="650"/>
    </row>
    <row s="18482" customFormat="1" customHeight="1" ht="11.25" hidden="1">
      <c r="A89" s="2655"/>
      <c r="B89" s="872"/>
      <c r="D89" s="1026" t="s">
        <v>710</v>
      </c>
      <c r="E89" s="1084" t="s">
        <v>831</v>
      </c>
      <c r="F89" s="1021" t="s">
        <v>773</v>
      </c>
      <c r="G89" s="1085"/>
      <c r="H89" s="1385"/>
      <c r="I89" s="1085"/>
      <c r="J89" s="1385"/>
      <c r="K89" s="650"/>
    </row>
    <row s="18482" customFormat="1" customHeight="1" ht="11.25" hidden="1">
      <c r="A90" s="2655"/>
      <c r="B90" s="872"/>
      <c r="D90" s="1026" t="s">
        <v>713</v>
      </c>
      <c r="E90" s="1084" t="s">
        <v>832</v>
      </c>
      <c r="F90" s="1021" t="s">
        <v>773</v>
      </c>
      <c r="G90" s="1085"/>
      <c r="H90" s="1385"/>
      <c r="I90" s="1085"/>
      <c r="J90" s="1385"/>
      <c r="K90" s="650"/>
    </row>
    <row s="18482" customFormat="1" customHeight="1" ht="11.25" hidden="1">
      <c r="A91" s="2655"/>
      <c r="B91" s="872"/>
      <c r="D91" s="1026" t="s">
        <v>791</v>
      </c>
      <c r="E91" s="1084" t="s">
        <v>833</v>
      </c>
      <c r="F91" s="1021" t="s">
        <v>773</v>
      </c>
      <c r="G91" s="1085"/>
      <c r="H91" s="1385"/>
      <c r="I91" s="1085"/>
      <c r="J91" s="1385"/>
      <c r="K91" s="650"/>
    </row>
    <row s="18482" customFormat="1" customHeight="1" ht="11.25" hidden="1">
      <c r="A92" s="2655"/>
      <c r="B92" s="872"/>
      <c r="D92" s="1026" t="s">
        <v>793</v>
      </c>
      <c r="E92" s="1084" t="s">
        <v>835</v>
      </c>
      <c r="F92" s="1021" t="s">
        <v>773</v>
      </c>
      <c r="G92" s="1085"/>
      <c r="H92" s="1385"/>
      <c r="I92" s="1085"/>
      <c r="J92" s="1385"/>
      <c r="K92" s="650"/>
    </row>
    <row s="18482" customFormat="1" customHeight="1" ht="11.25" hidden="1">
      <c r="A93" s="2655"/>
      <c r="B93" s="872"/>
      <c r="D93" s="1026" t="s">
        <v>842</v>
      </c>
      <c r="E93" s="1084" t="s">
        <v>837</v>
      </c>
      <c r="F93" s="1021" t="s">
        <v>773</v>
      </c>
      <c r="G93" s="1085"/>
      <c r="H93" s="1385"/>
      <c r="I93" s="1085"/>
      <c r="J93" s="1385"/>
      <c r="K93" s="650"/>
    </row>
    <row s="18482" customFormat="1" customHeight="1" ht="11.25" hidden="1">
      <c r="A94" s="2655"/>
      <c r="B94" s="872"/>
      <c r="D94" s="1026" t="s">
        <v>843</v>
      </c>
      <c r="E94" s="1084" t="s">
        <v>839</v>
      </c>
      <c r="F94" s="1021" t="s">
        <v>773</v>
      </c>
      <c r="G94" s="1085"/>
      <c r="H94" s="1385"/>
      <c r="I94" s="1085"/>
      <c r="J94" s="1385"/>
      <c r="K94" s="650"/>
    </row>
    <row s="18482" customFormat="1" customHeight="1" ht="24.75" hidden="1">
      <c r="A95" s="2655"/>
      <c r="B95" s="872"/>
      <c r="D95" s="1026" t="s">
        <v>108</v>
      </c>
      <c r="E95" s="1027" t="s">
        <v>844</v>
      </c>
      <c r="F95" s="1086" t="s">
        <v>558</v>
      </c>
      <c r="G95" s="1088"/>
      <c r="H95" s="1385"/>
      <c r="I95" s="1088"/>
      <c r="J95" s="1385"/>
      <c r="K95" s="650" t="s">
        <v>845</v>
      </c>
    </row>
    <row s="18482" customFormat="1" customHeight="1" ht="33.75" hidden="1">
      <c r="A96" s="2655"/>
      <c r="B96" s="872"/>
      <c r="D96" s="1026" t="s">
        <v>89</v>
      </c>
      <c r="E96" s="1027" t="s">
        <v>846</v>
      </c>
      <c r="F96" s="1087" t="s">
        <v>734</v>
      </c>
      <c r="G96" s="1089"/>
      <c r="H96" s="1385"/>
      <c r="I96" s="1089"/>
      <c r="J96" s="1385"/>
      <c r="K96" s="650"/>
    </row>
    <row s="18482" customFormat="1" customHeight="1" ht="22.5" hidden="1">
      <c r="A97" s="2655"/>
      <c r="B97" s="872" t="s">
        <v>588</v>
      </c>
      <c r="D97" s="1026" t="s">
        <v>90</v>
      </c>
      <c r="E97" s="1027" t="s">
        <v>847</v>
      </c>
      <c r="F97" s="1087" t="s">
        <v>306</v>
      </c>
      <c r="G97" s="746"/>
      <c r="H97" s="1385"/>
      <c r="I97" s="746"/>
      <c r="J97" s="1385"/>
      <c r="K97" s="650" t="s">
        <v>806</v>
      </c>
    </row>
    <row s="18482" customFormat="1" customHeight="1" ht="45" hidden="1">
      <c r="A98" s="2655"/>
      <c r="B98" s="872" t="s">
        <v>588</v>
      </c>
      <c r="D98" s="1026" t="s">
        <v>848</v>
      </c>
      <c r="E98" s="1028" t="s">
        <v>849</v>
      </c>
      <c r="F98" s="1082" t="s">
        <v>306</v>
      </c>
      <c r="G98" s="746"/>
      <c r="H98" s="1385"/>
      <c r="I98" s="746"/>
      <c r="J98" s="1385"/>
      <c r="K98" s="650" t="s">
        <v>806</v>
      </c>
    </row>
    <row s="18482" customFormat="1" customHeight="1" ht="95.25" hidden="1">
      <c r="A99" s="2655"/>
      <c r="B99" s="872" t="s">
        <v>588</v>
      </c>
      <c r="D99" s="1026" t="s">
        <v>109</v>
      </c>
      <c r="E99" s="1027" t="s">
        <v>850</v>
      </c>
      <c r="F99" s="1082" t="s">
        <v>306</v>
      </c>
      <c r="G99" s="746"/>
      <c r="H99" s="1385"/>
      <c r="I99" s="746"/>
      <c r="J99" s="1385"/>
      <c r="K99" s="650" t="s">
        <v>806</v>
      </c>
    </row>
    <row s="18482" customFormat="1" customHeight="1" ht="22.5" hidden="1">
      <c r="A100" s="2655"/>
      <c r="B100" s="872" t="s">
        <v>588</v>
      </c>
      <c r="D100" s="1026" t="s">
        <v>145</v>
      </c>
      <c r="E100" s="1027" t="s">
        <v>851</v>
      </c>
      <c r="F100" s="1082" t="s">
        <v>306</v>
      </c>
      <c r="G100" s="746"/>
      <c r="H100" s="1385"/>
      <c r="I100" s="746"/>
      <c r="J100" s="1385"/>
      <c r="K100" s="650" t="s">
        <v>806</v>
      </c>
    </row>
    <row s="19770" customFormat="1" customHeight="1" ht="11.25">
      <c r="A101" s="1395"/>
      <c r="B101" s="879"/>
      <c r="D101" s="1396"/>
      <c r="E101" s="1397"/>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9FA8BC-19D7-F92F-CFD9-D22CE99E92E8}" mc:Ignorable="x14ac xr xr2 xr3">
  <sheetPr>
    <tabColor rgb="FFE26B0A"/>
  </sheetPr>
  <dimension ref="A1:U39"/>
  <sheetViews>
    <sheetView topLeftCell="A1" showGridLines="0" zoomScale="90" workbookViewId="0">
      <selection activeCell="A1" sqref="A1"/>
    </sheetView>
  </sheetViews>
  <sheetFormatPr defaultColWidth="10.57421875" customHeight="1" defaultRowHeight="15"/>
  <cols>
    <col min="1" max="1" style="18998" width="9.140625" hidden="1" customWidth="1"/>
    <col min="2" max="2" style="19001" width="9.140625" hidden="1" customWidth="1"/>
    <col min="3" max="3" style="19957" width="4.7109375" customWidth="1"/>
    <col min="4" max="4" style="19001" width="6.28125" customWidth="1"/>
    <col min="5" max="5" style="19001" width="36.7109375" customWidth="1"/>
    <col min="6" max="6" style="19001" width="9.57421875" customWidth="1"/>
    <col min="7" max="7" style="18482" width="25.7109375" hidden="1" customWidth="1"/>
    <col min="8" max="8" style="18482" width="33.7109375" hidden="1" customWidth="1"/>
    <col min="9" max="9" style="19001" width="25.7109375" customWidth="1"/>
    <col min="10" max="10" style="19001" width="33.7109375" customWidth="1"/>
    <col min="11" max="11" style="18483" width="93.421875" customWidth="1"/>
    <col min="12" max="20" style="19001" width="10.57421875"/>
    <col min="21" max="21" style="19958" width="10.57421875"/>
  </cols>
  <sheetData>
    <row s="18483" customFormat="1" customHeight="1" ht="15" hidden="1">
      <c r="C1" s="1033"/>
      <c r="G1" s="778">
        <v>4</v>
      </c>
      <c r="I1" s="778">
        <v>4</v>
      </c>
      <c r="U1" s="781"/>
    </row>
    <row s="18483" customFormat="1" customHeight="1" ht="15" hidden="1">
      <c r="C2" s="1033"/>
      <c r="U2" s="781"/>
    </row>
    <row customHeight="1" ht="22.5" hidden="1">
      <c r="A3" s="866"/>
      <c r="B3" s="2657"/>
      <c r="C3" s="2658" t="s">
        <v>530</v>
      </c>
      <c r="D3" s="1050" t="str">
        <f>B3&amp;".1"</f>
        <v>.1</v>
      </c>
      <c r="E3" s="1051" t="s">
        <v>852</v>
      </c>
      <c r="F3" s="1052" t="s">
        <v>306</v>
      </c>
      <c r="G3" s="1047"/>
      <c r="H3" s="762"/>
      <c r="I3" s="1047"/>
      <c r="J3" s="762"/>
      <c r="K3" s="650" t="s">
        <v>853</v>
      </c>
    </row>
    <row customHeight="1" ht="15" hidden="1">
      <c r="A4" s="866"/>
      <c r="B4" s="2657"/>
      <c r="C4" s="2658"/>
      <c r="D4" s="1050" t="str">
        <f>B3&amp;".2"</f>
        <v>.2</v>
      </c>
      <c r="E4" s="1051" t="s">
        <v>854</v>
      </c>
      <c r="F4" s="1052" t="s">
        <v>306</v>
      </c>
      <c r="G4" s="2104" t="s">
        <v>24</v>
      </c>
      <c r="H4" s="762"/>
      <c r="I4" s="2104" t="s">
        <v>24</v>
      </c>
      <c r="J4" s="762"/>
      <c r="K4" s="650" t="s">
        <v>855</v>
      </c>
    </row>
    <row s="18483" customFormat="1" customHeight="1" ht="15" hidden="1">
      <c r="C5" s="1033"/>
      <c r="U5" s="781"/>
    </row>
    <row customHeight="1" ht="22.5" hidden="1">
      <c r="A6" s="866"/>
      <c r="B6" s="2657"/>
      <c r="C6" s="2658" t="s">
        <v>530</v>
      </c>
      <c r="D6" s="1050" t="str">
        <f>B6&amp;".1"</f>
        <v>.1</v>
      </c>
      <c r="E6" s="1051" t="s">
        <v>856</v>
      </c>
      <c r="F6" s="1052" t="s">
        <v>306</v>
      </c>
      <c r="G6" s="1047"/>
      <c r="H6" s="762"/>
      <c r="I6" s="1047"/>
      <c r="J6" s="762"/>
      <c r="K6" s="650" t="s">
        <v>857</v>
      </c>
    </row>
    <row customHeight="1" ht="15" hidden="1">
      <c r="A7" s="866"/>
      <c r="B7" s="2657"/>
      <c r="C7" s="2658"/>
      <c r="D7" s="1050" t="str">
        <f>B6&amp;".2"</f>
        <v>.2</v>
      </c>
      <c r="E7" s="1051" t="s">
        <v>854</v>
      </c>
      <c r="F7" s="1052" t="s">
        <v>306</v>
      </c>
      <c r="G7" s="2104" t="s">
        <v>24</v>
      </c>
      <c r="H7" s="762"/>
      <c r="I7" s="2104" t="s">
        <v>24</v>
      </c>
      <c r="J7" s="762"/>
      <c r="K7" s="650" t="s">
        <v>855</v>
      </c>
    </row>
    <row s="18483" customFormat="1" customHeight="1" ht="15" hidden="1">
      <c r="C8" s="1033"/>
      <c r="U8" s="781"/>
    </row>
    <row customHeight="1" ht="22.5" hidden="1">
      <c r="A9" s="866"/>
      <c r="B9" s="2657"/>
      <c r="C9" s="2658" t="s">
        <v>530</v>
      </c>
      <c r="D9" s="1050" t="str">
        <f>B9&amp;".1"</f>
        <v>.1</v>
      </c>
      <c r="E9" s="1051" t="s">
        <v>858</v>
      </c>
      <c r="F9" s="1052" t="s">
        <v>306</v>
      </c>
      <c r="G9" s="1058" t="s">
        <v>24</v>
      </c>
      <c r="H9" s="762" t="s">
        <v>24</v>
      </c>
      <c r="I9" s="1058" t="s">
        <v>24</v>
      </c>
      <c r="J9" s="762" t="s">
        <v>24</v>
      </c>
      <c r="K9" s="650"/>
    </row>
    <row customHeight="1" ht="15" hidden="1">
      <c r="A10" s="866"/>
      <c r="B10" s="2657"/>
      <c r="C10" s="2658"/>
      <c r="D10" s="1050" t="str">
        <f>B9&amp;".2"</f>
        <v>.2</v>
      </c>
      <c r="E10" s="1051" t="s">
        <v>859</v>
      </c>
      <c r="F10" s="1052" t="s">
        <v>306</v>
      </c>
      <c r="G10" s="2098" t="s">
        <v>24</v>
      </c>
      <c r="H10" s="762" t="s">
        <v>24</v>
      </c>
      <c r="I10" s="2098" t="s">
        <v>24</v>
      </c>
      <c r="J10" s="762" t="s">
        <v>24</v>
      </c>
      <c r="K10" s="650" t="s">
        <v>860</v>
      </c>
    </row>
    <row customHeight="1" ht="15" hidden="1">
      <c r="A11" s="866"/>
      <c r="B11" s="2657"/>
      <c r="C11" s="2658"/>
      <c r="D11" s="1050" t="str">
        <f>B9&amp;".3"</f>
        <v>.3</v>
      </c>
      <c r="E11" s="1051" t="s">
        <v>861</v>
      </c>
      <c r="F11" s="1052" t="s">
        <v>306</v>
      </c>
      <c r="G11" s="2098" t="s">
        <v>24</v>
      </c>
      <c r="H11" s="762" t="s">
        <v>24</v>
      </c>
      <c r="I11" s="2098" t="s">
        <v>24</v>
      </c>
      <c r="J11" s="762" t="s">
        <v>24</v>
      </c>
      <c r="K11" s="650" t="s">
        <v>862</v>
      </c>
    </row>
    <row s="18483" customFormat="1" customHeight="1" ht="15" hidden="1">
      <c r="C12" s="1033"/>
      <c r="U12" s="781"/>
    </row>
    <row customHeight="1" ht="33.75" hidden="1">
      <c r="A13" s="866"/>
      <c r="B13" s="2657"/>
      <c r="C13" s="2658" t="s">
        <v>530</v>
      </c>
      <c r="D13" s="1050" t="str">
        <f>B13&amp;".1"</f>
        <v>.1</v>
      </c>
      <c r="E13" s="1051" t="s">
        <v>863</v>
      </c>
      <c r="F13" s="1052" t="s">
        <v>306</v>
      </c>
      <c r="G13" s="1058" t="s">
        <v>24</v>
      </c>
      <c r="H13" s="762" t="s">
        <v>24</v>
      </c>
      <c r="I13" s="1058" t="s">
        <v>24</v>
      </c>
      <c r="J13" s="762" t="s">
        <v>24</v>
      </c>
      <c r="K13" s="650" t="s">
        <v>864</v>
      </c>
    </row>
    <row customHeight="1" ht="15" hidden="1">
      <c r="B14" s="2657"/>
      <c r="C14" s="2658"/>
      <c r="D14" s="1050" t="str">
        <f>B13&amp;".2"</f>
        <v>.2</v>
      </c>
      <c r="E14" s="1051" t="s">
        <v>865</v>
      </c>
      <c r="F14" s="1052" t="s">
        <v>306</v>
      </c>
      <c r="G14" s="2098" t="s">
        <v>24</v>
      </c>
      <c r="H14" s="762" t="s">
        <v>24</v>
      </c>
      <c r="I14" s="2098" t="s">
        <v>24</v>
      </c>
      <c r="J14" s="762" t="s">
        <v>24</v>
      </c>
      <c r="K14" s="650" t="s">
        <v>866</v>
      </c>
    </row>
    <row s="18483" customFormat="1" customHeight="1" ht="15" hidden="1">
      <c r="C15" s="1033"/>
      <c r="U15" s="781"/>
    </row>
    <row s="18483" customFormat="1" customHeight="1" ht="15" hidden="1">
      <c r="C16" s="1033"/>
      <c r="U16" s="781"/>
    </row>
    <row s="18483" customFormat="1" customHeight="1" ht="15" hidden="1">
      <c r="C17" s="1033"/>
      <c r="U17" s="781"/>
    </row>
    <row s="18483" customFormat="1" customHeight="1" ht="15" hidden="1">
      <c r="C18" s="1033"/>
      <c r="U18" s="781"/>
    </row>
    <row s="18483" customFormat="1" customHeight="1" ht="15" hidden="1">
      <c r="C19" s="1033"/>
      <c r="U19" s="781"/>
    </row>
    <row s="18483" customFormat="1" customHeight="1" ht="15" hidden="1">
      <c r="C20" s="1033"/>
      <c r="U20" s="781"/>
    </row>
    <row customHeight="1" ht="15">
      <c r="C21" s="538"/>
      <c r="D21" s="870"/>
      <c r="E21" s="870"/>
      <c r="F21" s="870"/>
      <c r="G21" s="870"/>
      <c r="H21" s="870"/>
      <c r="I21" s="870"/>
      <c r="J21" s="870"/>
    </row>
    <row customHeight="1" ht="22.5">
      <c r="C22" s="538"/>
      <c r="D22" s="250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505"/>
      <c r="F22" s="2505"/>
      <c r="G22" s="2505"/>
      <c r="H22" s="2505"/>
      <c r="I22" s="2505"/>
      <c r="J22" s="1037"/>
      <c r="K22" s="898"/>
    </row>
    <row customHeight="1" ht="15">
      <c r="C23" s="538"/>
      <c r="D23" s="2474" t="str">
        <f>IF(org=0,"Не определено",org)</f>
        <v>Филиал "Шатурская ГРЭС" ПАО "Юнипро"</v>
      </c>
      <c r="E23" s="2474"/>
      <c r="F23" s="2474"/>
      <c r="G23" s="2474"/>
      <c r="H23" s="2474"/>
      <c r="I23" s="2474"/>
      <c r="J23" s="1037"/>
      <c r="K23" s="898"/>
    </row>
    <row customHeight="1" ht="15">
      <c r="C24" s="538"/>
      <c r="D24" s="870"/>
      <c r="E24" s="870"/>
      <c r="F24" s="870"/>
      <c r="G24" s="898">
        <v>22</v>
      </c>
      <c r="H24" s="1113"/>
      <c r="I24" s="898">
        <v>22</v>
      </c>
      <c r="J24" s="1113"/>
    </row>
    <row s="18482" customFormat="1" customHeight="1" ht="0.75">
      <c r="A25" s="1120"/>
      <c r="C25" s="538"/>
      <c r="D25" s="870"/>
      <c r="E25" s="870"/>
      <c r="F25" s="870"/>
      <c r="G25" s="898"/>
      <c r="H25" s="1113"/>
      <c r="I25" s="898" t="s">
        <v>114</v>
      </c>
      <c r="J25" s="1113"/>
      <c r="K25" s="778"/>
      <c r="U25" s="1036"/>
    </row>
    <row customHeight="1" ht="15">
      <c r="C26" s="538"/>
      <c r="D26" s="1072"/>
      <c r="E26" s="2636" t="s">
        <v>102</v>
      </c>
      <c r="F26" s="2637"/>
      <c r="G26" s="2659" t="str">
        <f>IF(G25="","",INDEX(DIFFERENTIATION_UNMERGE_VD,MATCH(G25,DIFFERENTIATION_ID_DIFF,0)))</f>
        <v/>
      </c>
      <c r="H26" s="2660"/>
      <c r="I26" s="2659">
        <f>IF(I25="","",INDEX(DIFFERENTIATION_UNMERGE_VD,MATCH(I25,DIFFERENTIATION_ID_DIFF,0)))</f>
        <v>0</v>
      </c>
      <c r="J26" s="2660"/>
      <c r="K26" s="2449" t="s">
        <v>301</v>
      </c>
    </row>
    <row s="18482" customFormat="1" customHeight="1" ht="15">
      <c r="A27" s="1120"/>
      <c r="C27" s="538"/>
      <c r="D27" s="1072"/>
      <c r="E27" s="2636" t="s">
        <v>564</v>
      </c>
      <c r="F27" s="2637"/>
      <c r="G27" s="2659" t="str">
        <f>IF(G25="","",INDEX(DIFFERENTIATION_UNMERGE_AREA,MATCH(G25,DIFFERENTIATION_ID_DIFF,0)))</f>
        <v/>
      </c>
      <c r="H27" s="2660"/>
      <c r="I27" s="2659" t="str">
        <f>IF(I25="","",INDEX(DIFFERENTIATION_UNMERGE_AREA,MATCH(I25,DIFFERENTIATION_ID_DIFF,0)))</f>
        <v/>
      </c>
      <c r="J27" s="2660"/>
      <c r="K27" s="2453"/>
      <c r="U27" s="1036"/>
    </row>
    <row s="18482" customFormat="1" customHeight="1" ht="15">
      <c r="A28" s="1120"/>
      <c r="C28" s="538"/>
      <c r="D28" s="1072"/>
      <c r="E28" s="2636" t="s">
        <v>565</v>
      </c>
      <c r="F28" s="2637"/>
      <c r="G28" s="2659" t="str">
        <f>IF(G25="","",INDEX(DIFFERENTIATION_UNMERGE_SYSTEM,MATCH(G25,DIFFERENTIATION_ID_DIFF,0)))</f>
        <v/>
      </c>
      <c r="H28" s="2660"/>
      <c r="I28" s="2659" t="str">
        <f>IF(I25="","",INDEX(DIFFERENTIATION_UNMERGE_SYSTEM,MATCH(I25,DIFFERENTIATION_ID_DIFF,0)))</f>
        <v>без дифференциации</v>
      </c>
      <c r="J28" s="2660"/>
      <c r="K28" s="2453"/>
      <c r="U28" s="1036"/>
    </row>
    <row s="18482" customFormat="1" customHeight="1" ht="15">
      <c r="A29" s="1120"/>
      <c r="C29" s="538"/>
      <c r="D29" s="2638" t="s">
        <v>300</v>
      </c>
      <c r="E29" s="2639"/>
      <c r="F29" s="2639"/>
      <c r="G29" s="1248"/>
      <c r="H29" s="1248"/>
      <c r="I29" s="1248"/>
      <c r="J29" s="1249"/>
      <c r="K29" s="2453"/>
      <c r="U29" s="1036"/>
    </row>
    <row customHeight="1" ht="33.75">
      <c r="C30" s="538"/>
      <c r="D30" s="1122" t="s">
        <v>85</v>
      </c>
      <c r="E30" s="1121" t="s">
        <v>302</v>
      </c>
      <c r="F30" s="1121" t="s">
        <v>566</v>
      </c>
      <c r="G30" s="1169" t="s">
        <v>303</v>
      </c>
      <c r="H30" s="1168" t="s">
        <v>390</v>
      </c>
      <c r="I30" s="1045" t="s">
        <v>303</v>
      </c>
      <c r="J30" s="826" t="s">
        <v>390</v>
      </c>
      <c r="K30" s="2459"/>
    </row>
    <row customHeight="1" ht="15" hidden="1">
      <c r="C31" s="538"/>
      <c r="D31" s="954"/>
      <c r="E31" s="954"/>
      <c r="F31" s="954"/>
      <c r="G31" s="1020"/>
      <c r="H31" s="1020"/>
      <c r="I31" s="1020"/>
      <c r="J31" s="1020"/>
      <c r="K31" s="650"/>
    </row>
    <row customHeight="1" ht="22.5">
      <c r="A32" s="866"/>
      <c r="B32" s="866" t="s">
        <v>867</v>
      </c>
      <c r="C32" s="887"/>
      <c r="D32" s="1053">
        <v>1</v>
      </c>
      <c r="E32" s="1054" t="s">
        <v>868</v>
      </c>
      <c r="F32" s="1052" t="s">
        <v>306</v>
      </c>
      <c r="G32" s="1174" t="s">
        <v>306</v>
      </c>
      <c r="H32" s="1174" t="s">
        <v>306</v>
      </c>
      <c r="I32" s="1052" t="s">
        <v>306</v>
      </c>
      <c r="J32" s="1052" t="s">
        <v>306</v>
      </c>
      <c r="K32" s="650"/>
    </row>
    <row customHeight="1" ht="11.25">
      <c r="A33" s="866"/>
      <c r="C33" s="866"/>
      <c r="D33" s="708"/>
      <c r="E33" s="941" t="s">
        <v>586</v>
      </c>
      <c r="F33" s="933"/>
      <c r="G33" s="933"/>
      <c r="H33" s="933"/>
      <c r="I33" s="933"/>
      <c r="J33" s="933"/>
      <c r="K33" s="934"/>
      <c r="U33" s="866"/>
    </row>
    <row customHeight="1" ht="22.5">
      <c r="A34" s="866"/>
      <c r="B34" s="942" t="s">
        <v>869</v>
      </c>
      <c r="C34" s="887"/>
      <c r="D34" s="1053">
        <v>2</v>
      </c>
      <c r="E34" s="1054" t="s">
        <v>870</v>
      </c>
      <c r="F34" s="1181" t="s">
        <v>306</v>
      </c>
      <c r="G34" s="1181" t="s">
        <v>306</v>
      </c>
      <c r="H34" s="1181" t="s">
        <v>306</v>
      </c>
      <c r="I34" s="1052"/>
      <c r="J34" s="1052"/>
      <c r="K34" s="650"/>
    </row>
    <row customHeight="1" ht="11.25">
      <c r="A35" s="866"/>
      <c r="C35" s="866"/>
      <c r="D35" s="708"/>
      <c r="E35" s="941" t="s">
        <v>871</v>
      </c>
      <c r="F35" s="933"/>
      <c r="G35" s="1055"/>
      <c r="H35" s="933"/>
      <c r="I35" s="1055"/>
      <c r="J35" s="933"/>
      <c r="K35" s="934"/>
      <c r="U35" s="866"/>
    </row>
    <row customHeight="1" ht="67.5">
      <c r="A36" s="866"/>
      <c r="B36" s="866" t="s">
        <v>872</v>
      </c>
      <c r="C36" s="887"/>
      <c r="D36" s="1053">
        <v>3</v>
      </c>
      <c r="E36" s="1054" t="s">
        <v>873</v>
      </c>
      <c r="F36" s="1056" t="s">
        <v>306</v>
      </c>
      <c r="G36" s="1175" t="s">
        <v>874</v>
      </c>
      <c r="H36" s="1174" t="s">
        <v>306</v>
      </c>
      <c r="I36" s="885" t="s">
        <v>874</v>
      </c>
      <c r="J36" s="1052" t="s">
        <v>306</v>
      </c>
      <c r="K36" s="650" t="s">
        <v>875</v>
      </c>
    </row>
    <row customHeight="1" ht="11.25">
      <c r="A37" s="866"/>
      <c r="C37" s="866"/>
      <c r="D37" s="708"/>
      <c r="E37" s="941" t="s">
        <v>876</v>
      </c>
      <c r="F37" s="933"/>
      <c r="G37" s="1055"/>
      <c r="H37" s="1055"/>
      <c r="I37" s="1055"/>
      <c r="J37" s="1055"/>
      <c r="K37" s="934"/>
      <c r="U37" s="866"/>
    </row>
    <row customHeight="1" ht="67.5">
      <c r="A38" s="866"/>
      <c r="B38" s="866" t="s">
        <v>877</v>
      </c>
      <c r="C38" s="887"/>
      <c r="D38" s="1053">
        <v>4</v>
      </c>
      <c r="E38" s="1054" t="s">
        <v>878</v>
      </c>
      <c r="F38" s="1056" t="s">
        <v>306</v>
      </c>
      <c r="G38" s="1175" t="s">
        <v>874</v>
      </c>
      <c r="H38" s="1176" t="s">
        <v>306</v>
      </c>
      <c r="I38" s="885" t="s">
        <v>874</v>
      </c>
      <c r="J38" s="882" t="s">
        <v>306</v>
      </c>
      <c r="K38" s="1040" t="s">
        <v>879</v>
      </c>
    </row>
    <row customHeight="1" ht="11.25">
      <c r="A39" s="866"/>
      <c r="C39" s="866"/>
      <c r="D39" s="708"/>
      <c r="E39" s="941" t="s">
        <v>880</v>
      </c>
      <c r="F39" s="933"/>
      <c r="G39" s="933"/>
      <c r="H39" s="1057"/>
      <c r="I39" s="933"/>
      <c r="J39" s="1057"/>
      <c r="K39" s="934"/>
      <c r="U39" s="866"/>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9FE40B-3D5F-B0E4-8489-D17A11EC36C1}"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19984" width="6.7109375" hidden="1" customWidth="1"/>
    <col min="4" max="4" style="18483" width="6.7109375" hidden="1" customWidth="1"/>
    <col min="5" max="5" style="19770" width="3.7109375" customWidth="1"/>
    <col min="6" max="6" style="18482" width="6.28125" customWidth="1"/>
    <col min="7" max="7" style="18482" width="37.7109375" customWidth="1"/>
    <col min="8" max="8" style="19232" width="16.57421875" customWidth="1"/>
    <col min="9" max="10" style="18482" width="19.7109375" customWidth="1"/>
    <col min="11" max="11" style="18482" width="25.00390625" customWidth="1"/>
    <col min="12" max="13" style="18482" width="25.7109375" customWidth="1"/>
    <col min="14" max="16" style="18482" width="17.7109375" customWidth="1"/>
    <col min="17" max="24" style="18482" width="19.7109375" customWidth="1"/>
    <col min="25" max="25" style="18482" width="8.00390625" customWidth="1"/>
    <col min="26" max="26" style="18482" width="3.28125" customWidth="1"/>
    <col min="27" max="27" style="18482" width="6.28125" customWidth="1"/>
    <col min="28" max="28" style="18482" width="34.140625" customWidth="1"/>
    <col min="29" max="30" style="18482" width="9.140625"/>
  </cols>
  <sheetData>
    <row s="18483" customFormat="1" customHeight="1" ht="10.5" hidden="1">
      <c r="A1" s="1256"/>
      <c r="B1" s="1256"/>
      <c r="C1" s="1256"/>
      <c r="E1" s="898"/>
      <c r="H1" s="1523"/>
    </row>
    <row customHeight="1" ht="10.5" hidden="1"/>
    <row s="19960" customFormat="1" customHeight="1" ht="10.5" hidden="1">
      <c r="A3" s="1256"/>
      <c r="B3" s="1256"/>
      <c r="C3" s="1256"/>
      <c r="D3" s="778"/>
      <c r="E3" s="723"/>
      <c r="H3" s="1519"/>
    </row>
    <row customHeight="1" ht="3"/>
    <row customHeight="1" ht="25.5">
      <c r="F5" s="2560" t="str">
        <f>IP_NAME_FORM</f>
        <v>Форма 7. Информация об инвестиционных программах организации горячего водоснабжения и отчетах об их исполнении</v>
      </c>
      <c r="G5" s="2560"/>
      <c r="H5" s="2560"/>
      <c r="I5" s="2560"/>
      <c r="J5" s="2560"/>
      <c r="K5" s="2560"/>
      <c r="M5" s="943"/>
      <c r="AB5" s="1267"/>
    </row>
    <row s="19274" customFormat="1" customHeight="1" ht="15.75">
      <c r="A6" s="1529"/>
      <c r="B6" s="1529"/>
      <c r="C6" s="1529"/>
      <c r="D6" s="1523"/>
      <c r="E6" s="2001"/>
      <c r="F6" s="2561" t="str">
        <f>IF(org=0,"Не определено",org)</f>
        <v>Филиал "Шатурская ГРЭС" ПАО "Юнипро"</v>
      </c>
      <c r="G6" s="2561"/>
      <c r="H6" s="2561"/>
      <c r="I6" s="2561"/>
      <c r="J6" s="2561"/>
      <c r="K6" s="2561"/>
      <c r="M6" s="943"/>
      <c r="AB6" s="1511"/>
    </row>
    <row r="8" customHeight="1" ht="10.5">
      <c r="A8" s="1413"/>
      <c r="B8" s="1413"/>
      <c r="C8" s="1413"/>
      <c r="F8" s="2376" t="s">
        <v>300</v>
      </c>
      <c r="G8" s="2377"/>
      <c r="H8" s="2377"/>
      <c r="I8" s="2377"/>
      <c r="J8" s="2377"/>
      <c r="K8" s="2377"/>
      <c r="L8" s="2377"/>
      <c r="M8" s="2377"/>
      <c r="N8" s="2377"/>
      <c r="O8" s="2377"/>
      <c r="P8" s="2377"/>
      <c r="Q8" s="2377"/>
      <c r="R8" s="2377"/>
      <c r="S8" s="2377"/>
      <c r="T8" s="2377"/>
      <c r="U8" s="2377"/>
      <c r="V8" s="2377"/>
      <c r="W8" s="2377"/>
      <c r="X8" s="2377"/>
      <c r="Y8" s="2377"/>
      <c r="Z8" s="2377"/>
      <c r="AA8" s="2377"/>
      <c r="AB8" s="2378"/>
    </row>
    <row customHeight="1" ht="41.25">
      <c r="A9" s="1266"/>
      <c r="B9" s="1266"/>
      <c r="C9" s="1266"/>
      <c r="F9" s="2392" t="s">
        <v>85</v>
      </c>
      <c r="G9" s="2392" t="s">
        <v>881</v>
      </c>
      <c r="H9" s="2449" t="s">
        <v>882</v>
      </c>
      <c r="I9" s="2392" t="s">
        <v>883</v>
      </c>
      <c r="J9" s="2392" t="s">
        <v>884</v>
      </c>
      <c r="K9" s="2392" t="s">
        <v>885</v>
      </c>
      <c r="L9" s="2392" t="s">
        <v>886</v>
      </c>
      <c r="M9" s="2392" t="s">
        <v>887</v>
      </c>
      <c r="N9" s="2482" t="s">
        <v>888</v>
      </c>
      <c r="O9" s="2482"/>
      <c r="P9" s="2482"/>
      <c r="Q9" s="2665" t="s">
        <v>889</v>
      </c>
      <c r="R9" s="2666"/>
      <c r="S9" s="2666"/>
      <c r="T9" s="2667"/>
      <c r="U9" s="2665" t="s">
        <v>890</v>
      </c>
      <c r="V9" s="2666"/>
      <c r="W9" s="2666"/>
      <c r="X9" s="2667"/>
      <c r="Y9" s="2376" t="s">
        <v>891</v>
      </c>
      <c r="Z9" s="2377"/>
      <c r="AA9" s="2377"/>
      <c r="AB9" s="2378"/>
    </row>
    <row customHeight="1" ht="41.25">
      <c r="A10" s="1266"/>
      <c r="B10" s="1266"/>
      <c r="C10" s="1266"/>
      <c r="F10" s="2449"/>
      <c r="G10" s="2449"/>
      <c r="H10" s="2510"/>
      <c r="I10" s="2449"/>
      <c r="J10" s="2449"/>
      <c r="K10" s="2449"/>
      <c r="L10" s="2449"/>
      <c r="M10" s="2449"/>
      <c r="N10" s="1264" t="s">
        <v>892</v>
      </c>
      <c r="O10" s="1264" t="s">
        <v>893</v>
      </c>
      <c r="P10" s="1265" t="s">
        <v>894</v>
      </c>
      <c r="Q10" s="1276" t="s">
        <v>86</v>
      </c>
      <c r="R10" s="1276" t="s">
        <v>895</v>
      </c>
      <c r="S10" s="1276" t="s">
        <v>896</v>
      </c>
      <c r="T10" s="1277" t="s">
        <v>897</v>
      </c>
      <c r="U10" s="1276" t="s">
        <v>86</v>
      </c>
      <c r="V10" s="1276" t="s">
        <v>898</v>
      </c>
      <c r="W10" s="1276" t="s">
        <v>896</v>
      </c>
      <c r="X10" s="1277" t="s">
        <v>897</v>
      </c>
      <c r="Y10" s="662" t="s">
        <v>899</v>
      </c>
      <c r="Z10" s="2376" t="s">
        <v>85</v>
      </c>
      <c r="AA10" s="2378"/>
      <c r="AB10" s="1411" t="s">
        <v>900</v>
      </c>
    </row>
    <row s="19219" customFormat="1" customHeight="1" ht="5.25" hidden="1">
      <c r="A11" s="1414"/>
      <c r="B11" s="1414"/>
      <c r="C11" s="1414"/>
      <c r="E11" s="1412"/>
      <c r="F11" s="2663" t="s">
        <v>376</v>
      </c>
      <c r="G11" s="2668"/>
      <c r="H11" s="2661"/>
      <c r="I11" s="2661"/>
      <c r="J11" s="2661"/>
      <c r="K11" s="2664"/>
      <c r="L11" s="2664"/>
      <c r="M11" s="2664"/>
      <c r="N11" s="2661"/>
      <c r="O11" s="2661"/>
      <c r="P11" s="2392"/>
      <c r="Q11" s="2462"/>
      <c r="R11" s="2462"/>
      <c r="S11" s="2462"/>
      <c r="T11" s="2661"/>
      <c r="U11" s="2462"/>
      <c r="V11" s="2462"/>
      <c r="W11" s="2462"/>
      <c r="X11" s="2661"/>
      <c r="Y11" s="2403"/>
      <c r="Z11" s="2403"/>
      <c r="AA11" s="2403"/>
      <c r="AB11" s="2403"/>
      <c r="AD11" s="872" t="s">
        <v>901</v>
      </c>
    </row>
    <row s="19219" customFormat="1" customHeight="1" ht="5.25" hidden="1">
      <c r="A12" s="1257"/>
      <c r="B12" s="1257"/>
      <c r="C12" s="1257"/>
      <c r="E12" s="879"/>
      <c r="F12" s="2663"/>
      <c r="G12" s="2668"/>
      <c r="H12" s="2661"/>
      <c r="I12" s="2661"/>
      <c r="J12" s="2661"/>
      <c r="K12" s="2664"/>
      <c r="L12" s="2664"/>
      <c r="M12" s="2664"/>
      <c r="N12" s="2661"/>
      <c r="O12" s="2661"/>
      <c r="P12" s="2392"/>
      <c r="Q12" s="2462"/>
      <c r="R12" s="2462"/>
      <c r="S12" s="2462"/>
      <c r="T12" s="2661"/>
      <c r="U12" s="2462"/>
      <c r="V12" s="2462"/>
      <c r="W12" s="2462"/>
      <c r="X12" s="2661"/>
      <c r="Y12" s="2662"/>
      <c r="Z12" s="2662"/>
      <c r="AA12" s="2662"/>
      <c r="AB12" s="2662"/>
    </row>
    <row customHeight="1" ht="10.5">
      <c r="F13" s="1263"/>
      <c r="G13" s="1011" t="s">
        <v>902</v>
      </c>
      <c r="H13" s="1531"/>
      <c r="I13" s="933"/>
      <c r="J13" s="933"/>
      <c r="K13" s="933"/>
      <c r="L13" s="933"/>
      <c r="M13" s="933"/>
      <c r="N13" s="933"/>
      <c r="O13" s="933"/>
      <c r="P13" s="933"/>
      <c r="Q13" s="933"/>
      <c r="R13" s="933"/>
      <c r="S13" s="933"/>
      <c r="T13" s="933"/>
      <c r="U13" s="933"/>
      <c r="V13" s="933"/>
      <c r="W13" s="933"/>
      <c r="X13" s="933"/>
      <c r="Y13" s="933"/>
      <c r="Z13" s="1057"/>
      <c r="AA13" s="1057"/>
      <c r="AB13" s="1278"/>
    </row>
    <row r="15" s="19219" customFormat="1" customHeight="1" ht="10.5">
      <c r="A15" s="1530"/>
      <c r="B15" s="1530"/>
      <c r="C15" s="1530"/>
      <c r="E15" s="879"/>
      <c r="H15" s="872">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02765F-3ABC-4DBD-F516-CEA01911E791}" mc:Ignorable="x14ac xr xr2 xr3">
  <sheetPr>
    <tabColor rgb="FFCCCCFF"/>
  </sheetPr>
  <dimension ref="A1:AL16"/>
  <sheetViews>
    <sheetView topLeftCell="A1" showGridLines="0" zoomScale="90" workbookViewId="0">
      <selection activeCell="A1" sqref="A1"/>
    </sheetView>
  </sheetViews>
  <sheetFormatPr defaultColWidth="9.140625" customHeight="1" defaultRowHeight="11.25"/>
  <cols>
    <col min="1" max="1" style="18572" width="6.421875" hidden="1" customWidth="1"/>
    <col min="2" max="2" style="18572" width="2.00390625" hidden="1" customWidth="1"/>
    <col min="3" max="3" style="18572" width="3.7109375" customWidth="1"/>
    <col min="4" max="4" style="18572" width="4.28125" customWidth="1"/>
    <col min="5" max="5" style="18572" width="45.00390625" customWidth="1"/>
    <col min="6" max="6" style="18572" width="6.421875" customWidth="1"/>
    <col min="7" max="7" style="18572" width="4.421875" customWidth="1"/>
    <col min="8" max="8" style="18572" width="5.57421875" customWidth="1"/>
    <col min="9" max="9" style="18572" width="52.8515625" customWidth="1"/>
    <col min="10" max="10" style="18572" width="7.00390625" customWidth="1"/>
    <col min="11" max="11" style="18572" width="3.7109375" customWidth="1"/>
    <col min="12" max="12" style="18572" width="6.28125" customWidth="1"/>
    <col min="13" max="13" style="18572" width="56.28125" customWidth="1"/>
    <col min="14" max="14" style="18573" width="9.140625"/>
    <col min="15" max="20" style="18574" width="9.140625" hidden="1"/>
    <col min="21" max="24" style="18575" width="9.140625" hidden="1"/>
    <col min="25" max="37" style="18573" width="9.140625" hidden="1"/>
    <col min="38" max="38" style="18573" width="9.140625"/>
  </cols>
  <sheetData>
    <row customHeight="1" ht="11.25" hidden="1"/>
    <row customHeight="1" ht="11.25" hidden="1"/>
    <row r="4" customHeight="1" ht="34.5">
      <c r="A4" s="946"/>
      <c r="B4" s="946"/>
      <c r="D4" s="2384" t="str">
        <f>Титульный!E5</f>
        <v>Показатели, подлежащие раскрытию в сфере горячего водоснабжения (цены и тарифы)</v>
      </c>
      <c r="E4" s="2385"/>
      <c r="F4" s="2385"/>
      <c r="G4" s="2385"/>
      <c r="H4" s="2385"/>
      <c r="I4" s="2386"/>
      <c r="J4" s="945"/>
      <c r="K4" s="945"/>
      <c r="L4" s="945"/>
      <c r="M4" s="945"/>
    </row>
    <row s="18494" customFormat="1" customHeight="1" ht="15">
      <c r="A5" s="946"/>
      <c r="B5" s="946"/>
      <c r="C5" s="946"/>
      <c r="D5" s="2387" t="str">
        <f>IF(org=0,"Не определено",org)</f>
        <v>Филиал "Шатурская ГРЭС" ПАО "Юнипро"</v>
      </c>
      <c r="E5" s="2388"/>
      <c r="F5" s="2388"/>
      <c r="G5" s="2388"/>
      <c r="H5" s="2388"/>
      <c r="I5" s="2389"/>
      <c r="J5" s="947"/>
      <c r="K5" s="947"/>
      <c r="L5" s="947"/>
      <c r="M5" s="947"/>
      <c r="N5" s="947"/>
      <c r="O5" s="1231"/>
      <c r="P5" s="1231"/>
      <c r="Q5" s="1231"/>
      <c r="R5" s="1231"/>
      <c r="S5" s="1231"/>
      <c r="T5" s="1231"/>
      <c r="U5" s="1627"/>
      <c r="V5" s="1627"/>
      <c r="W5" s="1627"/>
      <c r="X5" s="1627"/>
      <c r="Y5" s="947"/>
      <c r="Z5" s="947"/>
      <c r="AA5" s="947"/>
      <c r="AB5" s="947"/>
      <c r="AC5" s="947"/>
      <c r="AD5" s="947"/>
      <c r="AE5" s="947"/>
      <c r="AF5" s="947"/>
      <c r="AG5" s="947"/>
      <c r="AH5" s="947"/>
      <c r="AI5" s="947"/>
      <c r="AJ5" s="947"/>
      <c r="AK5" s="947"/>
      <c r="AL5" s="947"/>
    </row>
    <row s="18501" customFormat="1" customHeight="1" ht="6">
      <c r="A6" s="2390"/>
      <c r="B6" s="2390"/>
      <c r="C6" s="2390"/>
      <c r="D6" s="2390"/>
      <c r="E6" s="2390"/>
      <c r="F6" s="2390"/>
      <c r="G6" s="949"/>
      <c r="H6" s="949"/>
      <c r="I6" s="949"/>
      <c r="J6" s="949"/>
      <c r="K6" s="949"/>
      <c r="N6" s="951"/>
      <c r="O6" s="1780"/>
      <c r="P6" s="1780"/>
      <c r="Q6" s="1780"/>
      <c r="R6" s="1780"/>
      <c r="S6" s="1780"/>
      <c r="T6" s="1780"/>
      <c r="U6" s="1630"/>
      <c r="V6" s="1630"/>
      <c r="W6" s="1630"/>
      <c r="X6" s="1630"/>
      <c r="Y6" s="951"/>
      <c r="Z6" s="951"/>
      <c r="AA6" s="951"/>
      <c r="AB6" s="951"/>
      <c r="AC6" s="951"/>
      <c r="AD6" s="951"/>
      <c r="AE6" s="951"/>
      <c r="AF6" s="951"/>
      <c r="AG6" s="951"/>
      <c r="AH6" s="951"/>
      <c r="AI6" s="951"/>
      <c r="AJ6" s="951"/>
      <c r="AK6" s="951"/>
      <c r="AL6" s="951"/>
    </row>
    <row customHeight="1" ht="45.75" hidden="1">
      <c r="E7" s="239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396"/>
      <c r="G7" s="2396"/>
      <c r="H7" s="2396"/>
      <c r="I7" s="2396"/>
      <c r="J7" s="2396"/>
      <c r="K7" s="2396"/>
      <c r="L7" s="2396"/>
      <c r="M7" s="2396"/>
    </row>
    <row s="18494" customFormat="1" customHeight="1" ht="6">
      <c r="A8" s="952"/>
      <c r="B8" s="952"/>
      <c r="C8" s="952"/>
      <c r="D8" s="952"/>
      <c r="E8" s="952"/>
      <c r="F8" s="952"/>
      <c r="G8" s="952"/>
      <c r="H8" s="952"/>
      <c r="I8" s="952"/>
      <c r="J8" s="952"/>
      <c r="K8" s="952"/>
      <c r="L8" s="952"/>
      <c r="M8" s="950"/>
      <c r="N8" s="947"/>
      <c r="O8" s="1231"/>
      <c r="P8" s="1231"/>
      <c r="Q8" s="1231"/>
      <c r="R8" s="1231"/>
      <c r="S8" s="1231"/>
      <c r="T8" s="1231"/>
      <c r="U8" s="1627"/>
      <c r="V8" s="1627"/>
      <c r="W8" s="1627"/>
      <c r="X8" s="1627"/>
      <c r="Y8" s="947"/>
      <c r="Z8" s="947"/>
      <c r="AA8" s="947"/>
      <c r="AB8" s="947"/>
      <c r="AC8" s="947"/>
      <c r="AD8" s="947"/>
      <c r="AE8" s="947"/>
      <c r="AF8" s="947"/>
      <c r="AG8" s="947"/>
      <c r="AH8" s="947"/>
      <c r="AI8" s="947"/>
      <c r="AJ8" s="947"/>
      <c r="AK8" s="947"/>
      <c r="AL8" s="947"/>
    </row>
    <row customHeight="1" ht="18">
      <c r="A9" s="2391"/>
      <c r="B9" s="684"/>
      <c r="C9" s="684"/>
      <c r="D9" s="2392" t="s">
        <v>102</v>
      </c>
      <c r="E9" s="2392"/>
      <c r="F9" s="2393" t="s">
        <v>103</v>
      </c>
      <c r="G9" s="2394"/>
      <c r="H9" s="2394"/>
      <c r="I9" s="2394"/>
      <c r="J9" s="2397" t="s">
        <v>104</v>
      </c>
      <c r="K9" s="2397"/>
      <c r="L9" s="2397"/>
      <c r="M9" s="2397"/>
    </row>
    <row customHeight="1" ht="22.5">
      <c r="A10" s="2391"/>
      <c r="B10" s="953"/>
      <c r="C10" s="886"/>
      <c r="D10" s="884" t="s">
        <v>85</v>
      </c>
      <c r="E10" s="884" t="s">
        <v>86</v>
      </c>
      <c r="F10" s="884" t="s">
        <v>105</v>
      </c>
      <c r="G10" s="2398" t="s">
        <v>85</v>
      </c>
      <c r="H10" s="2399"/>
      <c r="I10" s="884" t="s">
        <v>86</v>
      </c>
      <c r="J10" s="884" t="s">
        <v>105</v>
      </c>
      <c r="K10" s="2398" t="s">
        <v>85</v>
      </c>
      <c r="L10" s="2399"/>
      <c r="M10" s="884" t="s">
        <v>86</v>
      </c>
      <c r="N10" s="1993"/>
    </row>
    <row s="18523" customFormat="1" customHeight="1" ht="11.25" hidden="1">
      <c r="A11" s="954"/>
      <c r="B11" s="954"/>
      <c r="C11" s="954"/>
      <c r="D11" s="955" t="s">
        <v>106</v>
      </c>
      <c r="E11" s="955" t="s">
        <v>107</v>
      </c>
      <c r="F11" s="955" t="s">
        <v>87</v>
      </c>
      <c r="G11" s="2380" t="s">
        <v>88</v>
      </c>
      <c r="H11" s="2381"/>
      <c r="I11" s="955" t="s">
        <v>108</v>
      </c>
      <c r="J11" s="955" t="s">
        <v>89</v>
      </c>
      <c r="K11" s="2382" t="s">
        <v>90</v>
      </c>
      <c r="L11" s="2383"/>
      <c r="M11" s="955" t="s">
        <v>109</v>
      </c>
      <c r="N11" s="1992"/>
      <c r="O11" s="1779"/>
      <c r="P11" s="1781"/>
      <c r="Q11" s="1781"/>
      <c r="R11" s="1781"/>
      <c r="S11" s="1781"/>
      <c r="T11" s="1781"/>
      <c r="U11" s="1631"/>
      <c r="V11" s="1631"/>
      <c r="W11" s="1631"/>
      <c r="X11" s="1631"/>
      <c r="Y11" s="956"/>
      <c r="Z11" s="956"/>
      <c r="AA11" s="956"/>
      <c r="AB11" s="956"/>
      <c r="AC11" s="956"/>
      <c r="AD11" s="956"/>
      <c r="AE11" s="956"/>
      <c r="AF11" s="956"/>
      <c r="AG11" s="956"/>
      <c r="AH11" s="956"/>
      <c r="AI11" s="956"/>
      <c r="AJ11" s="956"/>
      <c r="AK11" s="956"/>
      <c r="AL11" s="956"/>
    </row>
    <row customHeight="1" ht="0.75">
      <c r="A12" s="958"/>
      <c r="B12" s="959"/>
      <c r="C12" s="959"/>
      <c r="D12" s="960"/>
      <c r="E12" s="728"/>
      <c r="F12" s="961"/>
      <c r="G12" s="1421"/>
      <c r="H12" s="1421"/>
      <c r="I12" s="961"/>
      <c r="J12" s="961"/>
      <c r="K12" s="536"/>
      <c r="L12" s="728"/>
      <c r="M12" s="962"/>
      <c r="N12" s="1993"/>
      <c r="O12" s="1779" t="s">
        <v>110</v>
      </c>
      <c r="P12" s="1779" t="s">
        <v>111</v>
      </c>
      <c r="Q12" s="1779" t="s">
        <v>112</v>
      </c>
      <c r="R12" s="1779" t="s">
        <v>113</v>
      </c>
    </row>
    <row s="18543" customFormat="1" customHeight="1" ht="15">
      <c r="A13" s="654"/>
      <c r="B13" s="654"/>
      <c r="C13" s="887"/>
      <c r="D13" s="2403" t="s">
        <v>106</v>
      </c>
      <c r="E13" s="2404"/>
      <c r="F13" s="2407" t="s">
        <v>59</v>
      </c>
      <c r="G13" s="2408"/>
      <c r="H13" s="2409">
        <v>1</v>
      </c>
      <c r="I13" s="2400" t="str">
        <f>IF(U13="","",INDEX(TERRITORY_MR_LIST,MATCH(U13,TERRITORY_LIST_ID,0)))</f>
        <v/>
      </c>
      <c r="J13" s="2402" t="s">
        <v>54</v>
      </c>
      <c r="K13" s="963"/>
      <c r="L13" s="888" t="s">
        <v>106</v>
      </c>
      <c r="M13" s="964" t="s">
        <v>24</v>
      </c>
      <c r="N13" s="1173"/>
      <c r="O13" s="1782" t="s">
        <v>114</v>
      </c>
      <c r="P13" s="1779">
        <f>$E$13</f>
        <v>0</v>
      </c>
      <c r="Q13" s="1779" t="str">
        <f>IF($F$13="нет","без дифференциации",$I$13)</f>
        <v/>
      </c>
      <c r="R13" s="1779" t="str">
        <f>IF($J$13="нет","без дифференциации",M13)</f>
        <v>без дифференциации</v>
      </c>
      <c r="S13" s="1782"/>
      <c r="T13" s="1782"/>
      <c r="U13" s="1632"/>
      <c r="V13" s="1632"/>
      <c r="W13" s="1632"/>
      <c r="X13" s="1632"/>
      <c r="Y13" s="965" t="s">
        <v>115</v>
      </c>
      <c r="Z13" s="965">
        <v>1705000</v>
      </c>
      <c r="AA13" s="965"/>
      <c r="AB13" s="965"/>
      <c r="AC13" s="965"/>
      <c r="AD13" s="965"/>
      <c r="AE13" s="965"/>
      <c r="AF13" s="965"/>
      <c r="AG13" s="965"/>
      <c r="AH13" s="965"/>
      <c r="AI13" s="965"/>
      <c r="AJ13" s="965"/>
      <c r="AK13" s="965"/>
      <c r="AL13" s="965"/>
    </row>
    <row s="18543" customFormat="1" customHeight="1" ht="15">
      <c r="A14" s="654"/>
      <c r="B14" s="654"/>
      <c r="C14" s="538"/>
      <c r="D14" s="2403"/>
      <c r="E14" s="2405"/>
      <c r="F14" s="2402"/>
      <c r="G14" s="2408"/>
      <c r="H14" s="2409"/>
      <c r="I14" s="2401"/>
      <c r="J14" s="2402"/>
      <c r="K14" s="782"/>
      <c r="L14" s="539"/>
      <c r="M14" s="968" t="s">
        <v>116</v>
      </c>
      <c r="N14" s="1173"/>
      <c r="O14" s="1782"/>
      <c r="P14" s="1779"/>
      <c r="Q14" s="1779"/>
      <c r="R14" s="1779"/>
      <c r="S14" s="1782"/>
      <c r="T14" s="1782"/>
      <c r="U14" s="1632"/>
      <c r="V14" s="1632"/>
      <c r="W14" s="1632"/>
      <c r="X14" s="1632"/>
      <c r="Y14" s="965"/>
      <c r="Z14" s="965"/>
      <c r="AA14" s="965"/>
      <c r="AB14" s="965"/>
      <c r="AC14" s="965"/>
      <c r="AD14" s="965"/>
      <c r="AE14" s="965"/>
      <c r="AF14" s="965"/>
      <c r="AG14" s="965"/>
      <c r="AH14" s="965"/>
      <c r="AI14" s="965"/>
      <c r="AJ14" s="965"/>
      <c r="AK14" s="965"/>
      <c r="AL14" s="965"/>
    </row>
    <row s="18543" customFormat="1" customHeight="1" ht="15">
      <c r="A15" s="654"/>
      <c r="B15" s="654"/>
      <c r="C15" s="538"/>
      <c r="D15" s="2403"/>
      <c r="E15" s="2406"/>
      <c r="F15" s="2402"/>
      <c r="G15" s="1422"/>
      <c r="H15" s="1423"/>
      <c r="I15" s="941" t="s">
        <v>117</v>
      </c>
      <c r="J15" s="539"/>
      <c r="K15" s="539"/>
      <c r="L15" s="539"/>
      <c r="M15" s="969"/>
      <c r="N15" s="1173"/>
      <c r="O15" s="1782"/>
      <c r="P15" s="1779"/>
      <c r="Q15" s="1779"/>
      <c r="R15" s="1779"/>
      <c r="S15" s="1782"/>
      <c r="T15" s="1782"/>
      <c r="U15" s="1632"/>
      <c r="V15" s="1632"/>
      <c r="W15" s="1632"/>
      <c r="X15" s="1632"/>
      <c r="Y15" s="965"/>
      <c r="Z15" s="965"/>
      <c r="AA15" s="965"/>
      <c r="AB15" s="965"/>
      <c r="AC15" s="965"/>
      <c r="AD15" s="965"/>
      <c r="AE15" s="965"/>
      <c r="AF15" s="965"/>
      <c r="AG15" s="965"/>
      <c r="AH15" s="965"/>
      <c r="AI15" s="965"/>
      <c r="AJ15" s="965"/>
      <c r="AK15" s="965"/>
      <c r="AL15" s="965"/>
    </row>
    <row customHeight="1" ht="15">
      <c r="A16" s="970"/>
      <c r="B16" s="497"/>
      <c r="C16" s="1167"/>
      <c r="D16" s="782"/>
      <c r="E16" s="932" t="s">
        <v>118</v>
      </c>
      <c r="F16" s="539"/>
      <c r="G16" s="539"/>
      <c r="H16" s="539"/>
      <c r="I16" s="539"/>
      <c r="J16" s="539"/>
      <c r="K16" s="539" t="s">
        <v>24</v>
      </c>
      <c r="L16" s="539"/>
      <c r="M16" s="969"/>
      <c r="N16" s="1993"/>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36E4A1-20B1-114F-0BD8-FB0A549FCCDB}"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19984" width="4.140625" hidden="1" customWidth="1"/>
    <col min="4" max="4" style="18483" width="4.140625" hidden="1" customWidth="1"/>
    <col min="5" max="5" style="19770" width="3.7109375" customWidth="1"/>
    <col min="6" max="6" style="18482" width="14.421875" customWidth="1"/>
    <col min="7" max="7" style="18482" width="3.7109375" customWidth="1"/>
    <col min="8" max="8" style="19232" width="7.7109375" customWidth="1"/>
    <col min="9" max="10" style="18482" width="16.7109375" customWidth="1"/>
    <col min="11" max="11" style="18482" width="25.7109375" customWidth="1"/>
    <col min="12" max="12" style="20014" width="8.00390625" customWidth="1"/>
    <col min="13" max="13" style="20014" width="15.57421875" customWidth="1"/>
    <col min="14" max="14" style="18482" width="3.28125" customWidth="1"/>
    <col min="15" max="15" style="18482" width="4.7109375" customWidth="1"/>
    <col min="16" max="16" style="18482" width="9.00390625" customWidth="1"/>
    <col min="17" max="17" style="18482" width="21.7109375" customWidth="1"/>
    <col min="18" max="18" style="18482" width="14.7109375" customWidth="1"/>
    <col min="19" max="20" style="18482" width="17.7109375" customWidth="1"/>
    <col min="21" max="21" style="18482" width="9.7109375" customWidth="1"/>
    <col min="22" max="22" style="18482" width="12.7109375" customWidth="1"/>
    <col min="23" max="23" style="18482" width="9.7109375" customWidth="1"/>
    <col min="24" max="24" style="18482" width="21.7109375" customWidth="1"/>
    <col min="25" max="25" style="18482" width="12.7109375" customWidth="1"/>
    <col min="26" max="26" style="18482" width="3.28125" customWidth="1"/>
    <col min="27" max="27" style="18482" width="7.140625" customWidth="1"/>
    <col min="28" max="28" style="18482" width="38.421875" customWidth="1"/>
    <col min="29" max="29" style="18482" width="15.7109375" customWidth="1"/>
    <col min="30" max="30" style="20014" width="37.57421875" hidden="1" customWidth="1"/>
    <col min="31" max="31" style="18482" width="15.7109375" hidden="1" customWidth="1"/>
    <col min="32" max="33" style="18482" width="16.7109375" customWidth="1"/>
    <col min="34" max="34" style="20036" width="16.7109375" customWidth="1"/>
    <col min="35" max="35" style="20037" width="16.7109375" hidden="1" customWidth="1"/>
    <col min="36" max="37" style="18482" width="16.7109375" hidden="1" customWidth="1"/>
    <col min="38" max="58" style="18482" width="9.140625"/>
  </cols>
  <sheetData>
    <row s="18483" customFormat="1" customHeight="1" ht="10.5" hidden="1">
      <c r="A1" s="1256"/>
      <c r="B1" s="1256"/>
      <c r="C1" s="1256"/>
      <c r="E1" s="898"/>
      <c r="H1" s="1523"/>
      <c r="L1" s="1491"/>
      <c r="M1" s="1491"/>
      <c r="AD1" s="1491"/>
      <c r="AH1" s="1510"/>
      <c r="AI1" s="1503"/>
    </row>
    <row customHeight="1" ht="10.5" hidden="1"/>
    <row s="19960" customFormat="1" customHeight="1" ht="10.5" hidden="1">
      <c r="A3" s="1256"/>
      <c r="B3" s="1256"/>
      <c r="C3" s="1256"/>
      <c r="D3" s="778"/>
      <c r="E3" s="723"/>
      <c r="H3" s="1519"/>
      <c r="L3" s="1489"/>
      <c r="M3" s="1489"/>
      <c r="AD3" s="1489"/>
      <c r="AH3" s="1508"/>
      <c r="AI3" s="1501"/>
    </row>
    <row customHeight="1" ht="3"/>
    <row customHeight="1" ht="25.5">
      <c r="F5" s="2560" t="str">
        <f>IP_NAME_FORM</f>
        <v>Форма 7. Информация об инвестиционных программах организации горячего водоснабжения и отчетах об их исполнении</v>
      </c>
      <c r="G5" s="2560"/>
      <c r="H5" s="2560"/>
      <c r="I5" s="2560"/>
      <c r="J5" s="2560"/>
      <c r="K5" s="2560"/>
      <c r="L5" s="1498"/>
      <c r="M5" s="1498"/>
      <c r="AG5" s="1267"/>
      <c r="AH5" s="1511"/>
    </row>
    <row customHeight="1" ht="10.5">
      <c r="F6" s="2474" t="str">
        <f>IF(org=0,"Не определено",org)</f>
        <v>Филиал "Шатурская ГРЭС" ПАО "Юнипро"</v>
      </c>
      <c r="G6" s="2474"/>
      <c r="H6" s="2474"/>
      <c r="I6" s="2474"/>
      <c r="J6" s="2474"/>
      <c r="K6" s="2474"/>
      <c r="L6" s="1499"/>
      <c r="M6" s="1499"/>
    </row>
    <row customHeight="1" ht="11.25">
      <c r="E7" s="1269"/>
      <c r="F7" s="1280"/>
      <c r="G7" s="1280"/>
      <c r="H7" s="1549"/>
      <c r="I7" s="1280"/>
      <c r="J7" s="1280"/>
      <c r="K7" s="1282"/>
      <c r="L7" s="1496"/>
      <c r="M7" s="1496"/>
      <c r="N7" s="1280"/>
      <c r="O7" s="1280"/>
      <c r="P7" s="1280"/>
      <c r="Q7" s="1282"/>
      <c r="R7" s="1280"/>
      <c r="S7" s="1280"/>
      <c r="T7" s="1280"/>
      <c r="U7" s="1280"/>
      <c r="V7" s="1280"/>
      <c r="W7" s="1280"/>
      <c r="X7" s="1280"/>
      <c r="Y7" s="1280"/>
      <c r="Z7" s="1280"/>
      <c r="AA7" s="1280"/>
      <c r="AB7" s="1280"/>
      <c r="AC7" s="1281"/>
      <c r="AD7" s="1495"/>
      <c r="AE7" s="1281"/>
      <c r="AF7" s="1280"/>
      <c r="AG7" s="1280"/>
      <c r="AH7" s="1513"/>
      <c r="AI7" s="1506"/>
      <c r="AJ7" s="1280"/>
      <c r="AK7" s="1280"/>
      <c r="AL7" s="1271"/>
      <c r="AM7" s="1271"/>
      <c r="AN7" s="1271"/>
      <c r="AO7" s="1268"/>
      <c r="AP7" s="1268"/>
      <c r="AQ7" s="1268"/>
      <c r="AR7" s="1268"/>
      <c r="AS7" s="1268"/>
      <c r="AT7" s="1268"/>
      <c r="AU7" s="1268"/>
      <c r="AV7" s="1268"/>
      <c r="AW7" s="1268"/>
      <c r="AX7" s="1268"/>
      <c r="AY7" s="1268"/>
      <c r="AZ7" s="1268"/>
      <c r="BA7" s="1268"/>
      <c r="BB7" s="1268"/>
      <c r="BC7" s="1268"/>
      <c r="BD7" s="1268"/>
      <c r="BE7" s="1268"/>
      <c r="BF7" s="1268"/>
    </row>
    <row customHeight="1" ht="10.5">
      <c r="E8" s="1269"/>
      <c r="F8" s="2678" t="s">
        <v>300</v>
      </c>
      <c r="G8" s="2679"/>
      <c r="H8" s="2679"/>
      <c r="I8" s="2679"/>
      <c r="J8" s="2679"/>
      <c r="K8" s="2679"/>
      <c r="L8" s="2679"/>
      <c r="M8" s="2679"/>
      <c r="N8" s="2679"/>
      <c r="O8" s="2679"/>
      <c r="P8" s="2679"/>
      <c r="Q8" s="2679"/>
      <c r="R8" s="2679"/>
      <c r="S8" s="2679"/>
      <c r="T8" s="2679"/>
      <c r="U8" s="2679"/>
      <c r="V8" s="2679"/>
      <c r="W8" s="2679"/>
      <c r="X8" s="2679"/>
      <c r="Y8" s="2679"/>
      <c r="Z8" s="2679"/>
      <c r="AA8" s="2679"/>
      <c r="AB8" s="2679"/>
      <c r="AC8" s="2679"/>
      <c r="AD8" s="2679"/>
      <c r="AE8" s="2679"/>
      <c r="AF8" s="2679"/>
      <c r="AG8" s="2679"/>
      <c r="AH8" s="2679"/>
      <c r="AI8" s="2679"/>
      <c r="AJ8" s="2679"/>
      <c r="AK8" s="2680"/>
      <c r="AL8" s="1270"/>
      <c r="AM8" s="1268"/>
      <c r="AN8" s="1268"/>
      <c r="AO8" s="1268"/>
      <c r="AP8" s="1268"/>
      <c r="AQ8" s="1268"/>
      <c r="AR8" s="1268"/>
      <c r="AS8" s="1268"/>
      <c r="AT8" s="1268"/>
      <c r="AU8" s="1268"/>
      <c r="AV8" s="1268"/>
      <c r="AW8" s="1268"/>
      <c r="AX8" s="1268"/>
      <c r="AY8" s="1268"/>
      <c r="AZ8" s="1268"/>
      <c r="BA8" s="1268"/>
      <c r="BB8" s="1268"/>
      <c r="BC8" s="1268"/>
      <c r="BD8" s="1268"/>
      <c r="BE8" s="1268"/>
      <c r="BF8" s="1268"/>
    </row>
    <row customHeight="1" ht="23.25">
      <c r="A9" s="1266"/>
      <c r="B9" s="1266"/>
      <c r="C9" s="1266"/>
      <c r="E9" s="1269"/>
      <c r="F9" s="2671" t="s">
        <v>903</v>
      </c>
      <c r="G9" s="2672" t="s">
        <v>904</v>
      </c>
      <c r="H9" s="2673"/>
      <c r="I9" s="2392" t="s">
        <v>905</v>
      </c>
      <c r="J9" s="2392"/>
      <c r="K9" s="2392" t="s">
        <v>906</v>
      </c>
      <c r="L9" s="2392"/>
      <c r="M9" s="2392"/>
      <c r="N9" s="2392"/>
      <c r="O9" s="2392"/>
      <c r="P9" s="2392"/>
      <c r="Q9" s="2392"/>
      <c r="R9" s="2392"/>
      <c r="S9" s="2392"/>
      <c r="T9" s="2392"/>
      <c r="U9" s="2392"/>
      <c r="V9" s="2392"/>
      <c r="W9" s="2392"/>
      <c r="X9" s="2392"/>
      <c r="Y9" s="2392"/>
      <c r="Z9" s="2450" t="s">
        <v>907</v>
      </c>
      <c r="AA9" s="2451"/>
      <c r="AB9" s="2392" t="s">
        <v>908</v>
      </c>
      <c r="AC9" s="2392"/>
      <c r="AD9" s="2392"/>
      <c r="AE9" s="2392"/>
      <c r="AF9" s="2449" t="s">
        <v>909</v>
      </c>
      <c r="AG9" s="2392" t="s">
        <v>910</v>
      </c>
      <c r="AH9" s="2392"/>
      <c r="AI9" s="2449" t="s">
        <v>911</v>
      </c>
      <c r="AJ9" s="2392" t="s">
        <v>912</v>
      </c>
      <c r="AK9" s="2392"/>
      <c r="AL9" s="1505"/>
      <c r="AM9" s="1268"/>
      <c r="AN9" s="1268"/>
      <c r="AO9" s="1268"/>
      <c r="AP9" s="1268"/>
      <c r="AQ9" s="1268"/>
      <c r="AR9" s="1268"/>
      <c r="AS9" s="1268"/>
      <c r="AT9" s="1268"/>
      <c r="AU9" s="1268"/>
      <c r="AV9" s="1268"/>
      <c r="AW9" s="1268"/>
      <c r="AX9" s="1268"/>
      <c r="AY9" s="1268"/>
      <c r="AZ9" s="1268"/>
      <c r="BA9" s="1268"/>
      <c r="BB9" s="1268"/>
      <c r="BC9" s="1268"/>
      <c r="BD9" s="1268"/>
      <c r="BE9" s="1268"/>
      <c r="BF9" s="1268"/>
    </row>
    <row customHeight="1" ht="23.25">
      <c r="A10" s="1266"/>
      <c r="B10" s="1266"/>
      <c r="C10" s="1266"/>
      <c r="E10" s="1273"/>
      <c r="F10" s="2671"/>
      <c r="G10" s="2674"/>
      <c r="H10" s="2675"/>
      <c r="I10" s="2392"/>
      <c r="J10" s="2392"/>
      <c r="K10" s="2392" t="s">
        <v>913</v>
      </c>
      <c r="L10" s="2376" t="s">
        <v>914</v>
      </c>
      <c r="M10" s="2378"/>
      <c r="N10" s="2392" t="s">
        <v>915</v>
      </c>
      <c r="O10" s="2392"/>
      <c r="P10" s="2392"/>
      <c r="Q10" s="2392"/>
      <c r="R10" s="2392"/>
      <c r="S10" s="2392"/>
      <c r="T10" s="2392"/>
      <c r="U10" s="2392"/>
      <c r="V10" s="2392"/>
      <c r="W10" s="2392"/>
      <c r="X10" s="2392"/>
      <c r="Y10" s="2392"/>
      <c r="Z10" s="2452"/>
      <c r="AA10" s="2453"/>
      <c r="AB10" s="2392"/>
      <c r="AC10" s="2392"/>
      <c r="AD10" s="2392"/>
      <c r="AE10" s="2392"/>
      <c r="AF10" s="2457"/>
      <c r="AG10" s="2392"/>
      <c r="AH10" s="2392"/>
      <c r="AI10" s="2457"/>
      <c r="AJ10" s="2392"/>
      <c r="AK10" s="2392"/>
      <c r="AL10" s="1505"/>
      <c r="AM10" s="1274"/>
      <c r="AN10" s="1274"/>
      <c r="AO10" s="1274"/>
      <c r="AP10" s="1274"/>
      <c r="AQ10" s="1274"/>
      <c r="AR10" s="1274"/>
      <c r="AS10" s="1274"/>
      <c r="AT10" s="1274"/>
      <c r="AU10" s="1274"/>
      <c r="AV10" s="1274"/>
      <c r="AW10" s="1274"/>
      <c r="AX10" s="1274"/>
      <c r="AY10" s="1274"/>
      <c r="AZ10" s="1274"/>
      <c r="BA10" s="1274"/>
      <c r="BB10" s="1274"/>
      <c r="BC10" s="1274"/>
      <c r="BD10" s="1274"/>
      <c r="BE10" s="1274"/>
      <c r="BF10" s="1274"/>
    </row>
    <row s="20014" customFormat="1" customHeight="1" ht="23.25">
      <c r="A11" s="1492"/>
      <c r="B11" s="1492"/>
      <c r="C11" s="1492"/>
      <c r="D11" s="1491"/>
      <c r="E11" s="1493"/>
      <c r="F11" s="2671"/>
      <c r="G11" s="2674"/>
      <c r="H11" s="2675"/>
      <c r="I11" s="2392"/>
      <c r="J11" s="2392"/>
      <c r="K11" s="2392"/>
      <c r="L11" s="2449" t="s">
        <v>916</v>
      </c>
      <c r="M11" s="2449" t="s">
        <v>917</v>
      </c>
      <c r="N11" s="2392" t="s">
        <v>918</v>
      </c>
      <c r="O11" s="2392"/>
      <c r="P11" s="2669" t="s">
        <v>899</v>
      </c>
      <c r="Q11" s="2669" t="s">
        <v>919</v>
      </c>
      <c r="R11" s="2669" t="s">
        <v>920</v>
      </c>
      <c r="S11" s="2669" t="s">
        <v>921</v>
      </c>
      <c r="T11" s="2669"/>
      <c r="U11" s="2669"/>
      <c r="V11" s="2669"/>
      <c r="W11" s="2669"/>
      <c r="X11" s="2669"/>
      <c r="Y11" s="2669"/>
      <c r="Z11" s="2452"/>
      <c r="AA11" s="2453"/>
      <c r="AB11" s="2392" t="s">
        <v>922</v>
      </c>
      <c r="AC11" s="2392"/>
      <c r="AD11" s="2376" t="s">
        <v>923</v>
      </c>
      <c r="AE11" s="2378"/>
      <c r="AF11" s="2457"/>
      <c r="AG11" s="2392"/>
      <c r="AH11" s="2392"/>
      <c r="AI11" s="2457"/>
      <c r="AJ11" s="2392"/>
      <c r="AK11" s="2392"/>
      <c r="AL11" s="1505"/>
      <c r="AM11" s="1490"/>
      <c r="AN11" s="1490"/>
      <c r="AO11" s="1490"/>
      <c r="AP11" s="1490"/>
      <c r="AQ11" s="1490"/>
      <c r="AR11" s="1490"/>
      <c r="AS11" s="1490"/>
      <c r="AT11" s="1490"/>
      <c r="AU11" s="1490"/>
      <c r="AV11" s="1490"/>
      <c r="AW11" s="1490"/>
      <c r="AX11" s="1490"/>
      <c r="AY11" s="1490"/>
      <c r="AZ11" s="1490"/>
      <c r="BA11" s="1490"/>
      <c r="BB11" s="1490"/>
      <c r="BC11" s="1490"/>
      <c r="BD11" s="1490"/>
      <c r="BE11" s="1490"/>
      <c r="BF11" s="1490"/>
    </row>
    <row customHeight="1" ht="33.75">
      <c r="A12" s="1266"/>
      <c r="B12" s="1266"/>
      <c r="C12" s="1266"/>
      <c r="E12" s="1269"/>
      <c r="F12" s="2671"/>
      <c r="G12" s="2676"/>
      <c r="H12" s="2677"/>
      <c r="I12" s="1516" t="s">
        <v>86</v>
      </c>
      <c r="J12" s="1516" t="s">
        <v>924</v>
      </c>
      <c r="K12" s="2392"/>
      <c r="L12" s="2510"/>
      <c r="M12" s="2510"/>
      <c r="N12" s="2392"/>
      <c r="O12" s="2392"/>
      <c r="P12" s="2669"/>
      <c r="Q12" s="2669"/>
      <c r="R12" s="2669"/>
      <c r="S12" s="1497" t="s">
        <v>83</v>
      </c>
      <c r="T12" s="1497" t="s">
        <v>84</v>
      </c>
      <c r="U12" s="1497" t="s">
        <v>82</v>
      </c>
      <c r="V12" s="1497" t="s">
        <v>925</v>
      </c>
      <c r="W12" s="1497" t="s">
        <v>82</v>
      </c>
      <c r="X12" s="1497" t="s">
        <v>926</v>
      </c>
      <c r="Y12" s="1497" t="s">
        <v>927</v>
      </c>
      <c r="Z12" s="2458"/>
      <c r="AA12" s="2459"/>
      <c r="AB12" s="1504" t="s">
        <v>928</v>
      </c>
      <c r="AC12" s="1504" t="s">
        <v>929</v>
      </c>
      <c r="AD12" s="1504" t="s">
        <v>928</v>
      </c>
      <c r="AE12" s="1504" t="s">
        <v>929</v>
      </c>
      <c r="AF12" s="2510"/>
      <c r="AG12" s="1517" t="s">
        <v>930</v>
      </c>
      <c r="AH12" s="1517" t="s">
        <v>931</v>
      </c>
      <c r="AI12" s="2510"/>
      <c r="AJ12" s="1517" t="s">
        <v>930</v>
      </c>
      <c r="AK12" s="1517" t="s">
        <v>931</v>
      </c>
      <c r="AL12" s="1505"/>
      <c r="AM12" s="1268"/>
      <c r="AN12" s="1268"/>
      <c r="AO12" s="1268"/>
      <c r="AP12" s="1268"/>
      <c r="AQ12" s="1268"/>
      <c r="AR12" s="1268"/>
      <c r="AS12" s="1268"/>
      <c r="AT12" s="1268"/>
      <c r="AU12" s="1268"/>
      <c r="AV12" s="1268"/>
      <c r="AW12" s="1268"/>
      <c r="AX12" s="1268"/>
      <c r="AY12" s="1268"/>
      <c r="AZ12" s="1268"/>
      <c r="BA12" s="1268"/>
      <c r="BB12" s="1268"/>
      <c r="BC12" s="1268"/>
      <c r="BD12" s="1268"/>
      <c r="BE12" s="1268"/>
      <c r="BF12" s="1268"/>
    </row>
    <row customHeight="1" ht="0.75">
      <c r="E13" s="1269"/>
      <c r="F13" s="1487">
        <v>0</v>
      </c>
      <c r="G13" s="1487"/>
      <c r="H13" s="1487"/>
      <c r="I13" s="1487"/>
      <c r="J13" s="1487"/>
      <c r="K13" s="1494"/>
      <c r="L13" s="1494"/>
      <c r="M13" s="1494"/>
      <c r="N13" s="1494"/>
      <c r="O13" s="1494"/>
      <c r="P13" s="1494"/>
      <c r="Q13" s="1494"/>
      <c r="R13" s="1494"/>
      <c r="S13" s="1494"/>
      <c r="T13" s="1494"/>
      <c r="U13" s="1494"/>
      <c r="V13" s="1494"/>
      <c r="W13" s="1494"/>
      <c r="X13" s="1494"/>
      <c r="Y13" s="1494"/>
      <c r="Z13" s="1494"/>
      <c r="AA13" s="1494"/>
      <c r="AB13" s="1494"/>
      <c r="AC13" s="1494"/>
      <c r="AD13" s="1494"/>
      <c r="AE13" s="1494"/>
      <c r="AF13" s="1494"/>
      <c r="AG13" s="1494"/>
      <c r="AH13" s="1512"/>
      <c r="AI13" s="1505"/>
      <c r="AJ13" s="1494"/>
      <c r="AK13" s="1494"/>
      <c r="AL13" s="1270"/>
      <c r="AM13" s="1268"/>
      <c r="AN13" s="1268"/>
      <c r="AO13" s="1268"/>
      <c r="AP13" s="1268"/>
      <c r="AQ13" s="1268"/>
      <c r="AR13" s="1268"/>
      <c r="AS13" s="1268"/>
      <c r="AT13" s="1268"/>
      <c r="AU13" s="1268"/>
      <c r="AV13" s="1268"/>
      <c r="AW13" s="1268"/>
      <c r="AX13" s="1268"/>
      <c r="AY13" s="1268"/>
      <c r="AZ13" s="1268"/>
      <c r="BA13" s="1268"/>
      <c r="BB13" s="1268"/>
      <c r="BC13" s="1268"/>
      <c r="BD13" s="1268"/>
      <c r="BE13" s="1268"/>
      <c r="BF13" s="1268"/>
    </row>
    <row customHeight="1" ht="10.5">
      <c r="E14" s="1268"/>
      <c r="F14" s="1279"/>
      <c r="G14" s="1279"/>
      <c r="H14" s="1536"/>
      <c r="I14" s="1279"/>
      <c r="J14" s="1279"/>
      <c r="K14" s="1279"/>
      <c r="L14" s="1494"/>
      <c r="M14" s="1494"/>
      <c r="N14" s="1279"/>
      <c r="O14" s="1279"/>
      <c r="P14" s="1279"/>
      <c r="Q14" s="1279"/>
      <c r="R14" s="1279"/>
      <c r="S14" s="1279"/>
      <c r="T14" s="1279"/>
      <c r="U14" s="1279"/>
      <c r="V14" s="1279"/>
      <c r="W14" s="1279"/>
      <c r="X14" s="1279"/>
      <c r="Y14" s="1279"/>
      <c r="Z14" s="1279"/>
      <c r="AA14" s="1279"/>
      <c r="AB14" s="1279"/>
      <c r="AC14" s="1279"/>
      <c r="AD14" s="1494"/>
      <c r="AE14" s="1279"/>
      <c r="AF14" s="1279"/>
      <c r="AG14" s="1279"/>
      <c r="AH14" s="1512"/>
      <c r="AI14" s="1505"/>
      <c r="AJ14" s="1279"/>
      <c r="AK14" s="1279"/>
      <c r="AL14" s="1268"/>
      <c r="AM14" s="1268"/>
      <c r="AN14" s="1268"/>
      <c r="AO14" s="1268"/>
      <c r="AP14" s="1268"/>
      <c r="AQ14" s="1268"/>
      <c r="AR14" s="1268"/>
      <c r="AS14" s="1268"/>
      <c r="AT14" s="1268"/>
      <c r="AU14" s="1268"/>
      <c r="AV14" s="1268"/>
      <c r="AW14" s="1268"/>
      <c r="AX14" s="1268"/>
      <c r="AY14" s="1268"/>
      <c r="AZ14" s="1268"/>
      <c r="BA14" s="1268"/>
      <c r="BB14" s="1268"/>
      <c r="BC14" s="1268"/>
      <c r="BD14" s="1268"/>
      <c r="BE14" s="1268"/>
      <c r="BF14" s="1268"/>
    </row>
    <row customHeight="1" ht="12.75">
      <c r="E15" s="1268"/>
      <c r="F15" s="1275" t="s">
        <v>932</v>
      </c>
      <c r="G15" s="1275"/>
      <c r="H15" s="1535"/>
      <c r="I15" s="1275"/>
      <c r="J15" s="1275"/>
      <c r="K15" s="1272"/>
      <c r="L15" s="1490"/>
      <c r="M15" s="1490"/>
      <c r="N15" s="1274"/>
      <c r="O15" s="1274"/>
      <c r="P15" s="1274"/>
      <c r="Q15" s="1274"/>
      <c r="R15" s="1274"/>
      <c r="S15" s="1274"/>
      <c r="T15" s="1274"/>
      <c r="U15" s="1274"/>
      <c r="V15" s="1274"/>
      <c r="W15" s="1274"/>
      <c r="X15" s="1274"/>
      <c r="Y15" s="1274"/>
      <c r="Z15" s="1272"/>
      <c r="AA15" s="1272"/>
      <c r="AB15" s="1272"/>
      <c r="AC15" s="1272"/>
      <c r="AD15" s="1490"/>
      <c r="AE15" s="1272"/>
      <c r="AF15" s="1272"/>
      <c r="AG15" s="1272"/>
      <c r="AH15" s="1509"/>
      <c r="AI15" s="1502"/>
      <c r="AJ15" s="1272"/>
      <c r="AK15" s="1272"/>
      <c r="AL15" s="1268"/>
      <c r="AM15" s="1268"/>
      <c r="AN15" s="1268"/>
      <c r="AO15" s="1268"/>
      <c r="AP15" s="1268"/>
      <c r="AQ15" s="1268"/>
      <c r="AR15" s="1268"/>
      <c r="AS15" s="1268"/>
      <c r="AT15" s="1268"/>
      <c r="AU15" s="1268"/>
      <c r="AV15" s="1268"/>
      <c r="AW15" s="1268"/>
      <c r="AX15" s="1268"/>
      <c r="AY15" s="1268"/>
      <c r="AZ15" s="1268"/>
      <c r="BA15" s="1268"/>
      <c r="BB15" s="1268"/>
      <c r="BC15" s="1268"/>
      <c r="BD15" s="1268"/>
      <c r="BE15" s="1268"/>
      <c r="BF15" s="1268"/>
    </row>
    <row r="17" customHeight="1" ht="10.5">
      <c r="E17" s="1268"/>
      <c r="F17" s="2670"/>
      <c r="G17" s="2670"/>
      <c r="H17" s="2670"/>
      <c r="I17" s="2670"/>
      <c r="J17" s="2670"/>
      <c r="K17" s="1272"/>
      <c r="L17" s="1490"/>
      <c r="M17" s="1490"/>
      <c r="N17" s="1274"/>
      <c r="O17" s="1274"/>
      <c r="P17" s="1274"/>
      <c r="Q17" s="1274"/>
      <c r="R17" s="1274"/>
      <c r="S17" s="1274"/>
      <c r="T17" s="1274"/>
      <c r="U17" s="1274"/>
      <c r="V17" s="1274"/>
      <c r="W17" s="1274"/>
      <c r="X17" s="1274"/>
      <c r="Y17" s="1274"/>
      <c r="Z17" s="1272"/>
      <c r="AA17" s="1272"/>
      <c r="AB17" s="1272"/>
      <c r="AC17" s="1272"/>
      <c r="AD17" s="1490"/>
      <c r="AE17" s="1272"/>
      <c r="AF17" s="1272"/>
      <c r="AG17" s="1272"/>
      <c r="AH17" s="1509"/>
      <c r="AI17" s="1502"/>
      <c r="AJ17" s="1272"/>
      <c r="AK17" s="1272"/>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row>
    <row customHeight="1" ht="10.5">
      <c r="E18" s="1268"/>
      <c r="F18" s="2670"/>
      <c r="G18" s="2670"/>
      <c r="H18" s="2670"/>
      <c r="I18" s="2670"/>
      <c r="J18" s="2670"/>
      <c r="K18" s="1272"/>
      <c r="L18" s="1490"/>
      <c r="M18" s="1490"/>
      <c r="N18" s="1274"/>
      <c r="O18" s="1274"/>
      <c r="P18" s="1274"/>
      <c r="Q18" s="1274"/>
      <c r="R18" s="1274"/>
      <c r="S18" s="1274"/>
      <c r="T18" s="1274"/>
      <c r="U18" s="1274"/>
      <c r="V18" s="1274"/>
      <c r="W18" s="1274"/>
      <c r="X18" s="1274"/>
      <c r="Y18" s="1274"/>
      <c r="Z18" s="1272"/>
      <c r="AA18" s="1272"/>
      <c r="AB18" s="1272"/>
      <c r="AC18" s="1272"/>
      <c r="AD18" s="1490"/>
      <c r="AE18" s="1272"/>
      <c r="AF18" s="1272"/>
      <c r="AG18" s="1272"/>
      <c r="AH18" s="1509"/>
      <c r="AI18" s="1502"/>
      <c r="AJ18" s="1272"/>
      <c r="AK18" s="1272"/>
      <c r="AL18" s="1268"/>
      <c r="AM18" s="1268"/>
      <c r="AN18" s="1268"/>
      <c r="AO18" s="1268"/>
      <c r="AP18" s="1268"/>
      <c r="AQ18" s="1268"/>
      <c r="AR18" s="1268"/>
      <c r="AS18" s="1268"/>
      <c r="AT18" s="1268"/>
      <c r="AU18" s="1268"/>
      <c r="AV18" s="1268"/>
      <c r="AW18" s="1268"/>
      <c r="AX18" s="1268"/>
      <c r="AY18" s="1268"/>
      <c r="AZ18" s="1268"/>
      <c r="BA18" s="1268"/>
      <c r="BB18" s="1268"/>
      <c r="BC18" s="1268"/>
      <c r="BD18" s="1268"/>
      <c r="BE18" s="1268"/>
      <c r="BF18" s="1268"/>
    </row>
    <row customHeight="1" ht="10.5">
      <c r="E19" s="1268"/>
      <c r="F19" s="2670"/>
      <c r="G19" s="2670"/>
      <c r="H19" s="2670"/>
      <c r="I19" s="2670"/>
      <c r="J19" s="2670"/>
      <c r="K19" s="1272"/>
      <c r="L19" s="1490"/>
      <c r="M19" s="1490"/>
      <c r="N19" s="1274"/>
      <c r="O19" s="1274"/>
      <c r="P19" s="1274"/>
      <c r="Q19" s="1274"/>
      <c r="R19" s="1274"/>
      <c r="S19" s="1274"/>
      <c r="T19" s="1274"/>
      <c r="U19" s="1274"/>
      <c r="V19" s="1274"/>
      <c r="W19" s="1274"/>
      <c r="X19" s="1274"/>
      <c r="Y19" s="1274"/>
      <c r="Z19" s="1272"/>
      <c r="AA19" s="1272"/>
      <c r="AB19" s="1272"/>
      <c r="AC19" s="1272"/>
      <c r="AD19" s="1490"/>
      <c r="AE19" s="1272"/>
      <c r="AF19" s="1272"/>
      <c r="AG19" s="1272"/>
      <c r="AH19" s="1509"/>
      <c r="AI19" s="1502"/>
      <c r="AJ19" s="1272"/>
      <c r="AK19" s="1272"/>
      <c r="AL19" s="1268"/>
      <c r="AM19" s="1268"/>
      <c r="AN19" s="1268"/>
      <c r="AO19" s="1268"/>
      <c r="AP19" s="1268"/>
      <c r="AQ19" s="1268"/>
      <c r="AR19" s="1268"/>
      <c r="AS19" s="1268"/>
      <c r="AT19" s="1268"/>
      <c r="AU19" s="1268"/>
      <c r="AV19" s="1268"/>
      <c r="AW19" s="1268"/>
      <c r="AX19" s="1268"/>
      <c r="AY19" s="1268"/>
      <c r="AZ19" s="1268"/>
      <c r="BA19" s="1268"/>
      <c r="BB19" s="1268"/>
      <c r="BC19" s="1268"/>
      <c r="BD19" s="1268"/>
      <c r="BE19" s="1268"/>
      <c r="BF19" s="1268"/>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0FDFCD-F971-8676-4B91-6BD6D076D48E}"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20067" width="4.140625" hidden="1" customWidth="1"/>
    <col min="4" max="4" style="19146" width="4.140625" hidden="1" customWidth="1"/>
    <col min="5" max="5" style="19770" width="3.7109375" customWidth="1"/>
    <col min="6" max="6" style="19232" width="6.28125" customWidth="1"/>
    <col min="7" max="7" style="19232" width="60.140625" customWidth="1"/>
    <col min="8" max="9" style="19232" width="21.7109375" hidden="1" customWidth="1"/>
    <col min="10" max="10" style="19232" width="0.140625" customWidth="1"/>
    <col min="11" max="11" style="19232" width="1.7109375" customWidth="1"/>
    <col min="12" max="22" style="19232" width="9.140625"/>
  </cols>
  <sheetData>
    <row s="19146" customFormat="1" customHeight="1" ht="10.5" hidden="1">
      <c r="A1" s="1529"/>
      <c r="B1" s="1529"/>
      <c r="C1" s="1529"/>
      <c r="E1" s="898"/>
    </row>
    <row customHeight="1" ht="10.5" hidden="1"/>
    <row s="20038" customFormat="1" customHeight="1" ht="10.5" hidden="1">
      <c r="A3" s="1529"/>
      <c r="B3" s="1529"/>
      <c r="C3" s="1529"/>
      <c r="D3" s="1523"/>
      <c r="E3" s="723"/>
    </row>
    <row customHeight="1" ht="3"/>
    <row customHeight="1" ht="25.5">
      <c r="F5" s="2560"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560"/>
      <c r="H5" s="2560"/>
      <c r="I5" s="2560"/>
      <c r="J5" s="2560"/>
    </row>
    <row customHeight="1" ht="10.5">
      <c r="F6" s="2474" t="str">
        <f>IF(org=0,"Не определено",org)</f>
        <v>Филиал "Шатурская ГРЭС" ПАО "Юнипро"</v>
      </c>
      <c r="G6" s="2474"/>
      <c r="H6" s="2474"/>
      <c r="I6" s="2474"/>
      <c r="J6" s="2474"/>
    </row>
    <row customHeight="1" ht="11.25">
      <c r="E7" s="1533"/>
      <c r="F7" s="1592"/>
      <c r="G7" s="1592"/>
      <c r="H7" s="1592"/>
      <c r="I7" s="1592"/>
      <c r="J7" s="1592"/>
      <c r="K7" s="1520"/>
      <c r="L7" s="1520"/>
      <c r="M7" s="1520"/>
      <c r="N7" s="1520"/>
      <c r="O7" s="1520"/>
      <c r="P7" s="1520"/>
      <c r="Q7" s="1520"/>
      <c r="R7" s="1520"/>
      <c r="S7" s="1520"/>
      <c r="T7" s="1520"/>
      <c r="U7" s="1520"/>
      <c r="V7" s="1520"/>
    </row>
    <row s="19219" customFormat="1" customHeight="1" ht="5.25">
      <c r="A8" s="1530"/>
      <c r="B8" s="1530"/>
      <c r="C8" s="1530"/>
      <c r="E8" s="1593"/>
      <c r="F8" s="1594"/>
      <c r="G8" s="1594"/>
      <c r="H8" s="1594"/>
      <c r="I8" s="1594"/>
      <c r="J8" s="1594"/>
      <c r="K8" s="1593"/>
      <c r="L8" s="1593"/>
      <c r="M8" s="1593"/>
      <c r="N8" s="1593"/>
      <c r="O8" s="1593"/>
      <c r="P8" s="1593"/>
      <c r="Q8" s="1593"/>
      <c r="R8" s="1593"/>
      <c r="S8" s="1593"/>
      <c r="T8" s="1593"/>
      <c r="U8" s="1593"/>
      <c r="V8" s="1593"/>
    </row>
    <row customHeight="1" ht="10.5">
      <c r="E9" s="1533"/>
      <c r="F9" s="2681" t="s">
        <v>300</v>
      </c>
      <c r="G9" s="2682"/>
      <c r="H9" s="2682"/>
      <c r="I9" s="2682"/>
      <c r="J9" s="2682"/>
      <c r="K9" s="1605"/>
      <c r="L9" s="1520"/>
      <c r="M9" s="1520"/>
      <c r="N9" s="1520"/>
      <c r="O9" s="1520"/>
      <c r="P9" s="1520"/>
      <c r="Q9" s="1520"/>
      <c r="R9" s="1520"/>
      <c r="S9" s="1520"/>
      <c r="T9" s="1520"/>
      <c r="U9" s="1520"/>
      <c r="V9" s="1520"/>
    </row>
    <row customHeight="1" ht="24">
      <c r="E10" s="1520"/>
      <c r="F10" s="2685" t="s">
        <v>85</v>
      </c>
      <c r="G10" s="2690" t="s">
        <v>933</v>
      </c>
      <c r="H10" s="2688" t="s">
        <v>934</v>
      </c>
      <c r="I10" s="2688"/>
      <c r="J10" s="2688"/>
      <c r="K10" s="1598"/>
      <c r="L10" s="1520"/>
      <c r="M10" s="1520"/>
      <c r="N10" s="1520"/>
      <c r="O10" s="1520"/>
      <c r="P10" s="1520"/>
      <c r="Q10" s="1520"/>
      <c r="R10" s="1520"/>
      <c r="S10" s="1520"/>
      <c r="T10" s="1520"/>
      <c r="U10" s="1520"/>
      <c r="V10" s="1520"/>
    </row>
    <row customHeight="1" ht="24">
      <c r="E11" s="1520"/>
      <c r="F11" s="2686"/>
      <c r="G11" s="2690"/>
      <c r="H11" s="2689">
        <f>INDEX(IP_MAIN_LIST_NAME_IP,MATCH(H8,IP_MAIN_LIST_IP_ID,0))&amp;" ("&amp;INDEX(IP_MAIN_START_DATE,MATCH(H8,IP_MAIN_LIST_IP_ID,0))&amp;"-"&amp;INDEX(IP_MAIN_END_DATE,MATCH(H8,IP_MAIN_LIST_IP_ID,0))&amp;")"</f>
      </c>
      <c r="I11" s="2689"/>
      <c r="J11" s="2689"/>
      <c r="K11" s="1598"/>
      <c r="L11" s="1520"/>
      <c r="M11" s="1520"/>
      <c r="N11" s="1520"/>
      <c r="O11" s="1520"/>
      <c r="P11" s="1520"/>
      <c r="Q11" s="1520"/>
      <c r="R11" s="1520"/>
      <c r="S11" s="1520"/>
      <c r="T11" s="1520"/>
      <c r="U11" s="1520"/>
      <c r="V11" s="1520"/>
    </row>
    <row customHeight="1" ht="10.5">
      <c r="F12" s="2687"/>
      <c r="G12" s="2690"/>
      <c r="H12" s="1591" t="s">
        <v>935</v>
      </c>
      <c r="I12" s="1597"/>
      <c r="J12" s="1591"/>
      <c r="K12" s="1599"/>
    </row>
    <row customHeight="1" ht="10.5" hidden="1">
      <c r="F13" s="1591">
        <v>1</v>
      </c>
      <c r="G13" s="1591">
        <v>2</v>
      </c>
      <c r="H13" s="1591">
        <v>3</v>
      </c>
      <c r="I13" s="1591">
        <v>4</v>
      </c>
      <c r="J13" s="1591">
        <v>5</v>
      </c>
      <c r="K13" s="1599"/>
    </row>
    <row customHeight="1" ht="11.25">
      <c r="F14" s="1590" t="s">
        <v>936</v>
      </c>
      <c r="G14" s="2683" t="s">
        <v>937</v>
      </c>
      <c r="H14" s="2683"/>
      <c r="I14" s="2683"/>
      <c r="J14" s="2683"/>
      <c r="K14" s="1599"/>
    </row>
    <row customHeight="1" ht="11.25">
      <c r="F15" s="1595">
        <v>1</v>
      </c>
      <c r="G15" s="1051" t="s">
        <v>938</v>
      </c>
      <c r="H15" s="1601">
        <f>SUM(I15:J15)</f>
        <v>0</v>
      </c>
      <c r="I15" s="1601">
        <f>SUM(I16:I27)</f>
        <v>0</v>
      </c>
      <c r="J15" s="1590"/>
      <c r="K15" s="1599"/>
    </row>
    <row customHeight="1" ht="22.5">
      <c r="F16" s="1595" t="s">
        <v>939</v>
      </c>
      <c r="G16" s="1602" t="s">
        <v>940</v>
      </c>
      <c r="H16" s="1601">
        <f>SUM(I16:J16)</f>
        <v>0</v>
      </c>
      <c r="I16" s="1600"/>
      <c r="J16" s="1590"/>
      <c r="K16" s="1599"/>
    </row>
    <row customHeight="1" ht="22.5">
      <c r="F17" s="1595" t="s">
        <v>941</v>
      </c>
      <c r="G17" s="1602" t="s">
        <v>942</v>
      </c>
      <c r="H17" s="1601">
        <f>SUM(I17:J17)</f>
        <v>0</v>
      </c>
      <c r="I17" s="1600"/>
      <c r="J17" s="1590"/>
      <c r="K17" s="1599"/>
    </row>
    <row customHeight="1" ht="33.75">
      <c r="F18" s="1595" t="s">
        <v>943</v>
      </c>
      <c r="G18" s="1602" t="s">
        <v>944</v>
      </c>
      <c r="H18" s="1601">
        <f>SUM(I18:J18)</f>
        <v>0</v>
      </c>
      <c r="I18" s="1600"/>
      <c r="J18" s="1590"/>
      <c r="K18" s="1599"/>
    </row>
    <row customHeight="1" ht="33.75">
      <c r="F19" s="1595" t="s">
        <v>945</v>
      </c>
      <c r="G19" s="1602" t="s">
        <v>946</v>
      </c>
      <c r="H19" s="1601">
        <f>SUM(I19:J19)</f>
        <v>0</v>
      </c>
      <c r="I19" s="1600"/>
      <c r="J19" s="1590"/>
      <c r="K19" s="1599"/>
    </row>
    <row customHeight="1" ht="45">
      <c r="F20" s="1595" t="s">
        <v>947</v>
      </c>
      <c r="G20" s="1602" t="s">
        <v>948</v>
      </c>
      <c r="H20" s="1601">
        <f>SUM(I20:J20)</f>
        <v>0</v>
      </c>
      <c r="I20" s="1600"/>
      <c r="J20" s="1590"/>
      <c r="K20" s="1599"/>
    </row>
    <row customHeight="1" ht="33.75">
      <c r="F21" s="1595" t="s">
        <v>949</v>
      </c>
      <c r="G21" s="1602" t="s">
        <v>950</v>
      </c>
      <c r="H21" s="1601">
        <f>SUM(I21:J21)</f>
        <v>0</v>
      </c>
      <c r="I21" s="1600"/>
      <c r="J21" s="1590"/>
      <c r="K21" s="1599"/>
    </row>
    <row customHeight="1" ht="33.75">
      <c r="F22" s="1595" t="s">
        <v>951</v>
      </c>
      <c r="G22" s="1602" t="s">
        <v>952</v>
      </c>
      <c r="H22" s="1601">
        <f>SUM(I22:J22)</f>
        <v>0</v>
      </c>
      <c r="I22" s="1600"/>
      <c r="J22" s="1590"/>
      <c r="K22" s="1599"/>
    </row>
    <row customHeight="1" ht="22.5">
      <c r="F23" s="1595" t="s">
        <v>953</v>
      </c>
      <c r="G23" s="1602" t="s">
        <v>954</v>
      </c>
      <c r="H23" s="1601">
        <f>SUM(I23:J23)</f>
        <v>0</v>
      </c>
      <c r="I23" s="1600"/>
      <c r="J23" s="1590"/>
      <c r="K23" s="1599"/>
    </row>
    <row customHeight="1" ht="22.5">
      <c r="F24" s="1595" t="s">
        <v>955</v>
      </c>
      <c r="G24" s="1602" t="s">
        <v>956</v>
      </c>
      <c r="H24" s="1601">
        <f>SUM(I24:J24)</f>
        <v>0</v>
      </c>
      <c r="I24" s="1600"/>
      <c r="J24" s="1590"/>
      <c r="K24" s="1599"/>
    </row>
    <row customHeight="1" ht="33.75">
      <c r="F25" s="1595" t="s">
        <v>957</v>
      </c>
      <c r="G25" s="1602" t="s">
        <v>958</v>
      </c>
      <c r="H25" s="1601">
        <f>SUM(I25:J25)</f>
        <v>0</v>
      </c>
      <c r="I25" s="1600"/>
      <c r="J25" s="1590"/>
      <c r="K25" s="1599"/>
    </row>
    <row customHeight="1" ht="33.75">
      <c r="F26" s="1595" t="s">
        <v>959</v>
      </c>
      <c r="G26" s="1602" t="s">
        <v>960</v>
      </c>
      <c r="H26" s="1601">
        <f>SUM(I26:J26)</f>
        <v>0</v>
      </c>
      <c r="I26" s="1600"/>
      <c r="J26" s="1590"/>
      <c r="K26" s="1599"/>
    </row>
    <row customHeight="1" ht="11.25">
      <c r="F27" s="1595" t="s">
        <v>961</v>
      </c>
      <c r="G27" s="1602" t="s">
        <v>962</v>
      </c>
      <c r="H27" s="1601">
        <f>SUM(I27:J27)</f>
        <v>0</v>
      </c>
      <c r="I27" s="1600"/>
      <c r="J27" s="1590"/>
      <c r="K27" s="1599"/>
    </row>
    <row customHeight="1" ht="11.25">
      <c r="F28" s="1595">
        <v>2</v>
      </c>
      <c r="G28" s="1051" t="s">
        <v>963</v>
      </c>
      <c r="H28" s="1601">
        <f>SUM(I28:J28)</f>
        <v>0</v>
      </c>
      <c r="I28" s="1601">
        <f>SUM(I29:I31)</f>
        <v>0</v>
      </c>
      <c r="J28" s="1590"/>
      <c r="K28" s="1599"/>
    </row>
    <row customHeight="1" ht="11.25">
      <c r="F29" s="1595" t="s">
        <v>622</v>
      </c>
      <c r="G29" s="1602" t="s">
        <v>964</v>
      </c>
      <c r="H29" s="1601">
        <f>SUM(I29:J29)</f>
        <v>0</v>
      </c>
      <c r="I29" s="1600"/>
      <c r="J29" s="1590"/>
      <c r="K29" s="1599"/>
    </row>
    <row customHeight="1" ht="11.25">
      <c r="F30" s="1595" t="s">
        <v>307</v>
      </c>
      <c r="G30" s="1602" t="s">
        <v>965</v>
      </c>
      <c r="H30" s="1601">
        <f>SUM(I30:J30)</f>
        <v>0</v>
      </c>
      <c r="I30" s="1600"/>
      <c r="J30" s="1590"/>
      <c r="K30" s="1599"/>
    </row>
    <row customHeight="1" ht="11.25">
      <c r="F31" s="1595" t="s">
        <v>310</v>
      </c>
      <c r="G31" s="1602" t="s">
        <v>966</v>
      </c>
      <c r="H31" s="1601">
        <f>SUM(I31:J31)</f>
        <v>0</v>
      </c>
      <c r="I31" s="1600"/>
      <c r="J31" s="1590"/>
      <c r="K31" s="1599"/>
    </row>
    <row customHeight="1" ht="11.25">
      <c r="F32" s="1595">
        <v>3</v>
      </c>
      <c r="G32" s="1051" t="s">
        <v>967</v>
      </c>
      <c r="H32" s="1601">
        <f>SUM(I32:J32)</f>
        <v>0</v>
      </c>
      <c r="I32" s="1601">
        <f>SUM(I33:I34)</f>
        <v>0</v>
      </c>
      <c r="J32" s="1590"/>
      <c r="K32" s="1599"/>
    </row>
    <row customHeight="1" ht="33.75">
      <c r="F33" s="1595" t="s">
        <v>324</v>
      </c>
      <c r="G33" s="1602" t="s">
        <v>968</v>
      </c>
      <c r="H33" s="1601">
        <f>SUM(I33:J33)</f>
        <v>0</v>
      </c>
      <c r="I33" s="1600"/>
      <c r="J33" s="1590"/>
      <c r="K33" s="1599"/>
    </row>
    <row customHeight="1" ht="11.25">
      <c r="F34" s="1595" t="s">
        <v>332</v>
      </c>
      <c r="G34" s="1602" t="s">
        <v>969</v>
      </c>
      <c r="H34" s="1601">
        <f>SUM(I34:J34)</f>
        <v>0</v>
      </c>
      <c r="I34" s="1600"/>
      <c r="J34" s="1590"/>
      <c r="K34" s="1599"/>
    </row>
    <row customHeight="1" ht="11.25">
      <c r="F35" s="1595">
        <v>4</v>
      </c>
      <c r="G35" s="1051" t="s">
        <v>970</v>
      </c>
      <c r="H35" s="1601">
        <f>SUM(I35:J35)</f>
        <v>0</v>
      </c>
      <c r="I35" s="1600"/>
      <c r="J35" s="1590"/>
      <c r="K35" s="1599"/>
    </row>
    <row customHeight="1" ht="11.25">
      <c r="F36" s="1595"/>
      <c r="G36" s="1054" t="s">
        <v>971</v>
      </c>
      <c r="H36" s="1601">
        <f>SUM(I36:J36)</f>
        <v>0</v>
      </c>
      <c r="I36" s="1601">
        <f>SUM(I15,I28,I32,I35)</f>
        <v>0</v>
      </c>
      <c r="J36" s="1590"/>
      <c r="K36" s="1599"/>
    </row>
    <row customHeight="1" ht="27.75">
      <c r="F37" s="1596" t="s">
        <v>972</v>
      </c>
      <c r="G37" s="2684" t="s">
        <v>973</v>
      </c>
      <c r="H37" s="2684"/>
      <c r="I37" s="2684"/>
      <c r="J37" s="2684"/>
      <c r="K37" s="1599"/>
    </row>
    <row customHeight="1" ht="22.5">
      <c r="F38" s="1595" t="s">
        <v>106</v>
      </c>
      <c r="G38" s="1051" t="s">
        <v>974</v>
      </c>
      <c r="H38" s="1601">
        <f>SUM(I38:J38)</f>
        <v>0</v>
      </c>
      <c r="I38" s="1601">
        <f>SUM(I39,I44,I47)</f>
        <v>0</v>
      </c>
      <c r="J38" s="1590"/>
      <c r="K38" s="1599"/>
    </row>
    <row customHeight="1" ht="11.25">
      <c r="F39" s="1595" t="s">
        <v>939</v>
      </c>
      <c r="G39" s="1602" t="s">
        <v>938</v>
      </c>
      <c r="H39" s="1601">
        <f>SUM(I39:J39)</f>
        <v>0</v>
      </c>
      <c r="I39" s="1601">
        <f>SUM(I40:I43)</f>
        <v>0</v>
      </c>
      <c r="J39" s="1590"/>
      <c r="K39" s="1599"/>
    </row>
    <row customHeight="1" ht="22.5">
      <c r="F40" s="1595" t="s">
        <v>975</v>
      </c>
      <c r="G40" s="1603" t="s">
        <v>976</v>
      </c>
      <c r="H40" s="1601">
        <f>SUM(I40:J40)</f>
        <v>0</v>
      </c>
      <c r="I40" s="1600"/>
      <c r="J40" s="1590"/>
      <c r="K40" s="1599"/>
    </row>
    <row customHeight="1" ht="11.25">
      <c r="F41" s="1595" t="s">
        <v>977</v>
      </c>
      <c r="G41" s="1603" t="s">
        <v>978</v>
      </c>
      <c r="H41" s="1601">
        <f>SUM(I41:J41)</f>
        <v>0</v>
      </c>
      <c r="I41" s="1600"/>
      <c r="J41" s="1590"/>
      <c r="K41" s="1599"/>
    </row>
    <row customHeight="1" ht="11.25">
      <c r="F42" s="1595" t="s">
        <v>979</v>
      </c>
      <c r="G42" s="1603" t="s">
        <v>980</v>
      </c>
      <c r="H42" s="1601">
        <f>SUM(I42:J42)</f>
        <v>0</v>
      </c>
      <c r="I42" s="1600"/>
      <c r="J42" s="1590"/>
      <c r="K42" s="1599"/>
    </row>
    <row customHeight="1" ht="33.75">
      <c r="F43" s="1595" t="s">
        <v>981</v>
      </c>
      <c r="G43" s="1603" t="s">
        <v>982</v>
      </c>
      <c r="H43" s="1601">
        <f>SUM(I43:J43)</f>
        <v>0</v>
      </c>
      <c r="I43" s="1600"/>
      <c r="J43" s="1590"/>
      <c r="K43" s="1599"/>
    </row>
    <row customHeight="1" ht="11.25">
      <c r="F44" s="1595" t="s">
        <v>941</v>
      </c>
      <c r="G44" s="1602" t="s">
        <v>967</v>
      </c>
      <c r="H44" s="1601">
        <f>SUM(I44:J44)</f>
        <v>0</v>
      </c>
      <c r="I44" s="1601">
        <f>SUM(I45:I46)</f>
        <v>0</v>
      </c>
      <c r="J44" s="1590"/>
      <c r="K44" s="1599"/>
    </row>
    <row customHeight="1" ht="45">
      <c r="F45" s="1595" t="s">
        <v>983</v>
      </c>
      <c r="G45" s="1603" t="s">
        <v>968</v>
      </c>
      <c r="H45" s="1601">
        <f>SUM(I45:J45)</f>
        <v>0</v>
      </c>
      <c r="I45" s="1600"/>
      <c r="J45" s="1590"/>
      <c r="K45" s="1599"/>
    </row>
    <row customHeight="1" ht="11.25">
      <c r="F46" s="1595" t="s">
        <v>984</v>
      </c>
      <c r="G46" s="1603" t="s">
        <v>969</v>
      </c>
      <c r="H46" s="1601">
        <f>SUM(I46:J46)</f>
        <v>0</v>
      </c>
      <c r="I46" s="1600"/>
      <c r="J46" s="1590"/>
      <c r="K46" s="1599"/>
    </row>
    <row customHeight="1" ht="11.25">
      <c r="F47" s="1595" t="s">
        <v>943</v>
      </c>
      <c r="G47" s="1602" t="s">
        <v>985</v>
      </c>
      <c r="H47" s="1601">
        <f>SUM(I47:J47)</f>
        <v>0</v>
      </c>
      <c r="I47" s="1600"/>
      <c r="J47" s="1590"/>
      <c r="K47" s="1599"/>
    </row>
    <row customHeight="1" ht="22.5">
      <c r="F48" s="1595" t="s">
        <v>107</v>
      </c>
      <c r="G48" s="1051" t="s">
        <v>986</v>
      </c>
      <c r="H48" s="1601">
        <f>SUM(I48:J48)</f>
        <v>0</v>
      </c>
      <c r="I48" s="1601">
        <f>SUM(I49,I54,I57)</f>
        <v>0</v>
      </c>
      <c r="J48" s="1590"/>
      <c r="K48" s="1599"/>
    </row>
    <row customHeight="1" ht="11.25">
      <c r="F49" s="1595" t="s">
        <v>622</v>
      </c>
      <c r="G49" s="1602" t="s">
        <v>938</v>
      </c>
      <c r="H49" s="1601">
        <f>SUM(I49:J49)</f>
        <v>0</v>
      </c>
      <c r="I49" s="1601">
        <f>SUM(I50:I53)</f>
        <v>0</v>
      </c>
      <c r="J49" s="1590"/>
      <c r="K49" s="1599"/>
    </row>
    <row customHeight="1" ht="22.5">
      <c r="F50" s="1595" t="s">
        <v>625</v>
      </c>
      <c r="G50" s="1603" t="s">
        <v>976</v>
      </c>
      <c r="H50" s="1601">
        <f>SUM(I50:J50)</f>
        <v>0</v>
      </c>
      <c r="I50" s="1600"/>
      <c r="J50" s="1590"/>
      <c r="K50" s="1599"/>
    </row>
    <row customHeight="1" ht="11.25">
      <c r="F51" s="1595" t="s">
        <v>628</v>
      </c>
      <c r="G51" s="1603" t="s">
        <v>978</v>
      </c>
      <c r="H51" s="1601">
        <f>SUM(I51:J51)</f>
        <v>0</v>
      </c>
      <c r="I51" s="1600"/>
      <c r="J51" s="1590"/>
      <c r="K51" s="1599"/>
    </row>
    <row customHeight="1" ht="11.25">
      <c r="F52" s="1595" t="s">
        <v>987</v>
      </c>
      <c r="G52" s="1603" t="s">
        <v>980</v>
      </c>
      <c r="H52" s="1601">
        <f>SUM(I52:J52)</f>
        <v>0</v>
      </c>
      <c r="I52" s="1600"/>
      <c r="J52" s="1590"/>
      <c r="K52" s="1599"/>
    </row>
    <row customHeight="1" ht="33.75">
      <c r="F53" s="1595" t="s">
        <v>988</v>
      </c>
      <c r="G53" s="1603" t="s">
        <v>982</v>
      </c>
      <c r="H53" s="1601">
        <f>SUM(I53:J53)</f>
        <v>0</v>
      </c>
      <c r="I53" s="1600"/>
      <c r="J53" s="1590"/>
      <c r="K53" s="1599"/>
    </row>
    <row customHeight="1" ht="11.25">
      <c r="F54" s="1595" t="s">
        <v>307</v>
      </c>
      <c r="G54" s="1602" t="s">
        <v>967</v>
      </c>
      <c r="H54" s="1601">
        <f>SUM(I54:J54)</f>
        <v>0</v>
      </c>
      <c r="I54" s="1601">
        <f>SUM(I55:I56)</f>
        <v>0</v>
      </c>
      <c r="J54" s="1590"/>
      <c r="K54" s="1599"/>
    </row>
    <row customHeight="1" ht="45">
      <c r="F55" s="1595" t="s">
        <v>632</v>
      </c>
      <c r="G55" s="1603" t="s">
        <v>968</v>
      </c>
      <c r="H55" s="1601">
        <f>SUM(I55:J55)</f>
        <v>0</v>
      </c>
      <c r="I55" s="1600"/>
      <c r="J55" s="1590"/>
      <c r="K55" s="1599"/>
    </row>
    <row customHeight="1" ht="11.25">
      <c r="F56" s="1595" t="s">
        <v>634</v>
      </c>
      <c r="G56" s="1603" t="s">
        <v>969</v>
      </c>
      <c r="H56" s="1601">
        <f>SUM(I56:J56)</f>
        <v>0</v>
      </c>
      <c r="I56" s="1600"/>
      <c r="J56" s="1590"/>
      <c r="K56" s="1599"/>
    </row>
    <row customHeight="1" ht="11.25">
      <c r="F57" s="1595" t="s">
        <v>310</v>
      </c>
      <c r="G57" s="1602" t="s">
        <v>985</v>
      </c>
      <c r="H57" s="1601">
        <f>SUM(I57:J57)</f>
        <v>0</v>
      </c>
      <c r="I57" s="1600"/>
      <c r="J57" s="1590"/>
      <c r="K57" s="1599"/>
    </row>
    <row customHeight="1" ht="11.25">
      <c r="F58" s="1595"/>
      <c r="G58" s="1604" t="s">
        <v>971</v>
      </c>
      <c r="H58" s="1601">
        <f>SUM(I58:J58)</f>
        <v>0</v>
      </c>
      <c r="I58" s="1601">
        <f>SUM(I38,I48)</f>
        <v>0</v>
      </c>
      <c r="J58" s="1590"/>
      <c r="K58" s="1599"/>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1DE8A4-2356-D524-50F4-F52C84BEE1BE}"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20142" width="4.7109375" hidden="1" customWidth="1"/>
    <col min="2" max="2" style="20143" width="4.7109375" hidden="1" customWidth="1"/>
    <col min="3" max="4" style="20142" width="4.7109375" hidden="1" customWidth="1"/>
    <col min="5" max="5" style="20142" width="3.57421875" customWidth="1"/>
    <col min="6" max="6" style="20142" width="6.7109375" customWidth="1"/>
    <col min="7" max="7" style="20142" width="18.7109375" customWidth="1"/>
    <col min="8" max="8" style="20142" width="27.28125" customWidth="1"/>
    <col min="9" max="9" style="20142" width="18.7109375" customWidth="1"/>
    <col min="10" max="14" style="20142" width="0.8515625" hidden="1" customWidth="1"/>
    <col min="15" max="28" style="20142" width="21.7109375" hidden="1" customWidth="1"/>
    <col min="29" max="71" style="20142" width="0.8515625" hidden="1" customWidth="1"/>
    <col min="72" max="79" style="20142" width="21.7109375" customWidth="1"/>
    <col min="80" max="81" style="20142" width="29.140625" customWidth="1"/>
    <col min="82" max="89" style="20142" width="21.7109375" customWidth="1"/>
    <col min="90" max="102" style="20142" width="0.7109375" customWidth="1"/>
    <col min="103" max="114" style="20142" width="21.7109375" hidden="1" customWidth="1"/>
    <col min="115" max="178" style="20142" width="0.7109375" hidden="1" customWidth="1"/>
    <col min="179" max="179" style="20142" width="0.140625" customWidth="1"/>
    <col min="180" max="184" style="20142" width="9.140625"/>
  </cols>
  <sheetData>
    <row s="20068" customFormat="1" customHeight="1" ht="12" hidden="1">
      <c r="B1" s="1284"/>
      <c r="C1" s="1285"/>
      <c r="D1" s="1285"/>
    </row>
    <row s="20068" customFormat="1" customHeight="1" ht="12" hidden="1">
      <c r="B2" s="1284"/>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6"/>
      <c r="AC2" s="1285"/>
      <c r="AD2" s="1285"/>
      <c r="AE2" s="1285"/>
      <c r="AF2" s="1285"/>
      <c r="AG2" s="1285"/>
      <c r="AH2" s="1285"/>
      <c r="AI2" s="1285"/>
      <c r="AJ2" s="1285"/>
      <c r="AK2" s="1285"/>
      <c r="AL2" s="1285"/>
      <c r="AM2" s="1285"/>
      <c r="AN2" s="1285"/>
      <c r="AO2" s="1285"/>
      <c r="AP2" s="1285"/>
      <c r="AQ2" s="1285"/>
      <c r="AR2" s="1285"/>
      <c r="AS2" s="1285"/>
      <c r="AT2" s="1285"/>
      <c r="AU2" s="1285"/>
      <c r="AV2" s="1285"/>
      <c r="AW2" s="1285"/>
      <c r="AX2" s="1285"/>
      <c r="AY2" s="1285"/>
      <c r="AZ2" s="1285"/>
      <c r="BA2" s="1285"/>
      <c r="BB2" s="1285"/>
      <c r="BC2" s="1285"/>
      <c r="BD2" s="1285"/>
      <c r="BE2" s="1285"/>
      <c r="BF2" s="1285"/>
      <c r="BG2" s="1285"/>
      <c r="BH2" s="1285"/>
      <c r="BI2" s="1285"/>
      <c r="BJ2" s="1285"/>
      <c r="BK2" s="1285"/>
      <c r="BL2" s="1285"/>
      <c r="BM2" s="1285"/>
      <c r="BN2" s="1285"/>
      <c r="BO2" s="1285"/>
      <c r="BP2" s="1285"/>
      <c r="BQ2" s="1285"/>
      <c r="BR2" s="1285"/>
      <c r="BS2" s="1285"/>
      <c r="BT2" s="1285"/>
      <c r="BU2" s="1285"/>
      <c r="BV2" s="1285"/>
      <c r="BW2" s="1285"/>
      <c r="BX2" s="1285"/>
      <c r="BY2" s="1285"/>
      <c r="BZ2" s="1285"/>
      <c r="CA2" s="1285"/>
      <c r="CB2" s="1285"/>
      <c r="CC2" s="1285"/>
      <c r="CD2" s="1285"/>
      <c r="CE2" s="1285"/>
      <c r="CF2" s="1285"/>
      <c r="CG2" s="1285"/>
      <c r="CH2" s="1285"/>
      <c r="CI2" s="1285"/>
      <c r="CJ2" s="1285"/>
      <c r="CK2" s="1285"/>
      <c r="CL2" s="1285"/>
      <c r="CM2" s="1285"/>
      <c r="CN2" s="1285"/>
      <c r="CO2" s="1285"/>
      <c r="CP2" s="1285"/>
      <c r="CQ2" s="1285"/>
      <c r="CR2" s="1285"/>
      <c r="CS2" s="1285"/>
      <c r="CT2" s="1285"/>
      <c r="CU2" s="1285"/>
      <c r="CV2" s="1285"/>
      <c r="CW2" s="1285"/>
      <c r="CX2" s="1285"/>
      <c r="CY2" s="1285"/>
      <c r="CZ2" s="1285"/>
      <c r="DA2" s="1285"/>
      <c r="DB2" s="1285"/>
      <c r="DC2" s="1285"/>
      <c r="DD2" s="1285"/>
      <c r="DE2" s="1285"/>
      <c r="DF2" s="1285"/>
      <c r="DG2" s="1285"/>
      <c r="DH2" s="1285"/>
      <c r="DI2" s="1285"/>
      <c r="DJ2" s="1285"/>
      <c r="DK2" s="1285"/>
      <c r="DL2" s="1285"/>
      <c r="DM2" s="1285"/>
      <c r="DN2" s="1285"/>
      <c r="DO2" s="1285"/>
      <c r="DP2" s="1285"/>
      <c r="DQ2" s="1285"/>
      <c r="DR2" s="1285"/>
      <c r="DS2" s="1285"/>
      <c r="DT2" s="1285"/>
      <c r="DU2" s="1285"/>
      <c r="DV2" s="1285"/>
      <c r="DW2" s="1285"/>
      <c r="DX2" s="1285"/>
      <c r="DY2" s="1285"/>
      <c r="DZ2" s="1285"/>
      <c r="EA2" s="1285"/>
      <c r="EB2" s="1285"/>
      <c r="EC2" s="1285"/>
      <c r="ED2" s="1285"/>
      <c r="EE2" s="1285"/>
      <c r="EF2" s="1285"/>
      <c r="EG2" s="1285"/>
      <c r="EH2" s="1285"/>
      <c r="EI2" s="1285"/>
      <c r="EJ2" s="1285"/>
      <c r="EK2" s="1285"/>
      <c r="EL2" s="1285"/>
      <c r="EM2" s="1285"/>
      <c r="EN2" s="1285"/>
      <c r="EO2" s="1285"/>
      <c r="EP2" s="1285"/>
      <c r="EQ2" s="1285"/>
      <c r="ER2" s="1285"/>
      <c r="ES2" s="1285"/>
      <c r="ET2" s="1285"/>
      <c r="EU2" s="1285"/>
      <c r="EV2" s="1285"/>
      <c r="EW2" s="1285"/>
      <c r="EX2" s="1285"/>
      <c r="EY2" s="1285"/>
      <c r="EZ2" s="1285"/>
      <c r="FA2" s="1285"/>
      <c r="FB2" s="1285"/>
      <c r="FC2" s="1285"/>
      <c r="FD2" s="1285"/>
      <c r="FE2" s="1285"/>
      <c r="FF2" s="1285"/>
      <c r="FG2" s="1285"/>
      <c r="FH2" s="1285"/>
      <c r="FI2" s="1285"/>
      <c r="FJ2" s="1285"/>
      <c r="FK2" s="1285"/>
      <c r="FL2" s="1285"/>
      <c r="FM2" s="1285"/>
      <c r="FN2" s="1285"/>
      <c r="FO2" s="1285"/>
      <c r="FP2" s="1285"/>
      <c r="FQ2" s="1285"/>
      <c r="FR2" s="1285"/>
      <c r="FS2" s="1285"/>
      <c r="FT2" s="1285"/>
      <c r="FU2" s="1285"/>
      <c r="FV2" s="1285"/>
      <c r="FW2" s="1285"/>
    </row>
    <row s="20068" customFormat="1" customHeight="1" ht="12" hidden="1">
      <c r="B3" s="1284"/>
      <c r="C3" s="1285"/>
      <c r="D3" s="1285"/>
      <c r="E3" s="1285"/>
      <c r="F3" s="1285"/>
      <c r="G3" s="1285"/>
      <c r="H3" s="1285"/>
      <c r="I3" s="1285"/>
      <c r="J3" s="1285"/>
      <c r="K3" s="1285"/>
      <c r="L3" s="1285"/>
      <c r="M3" s="1285"/>
      <c r="N3" s="1285"/>
      <c r="O3" s="1285"/>
      <c r="P3" s="1285"/>
      <c r="Q3" s="1285"/>
      <c r="R3" s="1285"/>
      <c r="S3" s="1285"/>
      <c r="T3" s="1285"/>
      <c r="U3" s="1285"/>
      <c r="V3" s="1285"/>
      <c r="W3" s="1285"/>
      <c r="X3" s="1285"/>
      <c r="Y3" s="1285"/>
      <c r="Z3" s="1285"/>
      <c r="AA3" s="1285"/>
      <c r="AB3" s="1286"/>
      <c r="AC3" s="1285"/>
      <c r="AD3" s="1285"/>
      <c r="AE3" s="1285"/>
      <c r="AF3" s="1285"/>
      <c r="AG3" s="1285"/>
      <c r="AH3" s="1285"/>
      <c r="AI3" s="1285"/>
      <c r="AJ3" s="1285"/>
      <c r="AK3" s="1285"/>
      <c r="AL3" s="1285"/>
      <c r="AM3" s="1285"/>
      <c r="AN3" s="1285"/>
      <c r="AO3" s="1285"/>
      <c r="AP3" s="1285"/>
      <c r="AQ3" s="1285"/>
      <c r="AR3" s="1285"/>
      <c r="AS3" s="1285"/>
      <c r="AT3" s="1285"/>
      <c r="AU3" s="1285"/>
      <c r="AV3" s="1285"/>
      <c r="AW3" s="1285"/>
      <c r="AX3" s="1285"/>
      <c r="AY3" s="1285"/>
      <c r="AZ3" s="1285"/>
      <c r="BA3" s="1285"/>
      <c r="BB3" s="1285"/>
      <c r="BC3" s="1285"/>
      <c r="BD3" s="1285"/>
      <c r="BE3" s="1285"/>
      <c r="BF3" s="1285"/>
      <c r="BG3" s="1285"/>
      <c r="BH3" s="1285"/>
      <c r="BI3" s="1285"/>
      <c r="BJ3" s="1285"/>
      <c r="BK3" s="1285"/>
      <c r="BL3" s="1285"/>
      <c r="BM3" s="1285"/>
      <c r="BN3" s="1285"/>
      <c r="BO3" s="1285"/>
      <c r="BP3" s="1285"/>
      <c r="BQ3" s="1285"/>
      <c r="BR3" s="1285"/>
      <c r="BS3" s="1285"/>
      <c r="BT3" s="1285"/>
      <c r="BU3" s="1285"/>
      <c r="BV3" s="1285"/>
      <c r="BW3" s="1285"/>
      <c r="BX3" s="1285"/>
      <c r="BY3" s="1285"/>
      <c r="BZ3" s="1285"/>
      <c r="CA3" s="1285"/>
      <c r="CB3" s="1285"/>
      <c r="CC3" s="1285"/>
      <c r="CD3" s="1285"/>
      <c r="CE3" s="1285"/>
      <c r="CF3" s="1285"/>
      <c r="CG3" s="1285"/>
      <c r="CH3" s="1285"/>
      <c r="CI3" s="1285"/>
      <c r="CJ3" s="1285"/>
      <c r="CK3" s="1285"/>
      <c r="CL3" s="1285"/>
      <c r="CM3" s="1285"/>
      <c r="CN3" s="1285"/>
      <c r="CO3" s="1285"/>
      <c r="CP3" s="1285"/>
      <c r="CQ3" s="1285"/>
      <c r="CR3" s="1285"/>
      <c r="CS3" s="1285"/>
      <c r="CT3" s="1285"/>
      <c r="CU3" s="1285"/>
      <c r="CV3" s="1285"/>
      <c r="CW3" s="1285"/>
      <c r="CX3" s="1285"/>
      <c r="CY3" s="1285"/>
      <c r="CZ3" s="1285"/>
      <c r="DA3" s="1285"/>
      <c r="DB3" s="1285"/>
      <c r="DC3" s="1285"/>
      <c r="DD3" s="1285"/>
      <c r="DE3" s="1285"/>
      <c r="DF3" s="1285"/>
      <c r="DG3" s="1285"/>
      <c r="DH3" s="1285"/>
      <c r="DI3" s="1285"/>
      <c r="DJ3" s="1285"/>
      <c r="DK3" s="1285"/>
      <c r="DL3" s="1285"/>
      <c r="DM3" s="1285"/>
      <c r="DN3" s="1285"/>
      <c r="DO3" s="1285"/>
      <c r="DP3" s="1285"/>
      <c r="DQ3" s="1285"/>
      <c r="DR3" s="1285"/>
      <c r="DS3" s="1285"/>
      <c r="DT3" s="1285"/>
      <c r="DU3" s="1285"/>
      <c r="DV3" s="1285"/>
      <c r="DW3" s="1285"/>
      <c r="DX3" s="1285"/>
      <c r="DY3" s="1285"/>
      <c r="DZ3" s="1285"/>
      <c r="EA3" s="1285"/>
      <c r="EB3" s="1285"/>
      <c r="EC3" s="1285"/>
      <c r="ED3" s="1285"/>
      <c r="EE3" s="1285"/>
      <c r="EF3" s="1285"/>
      <c r="EG3" s="1285"/>
      <c r="EH3" s="1285"/>
      <c r="EI3" s="1285"/>
      <c r="EJ3" s="1285"/>
      <c r="EK3" s="1285"/>
      <c r="EL3" s="1285"/>
      <c r="EM3" s="1285"/>
      <c r="EN3" s="1285"/>
      <c r="EO3" s="1285"/>
      <c r="EP3" s="1285"/>
      <c r="EQ3" s="1285"/>
      <c r="ER3" s="1285"/>
      <c r="ES3" s="1285"/>
      <c r="ET3" s="1285"/>
      <c r="EU3" s="1285"/>
      <c r="EV3" s="1285"/>
      <c r="EW3" s="1285"/>
      <c r="EX3" s="1285"/>
      <c r="EY3" s="1285"/>
      <c r="EZ3" s="1285"/>
      <c r="FA3" s="1285"/>
      <c r="FB3" s="1285"/>
      <c r="FC3" s="1285"/>
      <c r="FD3" s="1285"/>
      <c r="FE3" s="1285"/>
      <c r="FF3" s="1285"/>
      <c r="FG3" s="1285"/>
      <c r="FH3" s="1285"/>
      <c r="FI3" s="1285"/>
      <c r="FJ3" s="1285"/>
      <c r="FK3" s="1285"/>
      <c r="FL3" s="1285"/>
      <c r="FM3" s="1285"/>
      <c r="FN3" s="1285"/>
      <c r="FO3" s="1285"/>
      <c r="FP3" s="1285"/>
      <c r="FQ3" s="1285"/>
      <c r="FR3" s="1285"/>
      <c r="FS3" s="1285"/>
      <c r="FT3" s="1285"/>
      <c r="FU3" s="1285"/>
      <c r="FV3" s="1285"/>
      <c r="FW3" s="1285"/>
    </row>
    <row customHeight="1" ht="10.5">
      <c r="B4" s="1288"/>
      <c r="C4" s="1289"/>
      <c r="D4" s="1289"/>
      <c r="E4" s="1289"/>
      <c r="F4" s="1289"/>
      <c r="G4" s="1289"/>
      <c r="H4" s="1290"/>
      <c r="I4" s="1290"/>
      <c r="J4" s="1290"/>
      <c r="K4" s="1290"/>
      <c r="L4" s="1290"/>
      <c r="M4" s="1291"/>
      <c r="N4" s="1291"/>
      <c r="O4" s="1291"/>
      <c r="P4" s="1291"/>
      <c r="Q4" s="1291"/>
      <c r="R4" s="1291"/>
      <c r="S4" s="1291"/>
      <c r="T4" s="1291"/>
      <c r="U4" s="1291"/>
      <c r="V4" s="1291"/>
      <c r="W4" s="1291"/>
      <c r="X4" s="1291"/>
      <c r="Y4" s="1291"/>
      <c r="Z4" s="1291"/>
      <c r="AA4" s="1291"/>
      <c r="AB4" s="1291"/>
      <c r="AC4" s="1291"/>
      <c r="AD4" s="1291"/>
      <c r="AE4" s="1291"/>
      <c r="AF4" s="1291"/>
      <c r="AG4" s="1291"/>
      <c r="AH4" s="1291"/>
      <c r="AI4" s="1291"/>
      <c r="AJ4" s="1291"/>
      <c r="AK4" s="1291"/>
      <c r="AL4" s="1291"/>
      <c r="AM4" s="1291"/>
      <c r="AN4" s="1291"/>
      <c r="AO4" s="1291"/>
      <c r="AP4" s="1291"/>
      <c r="AQ4" s="1291"/>
      <c r="AR4" s="1291"/>
      <c r="AS4" s="1291"/>
      <c r="AT4" s="1291"/>
      <c r="AU4" s="1291"/>
      <c r="AV4" s="1291"/>
      <c r="AW4" s="1291"/>
      <c r="AX4" s="1291"/>
      <c r="AY4" s="1291"/>
      <c r="AZ4" s="1291"/>
      <c r="BA4" s="1291"/>
      <c r="BB4" s="1291"/>
      <c r="BC4" s="1291"/>
      <c r="BD4" s="1291"/>
      <c r="BE4" s="1291"/>
      <c r="BF4" s="1291"/>
      <c r="BG4" s="1291"/>
      <c r="BH4" s="1291"/>
      <c r="BI4" s="1291"/>
      <c r="BJ4" s="1291"/>
      <c r="BK4" s="1291"/>
      <c r="BL4" s="1291"/>
      <c r="BM4" s="1291"/>
      <c r="BN4" s="1291"/>
      <c r="BO4" s="1291"/>
      <c r="BP4" s="1291"/>
      <c r="BQ4" s="1291"/>
      <c r="BR4" s="1291"/>
      <c r="BS4" s="1291"/>
      <c r="BT4" s="1291"/>
      <c r="BU4" s="1291"/>
      <c r="BV4" s="1291"/>
      <c r="BW4" s="1291"/>
      <c r="BX4" s="1291"/>
      <c r="BY4" s="1291"/>
      <c r="BZ4" s="1291"/>
      <c r="CA4" s="1291"/>
      <c r="CB4" s="1291"/>
      <c r="CC4" s="1291"/>
      <c r="CD4" s="1291"/>
      <c r="CE4" s="1291"/>
      <c r="CF4" s="1291"/>
      <c r="CG4" s="1291"/>
      <c r="CH4" s="1291"/>
      <c r="CI4" s="1291"/>
      <c r="CJ4" s="1291"/>
      <c r="CK4" s="1291"/>
      <c r="CL4" s="1291"/>
      <c r="CM4" s="1291"/>
      <c r="CN4" s="1291"/>
      <c r="CO4" s="1291"/>
      <c r="CP4" s="1291"/>
      <c r="CQ4" s="1291"/>
      <c r="CR4" s="1291"/>
      <c r="CS4" s="1291"/>
      <c r="CT4" s="1291"/>
      <c r="CU4" s="1291"/>
      <c r="CV4" s="1291"/>
      <c r="CW4" s="1291"/>
      <c r="CX4" s="1291"/>
      <c r="CY4" s="1291"/>
      <c r="CZ4" s="1291"/>
      <c r="DA4" s="1291"/>
      <c r="DB4" s="1291"/>
      <c r="DC4" s="1291"/>
      <c r="DD4" s="1291"/>
      <c r="DE4" s="1291"/>
      <c r="DF4" s="1291"/>
      <c r="DG4" s="1291"/>
      <c r="DH4" s="1291"/>
      <c r="DI4" s="1291"/>
      <c r="DJ4" s="1291"/>
      <c r="DK4" s="1291"/>
      <c r="DL4" s="1291"/>
      <c r="DM4" s="1291"/>
      <c r="DN4" s="1291"/>
      <c r="DO4" s="1291"/>
      <c r="DP4" s="1291"/>
      <c r="DQ4" s="1291"/>
      <c r="DR4" s="1291"/>
      <c r="DS4" s="1291"/>
      <c r="DT4" s="1291"/>
      <c r="DU4" s="1291"/>
      <c r="DV4" s="1291"/>
      <c r="DW4" s="1291"/>
      <c r="DX4" s="1291"/>
      <c r="DY4" s="1291"/>
      <c r="DZ4" s="1291"/>
      <c r="EA4" s="1291"/>
      <c r="EB4" s="1291"/>
      <c r="EC4" s="1291"/>
      <c r="ED4" s="1291"/>
      <c r="EE4" s="1291"/>
      <c r="EF4" s="1291"/>
      <c r="EG4" s="1291"/>
      <c r="EH4" s="1291"/>
      <c r="EI4" s="1291"/>
      <c r="EJ4" s="1291"/>
      <c r="EK4" s="1291"/>
      <c r="EL4" s="1291"/>
      <c r="EM4" s="1291"/>
      <c r="EN4" s="1291"/>
      <c r="EO4" s="1291"/>
      <c r="EP4" s="1291"/>
      <c r="EQ4" s="1291"/>
      <c r="ER4" s="1291"/>
      <c r="ES4" s="1291"/>
      <c r="ET4" s="1291"/>
      <c r="EU4" s="1291"/>
      <c r="EV4" s="1291"/>
      <c r="EW4" s="1291"/>
      <c r="EX4" s="1291"/>
      <c r="EY4" s="1291"/>
      <c r="EZ4" s="1291"/>
      <c r="FA4" s="1291"/>
      <c r="FB4" s="1291"/>
      <c r="FC4" s="1291"/>
      <c r="FD4" s="1291"/>
      <c r="FE4" s="1291"/>
      <c r="FF4" s="1291"/>
      <c r="FG4" s="1291"/>
      <c r="FH4" s="1291"/>
      <c r="FI4" s="1291"/>
      <c r="FJ4" s="1291"/>
      <c r="FK4" s="1291"/>
      <c r="FL4" s="1291"/>
      <c r="FM4" s="1291"/>
      <c r="FN4" s="1291"/>
      <c r="FO4" s="1291"/>
      <c r="FP4" s="1291"/>
      <c r="FQ4" s="1291"/>
      <c r="FR4" s="1291"/>
      <c r="FS4" s="1291"/>
      <c r="FT4" s="1291"/>
      <c r="FU4" s="1291"/>
      <c r="FV4" s="1291"/>
      <c r="FW4" s="1291"/>
    </row>
    <row s="20076" customFormat="1" customHeight="1" ht="25.5">
      <c r="B5" s="2239"/>
      <c r="E5" s="2241"/>
      <c r="F5" s="2718" t="str">
        <f>IP_NAME_FORM&amp;"
Показатели качества, надежности и энергетической эффективности в сфере "&amp;TEMPLATE_SPHERE_RUS&amp;" на "&amp;TITLE_FIL_YEAR&amp;" год"</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 на  год</v>
      </c>
      <c r="G5" s="2436"/>
      <c r="H5" s="2436"/>
      <c r="I5" s="2436"/>
      <c r="J5" s="2436"/>
      <c r="K5" s="2436"/>
      <c r="L5" s="2436"/>
      <c r="M5" s="2436"/>
      <c r="N5" s="2436"/>
      <c r="O5" s="2436"/>
      <c r="P5" s="2436"/>
      <c r="Q5" s="2436"/>
      <c r="R5" s="2436"/>
      <c r="S5" s="2436"/>
      <c r="T5" s="2436"/>
      <c r="U5" s="2436"/>
      <c r="V5" s="2436"/>
      <c r="W5" s="2436"/>
      <c r="X5" s="2436"/>
      <c r="Y5" s="2436"/>
      <c r="Z5" s="2436"/>
      <c r="AA5" s="2436"/>
      <c r="AB5" s="2436"/>
      <c r="AC5" s="2436"/>
      <c r="AD5" s="2436"/>
      <c r="AE5" s="2436"/>
      <c r="AF5" s="2436"/>
      <c r="AG5" s="2436"/>
      <c r="AH5" s="2436"/>
      <c r="AI5" s="2436"/>
      <c r="AJ5" s="2436"/>
      <c r="AK5" s="2436"/>
      <c r="AL5" s="2436"/>
      <c r="AM5" s="2436"/>
      <c r="AN5" s="2436"/>
      <c r="AO5" s="2436"/>
      <c r="AP5" s="2436"/>
      <c r="AQ5" s="2436"/>
      <c r="AR5" s="2436"/>
      <c r="AS5" s="2436"/>
      <c r="AT5" s="2436"/>
      <c r="AU5" s="2436"/>
      <c r="AV5" s="2436"/>
      <c r="AW5" s="2436"/>
      <c r="AX5" s="2436"/>
      <c r="AY5" s="2436"/>
      <c r="AZ5" s="2436"/>
      <c r="BA5" s="2436"/>
      <c r="BB5" s="2436"/>
      <c r="BC5" s="2436"/>
      <c r="BD5" s="2436"/>
      <c r="BE5" s="2436"/>
      <c r="BF5" s="2436"/>
      <c r="BG5" s="2436"/>
      <c r="BH5" s="2436"/>
      <c r="BI5" s="2436"/>
      <c r="BJ5" s="2436"/>
      <c r="BK5" s="2436"/>
      <c r="BL5" s="2436"/>
      <c r="BM5" s="2436"/>
      <c r="BN5" s="2436"/>
      <c r="BO5" s="2436"/>
      <c r="BP5" s="2436"/>
      <c r="BQ5" s="2436"/>
      <c r="BR5" s="2436"/>
      <c r="BS5" s="2436"/>
    </row>
    <row s="20080" customFormat="1" customHeight="1" ht="18">
      <c r="B6" s="1305"/>
      <c r="E6" s="1307"/>
      <c r="F6" s="2499" t="str">
        <f>IF(org=0,"Не определено",org)</f>
        <v>Филиал "Шатурская ГРЭС" ПАО "Юнипро"</v>
      </c>
      <c r="G6" s="2500"/>
      <c r="H6" s="2500"/>
      <c r="I6" s="2500"/>
      <c r="J6" s="2500"/>
      <c r="K6" s="2500"/>
      <c r="L6" s="2500"/>
      <c r="M6" s="2500"/>
      <c r="N6" s="2500"/>
      <c r="O6" s="2500"/>
      <c r="P6" s="2500"/>
      <c r="Q6" s="2500"/>
      <c r="R6" s="2500"/>
      <c r="S6" s="2500"/>
      <c r="T6" s="2500"/>
      <c r="U6" s="2500"/>
      <c r="V6" s="2500"/>
      <c r="W6" s="2500"/>
      <c r="X6" s="2500"/>
      <c r="Y6" s="2500"/>
      <c r="Z6" s="2500"/>
      <c r="AA6" s="2500"/>
      <c r="AB6" s="2500"/>
      <c r="AC6" s="2500"/>
      <c r="AD6" s="2500"/>
      <c r="AE6" s="2500"/>
      <c r="AF6" s="2500"/>
      <c r="AG6" s="2500"/>
      <c r="AH6" s="2500"/>
      <c r="AI6" s="2500"/>
      <c r="AJ6" s="2500"/>
      <c r="AK6" s="2500"/>
      <c r="AL6" s="2500"/>
      <c r="AM6" s="2500"/>
      <c r="AN6" s="2500"/>
      <c r="AO6" s="2500"/>
      <c r="AP6" s="2500"/>
      <c r="AQ6" s="2500"/>
      <c r="AR6" s="2500"/>
      <c r="AS6" s="2500"/>
      <c r="AT6" s="2500"/>
      <c r="AU6" s="2500"/>
      <c r="AV6" s="2500"/>
      <c r="AW6" s="2500"/>
      <c r="AX6" s="2500"/>
      <c r="AY6" s="2500"/>
      <c r="AZ6" s="2500"/>
      <c r="BA6" s="2500"/>
      <c r="BB6" s="2500"/>
      <c r="BC6" s="2500"/>
      <c r="BD6" s="2500"/>
      <c r="BE6" s="2500"/>
      <c r="BF6" s="2500"/>
      <c r="BG6" s="2500"/>
      <c r="BH6" s="2500"/>
      <c r="BI6" s="2500"/>
      <c r="BJ6" s="2500"/>
      <c r="BK6" s="2500"/>
      <c r="BL6" s="2500"/>
      <c r="BM6" s="2500"/>
      <c r="BN6" s="2500"/>
      <c r="BO6" s="2500"/>
      <c r="BP6" s="2500"/>
      <c r="BQ6" s="2500"/>
      <c r="BR6" s="2500"/>
      <c r="BS6" s="2500"/>
    </row>
    <row s="20083" customFormat="1" customHeight="1" ht="10.5">
      <c r="B7" s="1293"/>
      <c r="E7" s="1294"/>
      <c r="F7" s="1294"/>
      <c r="G7" s="1296"/>
      <c r="H7" s="1290"/>
      <c r="I7" s="1290"/>
      <c r="J7" s="1290"/>
      <c r="K7" s="1290"/>
      <c r="L7" s="1290"/>
      <c r="M7" s="1294"/>
      <c r="N7" s="1294"/>
      <c r="O7" s="1294"/>
      <c r="P7" s="1294"/>
      <c r="Q7" s="1294"/>
      <c r="R7" s="1294"/>
      <c r="S7" s="1294"/>
      <c r="T7" s="1294"/>
      <c r="U7" s="1294"/>
      <c r="V7" s="1294"/>
      <c r="W7" s="1294"/>
      <c r="X7" s="1294"/>
      <c r="Y7" s="1294"/>
      <c r="Z7" s="1294"/>
      <c r="AA7" s="1294"/>
      <c r="AB7" s="1294"/>
      <c r="AC7" s="1294"/>
      <c r="AD7" s="1294"/>
      <c r="AE7" s="1294"/>
      <c r="AF7" s="1294"/>
      <c r="AG7" s="1294"/>
      <c r="AH7" s="1294"/>
      <c r="AI7" s="1294"/>
      <c r="AJ7" s="1294"/>
      <c r="AK7" s="1294"/>
      <c r="AL7" s="1294"/>
      <c r="AM7" s="1294"/>
      <c r="AN7" s="1294"/>
      <c r="AO7" s="1294"/>
      <c r="AP7" s="1294"/>
      <c r="AQ7" s="1294"/>
      <c r="AR7" s="1294"/>
      <c r="AS7" s="1294"/>
      <c r="AT7" s="1294"/>
      <c r="AU7" s="1294"/>
      <c r="AV7" s="1294"/>
      <c r="AW7" s="1294"/>
      <c r="AX7" s="1294"/>
      <c r="AY7" s="1294"/>
      <c r="AZ7" s="1294"/>
      <c r="BA7" s="1294"/>
      <c r="BB7" s="1294"/>
      <c r="BC7" s="1294"/>
      <c r="BD7" s="1294"/>
      <c r="BE7" s="1294"/>
      <c r="BF7" s="1294"/>
      <c r="BG7" s="1294"/>
      <c r="BH7" s="1294"/>
      <c r="BI7" s="1294"/>
      <c r="BJ7" s="1294"/>
      <c r="BK7" s="1294"/>
      <c r="BL7" s="1294"/>
      <c r="BM7" s="1294"/>
      <c r="BN7" s="1294"/>
      <c r="BO7" s="1294"/>
      <c r="BP7" s="1294"/>
      <c r="BQ7" s="1294"/>
      <c r="BR7" s="1294"/>
      <c r="BS7" s="1294"/>
      <c r="BT7" s="1294"/>
      <c r="BU7" s="1294"/>
      <c r="BV7" s="1294"/>
      <c r="BW7" s="1294"/>
      <c r="BX7" s="1294"/>
      <c r="BY7" s="1294"/>
      <c r="BZ7" s="1294"/>
      <c r="CA7" s="1294"/>
      <c r="CB7" s="1294"/>
      <c r="CC7" s="1294"/>
      <c r="CD7" s="1294"/>
      <c r="CE7" s="1294"/>
      <c r="CF7" s="1294"/>
      <c r="CG7" s="1294"/>
      <c r="CH7" s="1294"/>
      <c r="CI7" s="1294"/>
      <c r="CJ7" s="1294"/>
      <c r="CK7" s="1294"/>
      <c r="CL7" s="1294"/>
      <c r="CM7" s="1294"/>
      <c r="CN7" s="1294"/>
      <c r="CO7" s="1294"/>
      <c r="CP7" s="1294"/>
      <c r="CQ7" s="1294"/>
      <c r="CR7" s="1294"/>
      <c r="CS7" s="1294"/>
      <c r="CT7" s="1294"/>
      <c r="CU7" s="1294"/>
      <c r="CV7" s="1294"/>
      <c r="CW7" s="1294"/>
      <c r="CX7" s="1294"/>
      <c r="CY7" s="1294"/>
      <c r="CZ7" s="1294"/>
      <c r="DA7" s="1294"/>
      <c r="DB7" s="1294"/>
      <c r="DC7" s="1294"/>
      <c r="DD7" s="1294"/>
      <c r="DE7" s="1294"/>
      <c r="DF7" s="1294"/>
      <c r="DG7" s="1294"/>
      <c r="DH7" s="1294"/>
      <c r="DI7" s="1294"/>
      <c r="DJ7" s="1294"/>
      <c r="DK7" s="1294"/>
      <c r="DL7" s="1294"/>
      <c r="DM7" s="1294"/>
      <c r="DN7" s="1294"/>
      <c r="DO7" s="1294"/>
      <c r="DP7" s="1294"/>
      <c r="DQ7" s="1294"/>
      <c r="DR7" s="1294"/>
      <c r="DS7" s="1294"/>
      <c r="DT7" s="1294"/>
      <c r="DU7" s="1294"/>
      <c r="DV7" s="1294"/>
      <c r="DW7" s="1294"/>
      <c r="DX7" s="1294"/>
      <c r="DY7" s="1294"/>
      <c r="DZ7" s="1294"/>
      <c r="EA7" s="1294"/>
      <c r="EB7" s="1294"/>
      <c r="EC7" s="1294"/>
      <c r="ED7" s="1294"/>
      <c r="EE7" s="1294"/>
      <c r="EF7" s="1294"/>
      <c r="EG7" s="1294"/>
      <c r="EH7" s="1294"/>
      <c r="EI7" s="1294"/>
      <c r="EJ7" s="1294"/>
      <c r="EK7" s="1294"/>
      <c r="EL7" s="1294"/>
      <c r="EM7" s="1294"/>
      <c r="EN7" s="1294"/>
      <c r="EO7" s="1294"/>
      <c r="EP7" s="1294"/>
      <c r="EQ7" s="1294"/>
      <c r="ER7" s="1294"/>
      <c r="ES7" s="1294"/>
      <c r="ET7" s="1294"/>
      <c r="EU7" s="1294"/>
      <c r="EV7" s="1294"/>
      <c r="EW7" s="1294"/>
      <c r="EX7" s="1294"/>
      <c r="EY7" s="1294"/>
      <c r="EZ7" s="1294"/>
      <c r="FA7" s="1294"/>
      <c r="FB7" s="1294"/>
      <c r="FC7" s="1294"/>
      <c r="FD7" s="1294"/>
      <c r="FE7" s="1294"/>
      <c r="FF7" s="1294"/>
      <c r="FG7" s="1294"/>
      <c r="FH7" s="1294"/>
      <c r="FI7" s="1294"/>
      <c r="FJ7" s="1294"/>
      <c r="FK7" s="1294"/>
      <c r="FL7" s="1294"/>
      <c r="FM7" s="1294"/>
      <c r="FN7" s="1294"/>
      <c r="FO7" s="1294"/>
      <c r="FP7" s="1294"/>
      <c r="FQ7" s="1294"/>
      <c r="FR7" s="1294"/>
      <c r="FS7" s="1294"/>
      <c r="FT7" s="1294"/>
      <c r="FU7" s="1294"/>
      <c r="FV7" s="1294"/>
      <c r="FW7" s="1294"/>
    </row>
    <row s="20087" customFormat="1" customHeight="1" ht="11.25" hidden="1">
      <c r="B8" s="1295"/>
      <c r="F8" s="1418"/>
      <c r="G8" s="1124"/>
      <c r="H8" s="721"/>
      <c r="I8" s="721"/>
      <c r="J8" s="721"/>
      <c r="K8" s="721"/>
      <c r="L8" s="721"/>
      <c r="M8" s="1418"/>
      <c r="N8" s="1418"/>
      <c r="O8" s="2704" t="s">
        <v>989</v>
      </c>
      <c r="P8" s="2705"/>
      <c r="Q8" s="2705"/>
      <c r="R8" s="2705"/>
      <c r="S8" s="2705"/>
      <c r="T8" s="2705"/>
      <c r="U8" s="2705"/>
      <c r="V8" s="2705"/>
      <c r="W8" s="2705"/>
      <c r="X8" s="2705"/>
      <c r="Y8" s="2705"/>
      <c r="Z8" s="2705"/>
      <c r="AA8" s="2705"/>
      <c r="AB8" s="2705"/>
      <c r="AC8" s="2705"/>
      <c r="AD8" s="2705"/>
      <c r="AE8" s="2705"/>
      <c r="AF8" s="2705"/>
      <c r="AG8" s="2705"/>
      <c r="AH8" s="2705"/>
      <c r="AI8" s="2705"/>
      <c r="AJ8" s="2705"/>
      <c r="AK8" s="2705"/>
      <c r="AL8" s="2705"/>
      <c r="AM8" s="2705"/>
      <c r="AN8" s="2705"/>
      <c r="AO8" s="2705"/>
      <c r="AP8" s="2705"/>
      <c r="AQ8" s="2705"/>
      <c r="AR8" s="2705"/>
      <c r="AS8" s="2705"/>
      <c r="AT8" s="2705"/>
      <c r="AU8" s="2705"/>
      <c r="AV8" s="2705"/>
      <c r="AW8" s="2705"/>
      <c r="AX8" s="2705"/>
      <c r="AY8" s="2705"/>
      <c r="AZ8" s="2705"/>
      <c r="BA8" s="2705"/>
      <c r="BB8" s="2705"/>
      <c r="BC8" s="2705"/>
      <c r="BD8" s="2705"/>
      <c r="BE8" s="2705"/>
      <c r="BF8" s="2705"/>
      <c r="BG8" s="2705"/>
      <c r="BH8" s="2705"/>
      <c r="BI8" s="2705"/>
      <c r="BJ8" s="2705"/>
      <c r="BK8" s="2705"/>
      <c r="BL8" s="2705"/>
      <c r="BM8" s="2705"/>
      <c r="BN8" s="2705"/>
      <c r="BO8" s="2705"/>
      <c r="BP8" s="2705"/>
      <c r="BQ8" s="2705"/>
      <c r="BR8" s="2705"/>
      <c r="BS8" s="2706"/>
      <c r="BT8" s="2707"/>
      <c r="BU8" s="2708"/>
      <c r="BV8" s="2708"/>
      <c r="BW8" s="2708"/>
      <c r="BX8" s="2708"/>
      <c r="BY8" s="2708"/>
      <c r="BZ8" s="2708"/>
      <c r="CA8" s="2708"/>
      <c r="CB8" s="2708"/>
      <c r="CC8" s="2708"/>
      <c r="CD8" s="2708"/>
      <c r="CE8" s="2708"/>
      <c r="CF8" s="2708"/>
      <c r="CG8" s="2708"/>
      <c r="CH8" s="2708"/>
      <c r="CI8" s="2708"/>
      <c r="CJ8" s="2708"/>
      <c r="CK8" s="2708"/>
      <c r="CL8" s="2708"/>
      <c r="CM8" s="2708"/>
      <c r="CN8" s="2708"/>
      <c r="CO8" s="2708"/>
      <c r="CP8" s="2708"/>
      <c r="CQ8" s="2708"/>
      <c r="CR8" s="2708"/>
      <c r="CS8" s="2708"/>
      <c r="CT8" s="2708"/>
      <c r="CU8" s="2708"/>
      <c r="CV8" s="2708"/>
      <c r="CW8" s="2708"/>
      <c r="CX8" s="2709"/>
      <c r="CY8" s="2710"/>
      <c r="CZ8" s="2711"/>
      <c r="DA8" s="2711"/>
      <c r="DB8" s="2711"/>
      <c r="DC8" s="2711"/>
      <c r="DD8" s="2711"/>
      <c r="DE8" s="2711"/>
      <c r="DF8" s="2711"/>
      <c r="DG8" s="2711"/>
      <c r="DH8" s="2711"/>
      <c r="DI8" s="2711"/>
      <c r="DJ8" s="2711"/>
      <c r="DK8" s="2711"/>
      <c r="DL8" s="2711"/>
      <c r="DM8" s="2711"/>
      <c r="DN8" s="2711"/>
      <c r="DO8" s="2711"/>
      <c r="DP8" s="2711"/>
      <c r="DQ8" s="2711"/>
      <c r="DR8" s="2711"/>
      <c r="DS8" s="2711"/>
      <c r="DT8" s="2711"/>
      <c r="DU8" s="2711"/>
      <c r="DV8" s="2711"/>
      <c r="DW8" s="2711"/>
      <c r="DX8" s="2712"/>
      <c r="DY8" s="2698" t="s">
        <v>990</v>
      </c>
      <c r="DZ8" s="2699"/>
      <c r="EA8" s="2699"/>
      <c r="EB8" s="2699"/>
      <c r="EC8" s="2699"/>
      <c r="ED8" s="2699"/>
      <c r="EE8" s="2699"/>
      <c r="EF8" s="2699"/>
      <c r="EG8" s="2699"/>
      <c r="EH8" s="2699"/>
      <c r="EI8" s="2699"/>
      <c r="EJ8" s="2699"/>
      <c r="EK8" s="2699"/>
      <c r="EL8" s="2699"/>
      <c r="EM8" s="2699"/>
      <c r="EN8" s="2699"/>
      <c r="EO8" s="2699"/>
      <c r="EP8" s="2699"/>
      <c r="EQ8" s="2699"/>
      <c r="ER8" s="2699"/>
      <c r="ES8" s="2699"/>
      <c r="ET8" s="2699"/>
      <c r="EU8" s="2699"/>
      <c r="EV8" s="2699"/>
      <c r="EW8" s="2699"/>
      <c r="EX8" s="2699"/>
      <c r="EY8" s="2699"/>
      <c r="EZ8" s="2699"/>
      <c r="FA8" s="2699"/>
      <c r="FB8" s="2699"/>
      <c r="FC8" s="2699"/>
      <c r="FD8" s="2699"/>
      <c r="FE8" s="2699"/>
      <c r="FF8" s="2699"/>
      <c r="FG8" s="2699"/>
      <c r="FH8" s="2699"/>
      <c r="FI8" s="2699"/>
      <c r="FJ8" s="2699"/>
      <c r="FK8" s="2699"/>
      <c r="FL8" s="2699"/>
      <c r="FM8" s="2699"/>
      <c r="FN8" s="2699"/>
      <c r="FO8" s="2699"/>
      <c r="FP8" s="2699"/>
      <c r="FQ8" s="2699"/>
      <c r="FR8" s="2699"/>
      <c r="FS8" s="2699"/>
      <c r="FT8" s="2699"/>
      <c r="FU8" s="2699"/>
      <c r="FV8" s="2699"/>
      <c r="FW8" s="2700"/>
      <c r="FX8" s="1418"/>
    </row>
    <row s="20087" customFormat="1" customHeight="1" ht="11.25" hidden="1">
      <c r="B9" s="1295"/>
      <c r="F9" s="1418"/>
      <c r="G9" s="1124"/>
      <c r="H9" s="721"/>
      <c r="I9" s="721"/>
      <c r="J9" s="721"/>
      <c r="K9" s="721"/>
      <c r="L9" s="721"/>
      <c r="M9" s="1418"/>
      <c r="N9" s="1418"/>
      <c r="O9" s="1418"/>
      <c r="P9" s="1418"/>
      <c r="Q9" s="1418"/>
      <c r="R9" s="1418"/>
      <c r="S9" s="1418"/>
      <c r="T9" s="1418"/>
      <c r="U9" s="1418"/>
      <c r="V9" s="1418"/>
      <c r="W9" s="1418"/>
      <c r="X9" s="1418"/>
      <c r="Y9" s="1418"/>
      <c r="Z9" s="1418"/>
      <c r="AA9" s="1418"/>
      <c r="AB9" s="1418"/>
      <c r="AC9" s="1418"/>
      <c r="AD9" s="1418"/>
      <c r="AE9" s="1418"/>
      <c r="AF9" s="1418"/>
      <c r="AG9" s="1418"/>
      <c r="AH9" s="1418"/>
      <c r="AI9" s="1418"/>
      <c r="AJ9" s="1418"/>
      <c r="AK9" s="1418"/>
      <c r="AL9" s="1418"/>
      <c r="AM9" s="1418"/>
      <c r="AN9" s="1418"/>
      <c r="AO9" s="1418"/>
      <c r="AP9" s="1418"/>
      <c r="AQ9" s="1418"/>
      <c r="AR9" s="1418"/>
      <c r="AS9" s="1418"/>
      <c r="AT9" s="1418"/>
      <c r="AU9" s="1418"/>
      <c r="AV9" s="1418"/>
      <c r="AW9" s="1418"/>
      <c r="AX9" s="1418"/>
      <c r="AY9" s="1418"/>
      <c r="AZ9" s="1418"/>
      <c r="BA9" s="1418"/>
      <c r="BB9" s="1418"/>
      <c r="BC9" s="1418"/>
      <c r="BD9" s="1418"/>
      <c r="BE9" s="1418"/>
      <c r="BF9" s="1418"/>
      <c r="BG9" s="1418"/>
      <c r="BH9" s="1418"/>
      <c r="BI9" s="1418"/>
      <c r="BJ9" s="1418"/>
      <c r="BK9" s="1418"/>
      <c r="BL9" s="1418"/>
      <c r="BM9" s="1418"/>
      <c r="BN9" s="1418"/>
      <c r="BO9" s="1418"/>
      <c r="BP9" s="1418"/>
      <c r="BQ9" s="1418"/>
      <c r="BR9" s="1418"/>
      <c r="BS9" s="1418"/>
      <c r="BT9" s="1418"/>
      <c r="BU9" s="1418"/>
      <c r="BV9" s="1418"/>
      <c r="BW9" s="1418"/>
      <c r="BX9" s="1418"/>
      <c r="BY9" s="1418"/>
      <c r="BZ9" s="1418"/>
      <c r="CA9" s="1418"/>
      <c r="CB9" s="1418"/>
      <c r="CC9" s="1418"/>
      <c r="CD9" s="1418"/>
      <c r="CE9" s="1418"/>
      <c r="CF9" s="1418"/>
      <c r="CG9" s="1418"/>
      <c r="CH9" s="1418"/>
      <c r="CI9" s="1418"/>
      <c r="CJ9" s="1418"/>
      <c r="CK9" s="1418"/>
      <c r="CL9" s="1418"/>
      <c r="CM9" s="1418"/>
      <c r="CN9" s="1418"/>
      <c r="CO9" s="1418"/>
      <c r="CP9" s="1418"/>
      <c r="CQ9" s="1418"/>
      <c r="CR9" s="1418"/>
      <c r="CS9" s="1418"/>
      <c r="CT9" s="1418"/>
      <c r="CU9" s="1418"/>
      <c r="CV9" s="1418"/>
      <c r="CW9" s="1418"/>
      <c r="CX9" s="1418"/>
      <c r="CY9" s="1418"/>
      <c r="CZ9" s="1418"/>
      <c r="DA9" s="1418"/>
      <c r="DB9" s="1418"/>
      <c r="DC9" s="1418"/>
      <c r="DD9" s="1418"/>
      <c r="DE9" s="1418"/>
      <c r="DF9" s="1418"/>
      <c r="DG9" s="1418"/>
      <c r="DH9" s="1418"/>
      <c r="DI9" s="1418"/>
      <c r="DJ9" s="1418"/>
      <c r="DK9" s="1418"/>
      <c r="DL9" s="1418"/>
      <c r="DM9" s="1418"/>
      <c r="DN9" s="1418"/>
      <c r="DO9" s="1418"/>
      <c r="DP9" s="1418"/>
      <c r="DQ9" s="1418"/>
      <c r="DR9" s="1418"/>
      <c r="DS9" s="1418"/>
      <c r="DT9" s="1418"/>
      <c r="DU9" s="1418"/>
      <c r="DV9" s="1418"/>
      <c r="DW9" s="1418"/>
      <c r="DX9" s="1418"/>
      <c r="DY9" s="1418"/>
      <c r="DZ9" s="1418"/>
      <c r="EA9" s="1418"/>
      <c r="EB9" s="1418"/>
      <c r="EC9" s="1418"/>
      <c r="ED9" s="1418"/>
      <c r="EE9" s="1418"/>
      <c r="EF9" s="1418"/>
      <c r="EG9" s="1418"/>
      <c r="EH9" s="1418"/>
      <c r="EI9" s="1418"/>
      <c r="EJ9" s="1418"/>
      <c r="EK9" s="1418"/>
      <c r="EL9" s="1418"/>
      <c r="EM9" s="1418"/>
      <c r="EN9" s="1418"/>
      <c r="EO9" s="1418"/>
      <c r="EP9" s="1418"/>
      <c r="EQ9" s="1418"/>
      <c r="ER9" s="1418"/>
      <c r="ES9" s="1418"/>
      <c r="ET9" s="1418"/>
      <c r="EU9" s="1418"/>
      <c r="EV9" s="1418"/>
      <c r="EW9" s="1418"/>
      <c r="EX9" s="1418"/>
      <c r="EY9" s="1418"/>
      <c r="EZ9" s="1418"/>
      <c r="FA9" s="1418"/>
      <c r="FB9" s="1418"/>
      <c r="FC9" s="1418"/>
      <c r="FD9" s="1418"/>
      <c r="FE9" s="1418"/>
      <c r="FF9" s="1418"/>
      <c r="FG9" s="1418"/>
      <c r="FH9" s="1418"/>
      <c r="FI9" s="1418"/>
      <c r="FJ9" s="1418"/>
      <c r="FK9" s="1418"/>
      <c r="FL9" s="1418"/>
      <c r="FM9" s="1418"/>
      <c r="FN9" s="1418"/>
      <c r="FO9" s="1418"/>
      <c r="FP9" s="1418"/>
      <c r="FQ9" s="1418"/>
      <c r="FR9" s="1418"/>
      <c r="FS9" s="1418"/>
      <c r="FT9" s="1418"/>
      <c r="FU9" s="1418"/>
      <c r="FV9" s="1418"/>
      <c r="FW9" s="2701"/>
      <c r="FX9" s="1418"/>
    </row>
    <row s="20087" customFormat="1" customHeight="1" ht="11.25">
      <c r="B10" s="1295"/>
      <c r="F10" s="2715" t="s">
        <v>300</v>
      </c>
      <c r="G10" s="2716"/>
      <c r="H10" s="2716"/>
      <c r="I10" s="2716"/>
      <c r="J10" s="2716"/>
      <c r="K10" s="2716"/>
      <c r="L10" s="2716"/>
      <c r="M10" s="2716"/>
      <c r="N10" s="2716"/>
      <c r="O10" s="2716"/>
      <c r="P10" s="2716"/>
      <c r="Q10" s="2716"/>
      <c r="R10" s="2716"/>
      <c r="S10" s="2716"/>
      <c r="T10" s="2716"/>
      <c r="U10" s="2716"/>
      <c r="V10" s="2716"/>
      <c r="W10" s="2716"/>
      <c r="X10" s="2716"/>
      <c r="Y10" s="2716"/>
      <c r="Z10" s="2716"/>
      <c r="AA10" s="2716"/>
      <c r="AB10" s="2716"/>
      <c r="AC10" s="2716"/>
      <c r="AD10" s="2716"/>
      <c r="AE10" s="2716"/>
      <c r="AF10" s="2716"/>
      <c r="AG10" s="2716"/>
      <c r="AH10" s="2716"/>
      <c r="AI10" s="2716"/>
      <c r="AJ10" s="2716"/>
      <c r="AK10" s="2716"/>
      <c r="AL10" s="2716"/>
      <c r="AM10" s="2716"/>
      <c r="AN10" s="2716"/>
      <c r="AO10" s="2716"/>
      <c r="AP10" s="2716"/>
      <c r="AQ10" s="2716"/>
      <c r="AR10" s="2716"/>
      <c r="AS10" s="2716"/>
      <c r="AT10" s="2716"/>
      <c r="AU10" s="2716"/>
      <c r="AV10" s="2716"/>
      <c r="AW10" s="2716"/>
      <c r="AX10" s="2716"/>
      <c r="AY10" s="2716"/>
      <c r="AZ10" s="2716"/>
      <c r="BA10" s="2716"/>
      <c r="BB10" s="2716"/>
      <c r="BC10" s="2716"/>
      <c r="BD10" s="2716"/>
      <c r="BE10" s="2716"/>
      <c r="BF10" s="2716"/>
      <c r="BG10" s="2716"/>
      <c r="BH10" s="2716"/>
      <c r="BI10" s="2716"/>
      <c r="BJ10" s="2716"/>
      <c r="BK10" s="2716"/>
      <c r="BL10" s="2716"/>
      <c r="BM10" s="2716"/>
      <c r="BN10" s="2716"/>
      <c r="BO10" s="2716"/>
      <c r="BP10" s="2716"/>
      <c r="BQ10" s="2716"/>
      <c r="BR10" s="2716"/>
      <c r="BS10" s="2716"/>
      <c r="BT10" s="2716"/>
      <c r="BU10" s="2716"/>
      <c r="BV10" s="2716"/>
      <c r="BW10" s="2716"/>
      <c r="BX10" s="2716"/>
      <c r="BY10" s="2716"/>
      <c r="BZ10" s="2716"/>
      <c r="CA10" s="2716"/>
      <c r="CB10" s="2716"/>
      <c r="CC10" s="2716"/>
      <c r="CD10" s="2716"/>
      <c r="CE10" s="2716"/>
      <c r="CF10" s="2716"/>
      <c r="CG10" s="2716"/>
      <c r="CH10" s="2716"/>
      <c r="CI10" s="2716"/>
      <c r="CJ10" s="2716"/>
      <c r="CK10" s="2716"/>
      <c r="CL10" s="2716"/>
      <c r="CM10" s="2716"/>
      <c r="CN10" s="2716"/>
      <c r="CO10" s="2716"/>
      <c r="CP10" s="2716"/>
      <c r="CQ10" s="2716"/>
      <c r="CR10" s="2716"/>
      <c r="CS10" s="2716"/>
      <c r="CT10" s="2716"/>
      <c r="CU10" s="2716"/>
      <c r="CV10" s="2716"/>
      <c r="CW10" s="2716"/>
      <c r="CX10" s="2716"/>
      <c r="CY10" s="2716"/>
      <c r="CZ10" s="2716"/>
      <c r="DA10" s="2716"/>
      <c r="DB10" s="2716"/>
      <c r="DC10" s="2716"/>
      <c r="DD10" s="2716"/>
      <c r="DE10" s="2716"/>
      <c r="DF10" s="2716"/>
      <c r="DG10" s="2716"/>
      <c r="DH10" s="2716"/>
      <c r="DI10" s="2716"/>
      <c r="DJ10" s="2716"/>
      <c r="DK10" s="2716"/>
      <c r="DL10" s="2716"/>
      <c r="DM10" s="2716"/>
      <c r="DN10" s="2716"/>
      <c r="DO10" s="2716"/>
      <c r="DP10" s="2716"/>
      <c r="DQ10" s="2716"/>
      <c r="DR10" s="2716"/>
      <c r="DS10" s="2716"/>
      <c r="DT10" s="2716"/>
      <c r="DU10" s="2716"/>
      <c r="DV10" s="2716"/>
      <c r="DW10" s="2716"/>
      <c r="DX10" s="2716"/>
      <c r="DY10" s="2716"/>
      <c r="DZ10" s="2716"/>
      <c r="EA10" s="2716"/>
      <c r="EB10" s="2716"/>
      <c r="EC10" s="2716"/>
      <c r="ED10" s="2716"/>
      <c r="EE10" s="2716"/>
      <c r="EF10" s="2716"/>
      <c r="EG10" s="2716"/>
      <c r="EH10" s="2716"/>
      <c r="EI10" s="2716"/>
      <c r="EJ10" s="2716"/>
      <c r="EK10" s="2716"/>
      <c r="EL10" s="2716"/>
      <c r="EM10" s="2716"/>
      <c r="EN10" s="2716"/>
      <c r="EO10" s="2716"/>
      <c r="EP10" s="2716"/>
      <c r="EQ10" s="2716"/>
      <c r="ER10" s="2716"/>
      <c r="ES10" s="2716"/>
      <c r="ET10" s="2716"/>
      <c r="EU10" s="2716"/>
      <c r="EV10" s="2716"/>
      <c r="EW10" s="2716"/>
      <c r="EX10" s="2716"/>
      <c r="EY10" s="2716"/>
      <c r="EZ10" s="2716"/>
      <c r="FA10" s="2716"/>
      <c r="FB10" s="2716"/>
      <c r="FC10" s="2716"/>
      <c r="FD10" s="2716"/>
      <c r="FE10" s="2716"/>
      <c r="FF10" s="2716"/>
      <c r="FG10" s="2716"/>
      <c r="FH10" s="2716"/>
      <c r="FI10" s="2716"/>
      <c r="FJ10" s="2716"/>
      <c r="FK10" s="2716"/>
      <c r="FL10" s="2716"/>
      <c r="FM10" s="2716"/>
      <c r="FN10" s="2716"/>
      <c r="FO10" s="2716"/>
      <c r="FP10" s="2716"/>
      <c r="FQ10" s="2716"/>
      <c r="FR10" s="2716"/>
      <c r="FS10" s="2716"/>
      <c r="FT10" s="2716"/>
      <c r="FU10" s="2716"/>
      <c r="FV10" s="2717"/>
      <c r="FW10" s="2701"/>
      <c r="FX10" s="1418"/>
    </row>
    <row customHeight="1" ht="12">
      <c r="E11" s="1298"/>
      <c r="F11" s="2478" t="s">
        <v>85</v>
      </c>
      <c r="G11" s="2478" t="s">
        <v>991</v>
      </c>
      <c r="H11" s="2714" t="s">
        <v>992</v>
      </c>
      <c r="I11" s="2714" t="s">
        <v>993</v>
      </c>
      <c r="J11" s="2713"/>
      <c r="K11" s="2713"/>
      <c r="L11" s="2713"/>
      <c r="M11" s="2713"/>
      <c r="N11" s="2713"/>
      <c r="O11" s="2482" t="s">
        <v>994</v>
      </c>
      <c r="P11" s="2482"/>
      <c r="Q11" s="2482"/>
      <c r="R11" s="2482"/>
      <c r="S11" s="2482"/>
      <c r="T11" s="2482"/>
      <c r="U11" s="2482"/>
      <c r="V11" s="2482"/>
      <c r="W11" s="2482"/>
      <c r="X11" s="2482"/>
      <c r="Y11" s="2482"/>
      <c r="Z11" s="2482"/>
      <c r="AA11" s="2482"/>
      <c r="AB11" s="2482"/>
      <c r="AC11" s="2695"/>
      <c r="AD11" s="2695"/>
      <c r="AE11" s="2695"/>
      <c r="AF11" s="2695"/>
      <c r="AG11" s="2695"/>
      <c r="AH11" s="2695"/>
      <c r="AI11" s="2695"/>
      <c r="AJ11" s="2695"/>
      <c r="AK11" s="2695"/>
      <c r="AL11" s="2695"/>
      <c r="AM11" s="2695"/>
      <c r="AN11" s="2695"/>
      <c r="AO11" s="2695"/>
      <c r="AP11" s="2695"/>
      <c r="AQ11" s="2695"/>
      <c r="AR11" s="2695"/>
      <c r="AS11" s="2695"/>
      <c r="AT11" s="2695"/>
      <c r="AU11" s="2695"/>
      <c r="AV11" s="2695"/>
      <c r="AW11" s="2695"/>
      <c r="AX11" s="2695"/>
      <c r="AY11" s="2695"/>
      <c r="AZ11" s="2695"/>
      <c r="BA11" s="2695"/>
      <c r="BB11" s="2695"/>
      <c r="BC11" s="2695"/>
      <c r="BD11" s="2695"/>
      <c r="BE11" s="2695"/>
      <c r="BF11" s="2695"/>
      <c r="BG11" s="2695"/>
      <c r="BH11" s="2695"/>
      <c r="BI11" s="2695"/>
      <c r="BJ11" s="2695"/>
      <c r="BK11" s="2695"/>
      <c r="BL11" s="2695"/>
      <c r="BM11" s="2695"/>
      <c r="BN11" s="2695"/>
      <c r="BO11" s="2695"/>
      <c r="BP11" s="2695"/>
      <c r="BQ11" s="2695"/>
      <c r="BR11" s="2695"/>
      <c r="BS11" s="2696"/>
      <c r="BT11" s="2693" t="s">
        <v>994</v>
      </c>
      <c r="BU11" s="2697"/>
      <c r="BV11" s="2697"/>
      <c r="BW11" s="2697"/>
      <c r="BX11" s="2697"/>
      <c r="BY11" s="2697"/>
      <c r="BZ11" s="2697"/>
      <c r="CA11" s="2697"/>
      <c r="CB11" s="2697"/>
      <c r="CC11" s="2697"/>
      <c r="CD11" s="2697"/>
      <c r="CE11" s="2697"/>
      <c r="CF11" s="2697"/>
      <c r="CG11" s="2697"/>
      <c r="CH11" s="2697"/>
      <c r="CI11" s="2697"/>
      <c r="CJ11" s="2697"/>
      <c r="CK11" s="2694"/>
      <c r="CL11" s="2703"/>
      <c r="CM11" s="2695"/>
      <c r="CN11" s="2695"/>
      <c r="CO11" s="2695"/>
      <c r="CP11" s="2695"/>
      <c r="CQ11" s="2695"/>
      <c r="CR11" s="2695"/>
      <c r="CS11" s="2695"/>
      <c r="CT11" s="2695"/>
      <c r="CU11" s="2695"/>
      <c r="CV11" s="2695"/>
      <c r="CW11" s="2695"/>
      <c r="CX11" s="2696"/>
      <c r="CY11" s="2693" t="s">
        <v>994</v>
      </c>
      <c r="CZ11" s="2697"/>
      <c r="DA11" s="2697"/>
      <c r="DB11" s="2697"/>
      <c r="DC11" s="2697"/>
      <c r="DD11" s="2697"/>
      <c r="DE11" s="2697"/>
      <c r="DF11" s="2697"/>
      <c r="DG11" s="2697"/>
      <c r="DH11" s="2697"/>
      <c r="DI11" s="2697"/>
      <c r="DJ11" s="2694"/>
      <c r="DK11" s="2703"/>
      <c r="DL11" s="2695"/>
      <c r="DM11" s="2695"/>
      <c r="DN11" s="2695"/>
      <c r="DO11" s="2695"/>
      <c r="DP11" s="2695"/>
      <c r="DQ11" s="2695"/>
      <c r="DR11" s="2695"/>
      <c r="DS11" s="2695"/>
      <c r="DT11" s="2695"/>
      <c r="DU11" s="2695"/>
      <c r="DV11" s="2695"/>
      <c r="DW11" s="2695"/>
      <c r="DX11" s="2695"/>
      <c r="DY11" s="2695"/>
      <c r="DZ11" s="2695"/>
      <c r="EA11" s="2695"/>
      <c r="EB11" s="2695"/>
      <c r="EC11" s="2695"/>
      <c r="ED11" s="2695"/>
      <c r="EE11" s="2695"/>
      <c r="EF11" s="2695"/>
      <c r="EG11" s="2695"/>
      <c r="EH11" s="2695"/>
      <c r="EI11" s="2695"/>
      <c r="EJ11" s="2695"/>
      <c r="EK11" s="2695"/>
      <c r="EL11" s="2695"/>
      <c r="EM11" s="2695"/>
      <c r="EN11" s="2695"/>
      <c r="EO11" s="2695"/>
      <c r="EP11" s="2695"/>
      <c r="EQ11" s="2695"/>
      <c r="ER11" s="2695"/>
      <c r="ES11" s="2695"/>
      <c r="ET11" s="2695"/>
      <c r="EU11" s="2695"/>
      <c r="EV11" s="2695"/>
      <c r="EW11" s="2695"/>
      <c r="EX11" s="2695"/>
      <c r="EY11" s="2695"/>
      <c r="EZ11" s="2695"/>
      <c r="FA11" s="2695"/>
      <c r="FB11" s="2695"/>
      <c r="FC11" s="2695"/>
      <c r="FD11" s="2695"/>
      <c r="FE11" s="2695"/>
      <c r="FF11" s="2695"/>
      <c r="FG11" s="2695"/>
      <c r="FH11" s="2695"/>
      <c r="FI11" s="2695"/>
      <c r="FJ11" s="2695"/>
      <c r="FK11" s="2695"/>
      <c r="FL11" s="2695"/>
      <c r="FM11" s="2695"/>
      <c r="FN11" s="2695"/>
      <c r="FO11" s="2695"/>
      <c r="FP11" s="2695"/>
      <c r="FQ11" s="2695"/>
      <c r="FR11" s="2695"/>
      <c r="FS11" s="2695"/>
      <c r="FT11" s="2695"/>
      <c r="FU11" s="2695"/>
      <c r="FV11" s="2695"/>
      <c r="FW11" s="2701"/>
      <c r="FX11" s="1123"/>
    </row>
    <row customHeight="1" ht="12">
      <c r="D12" s="1299"/>
      <c r="E12" s="1298"/>
      <c r="F12" s="2478"/>
      <c r="G12" s="2478"/>
      <c r="H12" s="2714"/>
      <c r="I12" s="2714"/>
      <c r="J12" s="2713"/>
      <c r="K12" s="2713"/>
      <c r="L12" s="2713"/>
      <c r="M12" s="2713"/>
      <c r="N12" s="2713"/>
      <c r="O12" s="2482" t="s">
        <v>995</v>
      </c>
      <c r="P12" s="2482"/>
      <c r="Q12" s="2482"/>
      <c r="R12" s="2482"/>
      <c r="S12" s="2482" t="s">
        <v>996</v>
      </c>
      <c r="T12" s="2482"/>
      <c r="U12" s="2482"/>
      <c r="V12" s="2482"/>
      <c r="W12" s="2482"/>
      <c r="X12" s="2482"/>
      <c r="Y12" s="2482"/>
      <c r="Z12" s="2482"/>
      <c r="AA12" s="2482"/>
      <c r="AB12" s="2482"/>
      <c r="AC12" s="2695"/>
      <c r="AD12" s="2695"/>
      <c r="AE12" s="2695"/>
      <c r="AF12" s="2695"/>
      <c r="AG12" s="2695"/>
      <c r="AH12" s="2695"/>
      <c r="AI12" s="2695"/>
      <c r="AJ12" s="2695"/>
      <c r="AK12" s="2695"/>
      <c r="AL12" s="2695"/>
      <c r="AM12" s="2695"/>
      <c r="AN12" s="2695"/>
      <c r="AO12" s="2695"/>
      <c r="AP12" s="2695"/>
      <c r="AQ12" s="2695"/>
      <c r="AR12" s="2695"/>
      <c r="AS12" s="2695"/>
      <c r="AT12" s="2695"/>
      <c r="AU12" s="2695"/>
      <c r="AV12" s="2695"/>
      <c r="AW12" s="2695"/>
      <c r="AX12" s="2695"/>
      <c r="AY12" s="2695"/>
      <c r="AZ12" s="2695"/>
      <c r="BA12" s="2695"/>
      <c r="BB12" s="2695"/>
      <c r="BC12" s="2695"/>
      <c r="BD12" s="2695"/>
      <c r="BE12" s="2695"/>
      <c r="BF12" s="2695"/>
      <c r="BG12" s="2695"/>
      <c r="BH12" s="2695"/>
      <c r="BI12" s="2695"/>
      <c r="BJ12" s="2695"/>
      <c r="BK12" s="2695"/>
      <c r="BL12" s="2695"/>
      <c r="BM12" s="2695"/>
      <c r="BN12" s="2695"/>
      <c r="BO12" s="2695"/>
      <c r="BP12" s="2695"/>
      <c r="BQ12" s="2695"/>
      <c r="BR12" s="2695"/>
      <c r="BS12" s="2696"/>
      <c r="BT12" s="2693" t="s">
        <v>997</v>
      </c>
      <c r="BU12" s="2697"/>
      <c r="BV12" s="2697"/>
      <c r="BW12" s="2694"/>
      <c r="BX12" s="2693" t="s">
        <v>998</v>
      </c>
      <c r="BY12" s="2697"/>
      <c r="BZ12" s="2697"/>
      <c r="CA12" s="2694"/>
      <c r="CB12" s="2693" t="s">
        <v>999</v>
      </c>
      <c r="CC12" s="2694"/>
      <c r="CD12" s="2693" t="s">
        <v>1000</v>
      </c>
      <c r="CE12" s="2697"/>
      <c r="CF12" s="2697"/>
      <c r="CG12" s="2697"/>
      <c r="CH12" s="2697"/>
      <c r="CI12" s="2697"/>
      <c r="CJ12" s="2697"/>
      <c r="CK12" s="2694"/>
      <c r="CL12" s="2703"/>
      <c r="CM12" s="2695"/>
      <c r="CN12" s="2695"/>
      <c r="CO12" s="2695"/>
      <c r="CP12" s="2695"/>
      <c r="CQ12" s="2695"/>
      <c r="CR12" s="2695"/>
      <c r="CS12" s="2695"/>
      <c r="CT12" s="2695"/>
      <c r="CU12" s="2695"/>
      <c r="CV12" s="2695"/>
      <c r="CW12" s="2695"/>
      <c r="CX12" s="2696"/>
      <c r="CY12" s="2693" t="s">
        <v>1001</v>
      </c>
      <c r="CZ12" s="2697"/>
      <c r="DA12" s="2697"/>
      <c r="DB12" s="2697"/>
      <c r="DC12" s="2697"/>
      <c r="DD12" s="2694"/>
      <c r="DE12" s="2693" t="s">
        <v>1002</v>
      </c>
      <c r="DF12" s="2694"/>
      <c r="DG12" s="2693" t="s">
        <v>1000</v>
      </c>
      <c r="DH12" s="2697"/>
      <c r="DI12" s="2697"/>
      <c r="DJ12" s="2694"/>
      <c r="DK12" s="2703"/>
      <c r="DL12" s="2695"/>
      <c r="DM12" s="2695"/>
      <c r="DN12" s="2695"/>
      <c r="DO12" s="2695"/>
      <c r="DP12" s="2695"/>
      <c r="DQ12" s="2695"/>
      <c r="DR12" s="2695"/>
      <c r="DS12" s="2695"/>
      <c r="DT12" s="2695"/>
      <c r="DU12" s="2695"/>
      <c r="DV12" s="2695"/>
      <c r="DW12" s="2695"/>
      <c r="DX12" s="2695"/>
      <c r="DY12" s="2695"/>
      <c r="DZ12" s="2695"/>
      <c r="EA12" s="2695"/>
      <c r="EB12" s="2695"/>
      <c r="EC12" s="2695"/>
      <c r="ED12" s="2695"/>
      <c r="EE12" s="2695"/>
      <c r="EF12" s="2695"/>
      <c r="EG12" s="2695"/>
      <c r="EH12" s="2695"/>
      <c r="EI12" s="2695"/>
      <c r="EJ12" s="2695"/>
      <c r="EK12" s="2695"/>
      <c r="EL12" s="2695"/>
      <c r="EM12" s="2695"/>
      <c r="EN12" s="2695"/>
      <c r="EO12" s="2695"/>
      <c r="EP12" s="2695"/>
      <c r="EQ12" s="2695"/>
      <c r="ER12" s="2695"/>
      <c r="ES12" s="2695"/>
      <c r="ET12" s="2695"/>
      <c r="EU12" s="2695"/>
      <c r="EV12" s="2695"/>
      <c r="EW12" s="2695"/>
      <c r="EX12" s="2695"/>
      <c r="EY12" s="2695"/>
      <c r="EZ12" s="2695"/>
      <c r="FA12" s="2695"/>
      <c r="FB12" s="2695"/>
      <c r="FC12" s="2695"/>
      <c r="FD12" s="2695"/>
      <c r="FE12" s="2695"/>
      <c r="FF12" s="2695"/>
      <c r="FG12" s="2695"/>
      <c r="FH12" s="2695"/>
      <c r="FI12" s="2695"/>
      <c r="FJ12" s="2695"/>
      <c r="FK12" s="2695"/>
      <c r="FL12" s="2695"/>
      <c r="FM12" s="2695"/>
      <c r="FN12" s="2695"/>
      <c r="FO12" s="2695"/>
      <c r="FP12" s="2695"/>
      <c r="FQ12" s="2695"/>
      <c r="FR12" s="2695"/>
      <c r="FS12" s="2695"/>
      <c r="FT12" s="2695"/>
      <c r="FU12" s="2695"/>
      <c r="FV12" s="2695"/>
      <c r="FW12" s="2701"/>
      <c r="FX12" s="1123"/>
    </row>
    <row customHeight="1" ht="36">
      <c r="D13" s="1299"/>
      <c r="E13" s="1298"/>
      <c r="F13" s="2478"/>
      <c r="G13" s="2478"/>
      <c r="H13" s="2714"/>
      <c r="I13" s="2714"/>
      <c r="J13" s="2713"/>
      <c r="K13" s="2713"/>
      <c r="L13" s="2713"/>
      <c r="M13" s="2713"/>
      <c r="N13" s="2713"/>
      <c r="O13" s="2482" t="s">
        <v>1003</v>
      </c>
      <c r="P13" s="2482"/>
      <c r="Q13" s="2482"/>
      <c r="R13" s="2482"/>
      <c r="S13" s="2609" t="s">
        <v>1004</v>
      </c>
      <c r="T13" s="2691"/>
      <c r="U13" s="2392" t="s">
        <v>1005</v>
      </c>
      <c r="V13" s="2392"/>
      <c r="W13" s="2392"/>
      <c r="X13" s="2392"/>
      <c r="Y13" s="2392" t="s">
        <v>1006</v>
      </c>
      <c r="Z13" s="2392"/>
      <c r="AA13" s="2392"/>
      <c r="AB13" s="2392"/>
      <c r="AC13" s="2695"/>
      <c r="AD13" s="2695"/>
      <c r="AE13" s="2695"/>
      <c r="AF13" s="2695"/>
      <c r="AG13" s="2695"/>
      <c r="AH13" s="2695"/>
      <c r="AI13" s="2695"/>
      <c r="AJ13" s="2695"/>
      <c r="AK13" s="2695"/>
      <c r="AL13" s="2695"/>
      <c r="AM13" s="2695"/>
      <c r="AN13" s="2695"/>
      <c r="AO13" s="2695"/>
      <c r="AP13" s="2695"/>
      <c r="AQ13" s="2695"/>
      <c r="AR13" s="2695"/>
      <c r="AS13" s="2695"/>
      <c r="AT13" s="2695"/>
      <c r="AU13" s="2695"/>
      <c r="AV13" s="2695"/>
      <c r="AW13" s="2695"/>
      <c r="AX13" s="2695"/>
      <c r="AY13" s="2695"/>
      <c r="AZ13" s="2695"/>
      <c r="BA13" s="2695"/>
      <c r="BB13" s="2695"/>
      <c r="BC13" s="2695"/>
      <c r="BD13" s="2695"/>
      <c r="BE13" s="2695"/>
      <c r="BF13" s="2695"/>
      <c r="BG13" s="2695"/>
      <c r="BH13" s="2695"/>
      <c r="BI13" s="2695"/>
      <c r="BJ13" s="2695"/>
      <c r="BK13" s="2695"/>
      <c r="BL13" s="2695"/>
      <c r="BM13" s="2695"/>
      <c r="BN13" s="2695"/>
      <c r="BO13" s="2695"/>
      <c r="BP13" s="2695"/>
      <c r="BQ13" s="2695"/>
      <c r="BR13" s="2695"/>
      <c r="BS13" s="2696"/>
      <c r="BT13" s="2609" t="s">
        <v>1007</v>
      </c>
      <c r="BU13" s="2691"/>
      <c r="BV13" s="2609" t="s">
        <v>1008</v>
      </c>
      <c r="BW13" s="2691"/>
      <c r="BX13" s="2609" t="s">
        <v>1009</v>
      </c>
      <c r="BY13" s="2691"/>
      <c r="BZ13" s="2609" t="s">
        <v>1010</v>
      </c>
      <c r="CA13" s="2691"/>
      <c r="CB13" s="2609" t="s">
        <v>1011</v>
      </c>
      <c r="CC13" s="2691"/>
      <c r="CD13" s="2609" t="s">
        <v>1012</v>
      </c>
      <c r="CE13" s="2691"/>
      <c r="CF13" s="2609" t="s">
        <v>1013</v>
      </c>
      <c r="CG13" s="2691"/>
      <c r="CH13" s="2693" t="s">
        <v>1014</v>
      </c>
      <c r="CI13" s="2697"/>
      <c r="CJ13" s="2697"/>
      <c r="CK13" s="2694"/>
      <c r="CL13" s="2703"/>
      <c r="CM13" s="2695"/>
      <c r="CN13" s="2695"/>
      <c r="CO13" s="2695"/>
      <c r="CP13" s="2695"/>
      <c r="CQ13" s="2695"/>
      <c r="CR13" s="2695"/>
      <c r="CS13" s="2695"/>
      <c r="CT13" s="2695"/>
      <c r="CU13" s="2695"/>
      <c r="CV13" s="2695"/>
      <c r="CW13" s="2695"/>
      <c r="CX13" s="2696"/>
      <c r="CY13" s="2609" t="s">
        <v>1015</v>
      </c>
      <c r="CZ13" s="2691"/>
      <c r="DA13" s="2609" t="s">
        <v>1016</v>
      </c>
      <c r="DB13" s="2691"/>
      <c r="DC13" s="2609" t="s">
        <v>1017</v>
      </c>
      <c r="DD13" s="2691"/>
      <c r="DE13" s="2609" t="s">
        <v>1018</v>
      </c>
      <c r="DF13" s="2691"/>
      <c r="DG13" s="2693" t="s">
        <v>1019</v>
      </c>
      <c r="DH13" s="2697"/>
      <c r="DI13" s="2697"/>
      <c r="DJ13" s="2694"/>
      <c r="DK13" s="2703"/>
      <c r="DL13" s="2695"/>
      <c r="DM13" s="2695"/>
      <c r="DN13" s="2695"/>
      <c r="DO13" s="2695"/>
      <c r="DP13" s="2695"/>
      <c r="DQ13" s="2695"/>
      <c r="DR13" s="2695"/>
      <c r="DS13" s="2695"/>
      <c r="DT13" s="2695"/>
      <c r="DU13" s="2695"/>
      <c r="DV13" s="2695"/>
      <c r="DW13" s="2695"/>
      <c r="DX13" s="2695"/>
      <c r="DY13" s="2695"/>
      <c r="DZ13" s="2695"/>
      <c r="EA13" s="2695"/>
      <c r="EB13" s="2695"/>
      <c r="EC13" s="2695"/>
      <c r="ED13" s="2695"/>
      <c r="EE13" s="2695"/>
      <c r="EF13" s="2695"/>
      <c r="EG13" s="2695"/>
      <c r="EH13" s="2695"/>
      <c r="EI13" s="2695"/>
      <c r="EJ13" s="2695"/>
      <c r="EK13" s="2695"/>
      <c r="EL13" s="2695"/>
      <c r="EM13" s="2695"/>
      <c r="EN13" s="2695"/>
      <c r="EO13" s="2695"/>
      <c r="EP13" s="2695"/>
      <c r="EQ13" s="2695"/>
      <c r="ER13" s="2695"/>
      <c r="ES13" s="2695"/>
      <c r="ET13" s="2695"/>
      <c r="EU13" s="2695"/>
      <c r="EV13" s="2695"/>
      <c r="EW13" s="2695"/>
      <c r="EX13" s="2695"/>
      <c r="EY13" s="2695"/>
      <c r="EZ13" s="2695"/>
      <c r="FA13" s="2695"/>
      <c r="FB13" s="2695"/>
      <c r="FC13" s="2695"/>
      <c r="FD13" s="2695"/>
      <c r="FE13" s="2695"/>
      <c r="FF13" s="2695"/>
      <c r="FG13" s="2695"/>
      <c r="FH13" s="2695"/>
      <c r="FI13" s="2695"/>
      <c r="FJ13" s="2695"/>
      <c r="FK13" s="2695"/>
      <c r="FL13" s="2695"/>
      <c r="FM13" s="2695"/>
      <c r="FN13" s="2695"/>
      <c r="FO13" s="2695"/>
      <c r="FP13" s="2695"/>
      <c r="FQ13" s="2695"/>
      <c r="FR13" s="2695"/>
      <c r="FS13" s="2695"/>
      <c r="FT13" s="2695"/>
      <c r="FU13" s="2695"/>
      <c r="FV13" s="2695"/>
      <c r="FW13" s="2701"/>
      <c r="FX13" s="1123"/>
    </row>
    <row customHeight="1" ht="36">
      <c r="D14" s="1299"/>
      <c r="E14" s="1298"/>
      <c r="F14" s="2478"/>
      <c r="G14" s="2478"/>
      <c r="H14" s="2714"/>
      <c r="I14" s="2714"/>
      <c r="J14" s="2713"/>
      <c r="K14" s="2713"/>
      <c r="L14" s="2713"/>
      <c r="M14" s="2713"/>
      <c r="N14" s="2713"/>
      <c r="O14" s="2609" t="s">
        <v>1020</v>
      </c>
      <c r="P14" s="2691"/>
      <c r="Q14" s="2609" t="s">
        <v>1021</v>
      </c>
      <c r="R14" s="2691"/>
      <c r="S14" s="2610"/>
      <c r="T14" s="2486"/>
      <c r="U14" s="2609" t="s">
        <v>750</v>
      </c>
      <c r="V14" s="2691"/>
      <c r="W14" s="2609" t="s">
        <v>753</v>
      </c>
      <c r="X14" s="2691"/>
      <c r="Y14" s="2609" t="s">
        <v>750</v>
      </c>
      <c r="Z14" s="2691"/>
      <c r="AA14" s="2609" t="s">
        <v>760</v>
      </c>
      <c r="AB14" s="2691"/>
      <c r="AC14" s="2695"/>
      <c r="AD14" s="2695"/>
      <c r="AE14" s="2695"/>
      <c r="AF14" s="2695"/>
      <c r="AG14" s="2695"/>
      <c r="AH14" s="2695"/>
      <c r="AI14" s="2695"/>
      <c r="AJ14" s="2695"/>
      <c r="AK14" s="2695"/>
      <c r="AL14" s="2695"/>
      <c r="AM14" s="2695"/>
      <c r="AN14" s="2695"/>
      <c r="AO14" s="2695"/>
      <c r="AP14" s="2695"/>
      <c r="AQ14" s="2695"/>
      <c r="AR14" s="2695"/>
      <c r="AS14" s="2695"/>
      <c r="AT14" s="2695"/>
      <c r="AU14" s="2695"/>
      <c r="AV14" s="2695"/>
      <c r="AW14" s="2695"/>
      <c r="AX14" s="2695"/>
      <c r="AY14" s="2695"/>
      <c r="AZ14" s="2695"/>
      <c r="BA14" s="2695"/>
      <c r="BB14" s="2695"/>
      <c r="BC14" s="2695"/>
      <c r="BD14" s="2695"/>
      <c r="BE14" s="2695"/>
      <c r="BF14" s="2695"/>
      <c r="BG14" s="2695"/>
      <c r="BH14" s="2695"/>
      <c r="BI14" s="2695"/>
      <c r="BJ14" s="2695"/>
      <c r="BK14" s="2695"/>
      <c r="BL14" s="2695"/>
      <c r="BM14" s="2695"/>
      <c r="BN14" s="2695"/>
      <c r="BO14" s="2695"/>
      <c r="BP14" s="2695"/>
      <c r="BQ14" s="2695"/>
      <c r="BR14" s="2695"/>
      <c r="BS14" s="2696"/>
      <c r="BT14" s="2610"/>
      <c r="BU14" s="2486"/>
      <c r="BV14" s="2610"/>
      <c r="BW14" s="2486"/>
      <c r="BX14" s="2610"/>
      <c r="BY14" s="2486"/>
      <c r="BZ14" s="2610"/>
      <c r="CA14" s="2486"/>
      <c r="CB14" s="2610"/>
      <c r="CC14" s="2486"/>
      <c r="CD14" s="2610"/>
      <c r="CE14" s="2486"/>
      <c r="CF14" s="2610"/>
      <c r="CG14" s="2486"/>
      <c r="CH14" s="2609" t="s">
        <v>1022</v>
      </c>
      <c r="CI14" s="2691"/>
      <c r="CJ14" s="2609" t="s">
        <v>1023</v>
      </c>
      <c r="CK14" s="2691"/>
      <c r="CL14" s="2703"/>
      <c r="CM14" s="2695"/>
      <c r="CN14" s="2695"/>
      <c r="CO14" s="2695"/>
      <c r="CP14" s="2695"/>
      <c r="CQ14" s="2695"/>
      <c r="CR14" s="2695"/>
      <c r="CS14" s="2695"/>
      <c r="CT14" s="2695"/>
      <c r="CU14" s="2695"/>
      <c r="CV14" s="2695"/>
      <c r="CW14" s="2695"/>
      <c r="CX14" s="2696"/>
      <c r="CY14" s="2610"/>
      <c r="CZ14" s="2486"/>
      <c r="DA14" s="2610"/>
      <c r="DB14" s="2486"/>
      <c r="DC14" s="2610"/>
      <c r="DD14" s="2486"/>
      <c r="DE14" s="2610"/>
      <c r="DF14" s="2486"/>
      <c r="DG14" s="2609" t="s">
        <v>1024</v>
      </c>
      <c r="DH14" s="2691"/>
      <c r="DI14" s="2609" t="s">
        <v>1025</v>
      </c>
      <c r="DJ14" s="2691"/>
      <c r="DK14" s="2703"/>
      <c r="DL14" s="2695"/>
      <c r="DM14" s="2695"/>
      <c r="DN14" s="2695"/>
      <c r="DO14" s="2695"/>
      <c r="DP14" s="2695"/>
      <c r="DQ14" s="2695"/>
      <c r="DR14" s="2695"/>
      <c r="DS14" s="2695"/>
      <c r="DT14" s="2695"/>
      <c r="DU14" s="2695"/>
      <c r="DV14" s="2695"/>
      <c r="DW14" s="2695"/>
      <c r="DX14" s="2695"/>
      <c r="DY14" s="2695"/>
      <c r="DZ14" s="2695"/>
      <c r="EA14" s="2695"/>
      <c r="EB14" s="2695"/>
      <c r="EC14" s="2695"/>
      <c r="ED14" s="2695"/>
      <c r="EE14" s="2695"/>
      <c r="EF14" s="2695"/>
      <c r="EG14" s="2695"/>
      <c r="EH14" s="2695"/>
      <c r="EI14" s="2695"/>
      <c r="EJ14" s="2695"/>
      <c r="EK14" s="2695"/>
      <c r="EL14" s="2695"/>
      <c r="EM14" s="2695"/>
      <c r="EN14" s="2695"/>
      <c r="EO14" s="2695"/>
      <c r="EP14" s="2695"/>
      <c r="EQ14" s="2695"/>
      <c r="ER14" s="2695"/>
      <c r="ES14" s="2695"/>
      <c r="ET14" s="2695"/>
      <c r="EU14" s="2695"/>
      <c r="EV14" s="2695"/>
      <c r="EW14" s="2695"/>
      <c r="EX14" s="2695"/>
      <c r="EY14" s="2695"/>
      <c r="EZ14" s="2695"/>
      <c r="FA14" s="2695"/>
      <c r="FB14" s="2695"/>
      <c r="FC14" s="2695"/>
      <c r="FD14" s="2695"/>
      <c r="FE14" s="2695"/>
      <c r="FF14" s="2695"/>
      <c r="FG14" s="2695"/>
      <c r="FH14" s="2695"/>
      <c r="FI14" s="2695"/>
      <c r="FJ14" s="2695"/>
      <c r="FK14" s="2695"/>
      <c r="FL14" s="2695"/>
      <c r="FM14" s="2695"/>
      <c r="FN14" s="2695"/>
      <c r="FO14" s="2695"/>
      <c r="FP14" s="2695"/>
      <c r="FQ14" s="2695"/>
      <c r="FR14" s="2695"/>
      <c r="FS14" s="2695"/>
      <c r="FT14" s="2695"/>
      <c r="FU14" s="2695"/>
      <c r="FV14" s="2695"/>
      <c r="FW14" s="2701"/>
      <c r="FX14" s="1123"/>
    </row>
    <row customHeight="1" ht="36">
      <c r="D15" s="1299"/>
      <c r="E15" s="1298"/>
      <c r="F15" s="2478"/>
      <c r="G15" s="2478"/>
      <c r="H15" s="2714"/>
      <c r="I15" s="2714"/>
      <c r="J15" s="2713"/>
      <c r="K15" s="2713"/>
      <c r="L15" s="2713"/>
      <c r="M15" s="2713"/>
      <c r="N15" s="2713"/>
      <c r="O15" s="2611"/>
      <c r="P15" s="2692"/>
      <c r="Q15" s="2611"/>
      <c r="R15" s="2692"/>
      <c r="S15" s="2611"/>
      <c r="T15" s="2692"/>
      <c r="U15" s="2611"/>
      <c r="V15" s="2692"/>
      <c r="W15" s="2611"/>
      <c r="X15" s="2692"/>
      <c r="Y15" s="2611"/>
      <c r="Z15" s="2692"/>
      <c r="AA15" s="2611"/>
      <c r="AB15" s="2692"/>
      <c r="AC15" s="2695"/>
      <c r="AD15" s="2695"/>
      <c r="AE15" s="2695"/>
      <c r="AF15" s="2695"/>
      <c r="AG15" s="2695"/>
      <c r="AH15" s="2695"/>
      <c r="AI15" s="2695"/>
      <c r="AJ15" s="2695"/>
      <c r="AK15" s="2695"/>
      <c r="AL15" s="2695"/>
      <c r="AM15" s="2695"/>
      <c r="AN15" s="2695"/>
      <c r="AO15" s="2695"/>
      <c r="AP15" s="2695"/>
      <c r="AQ15" s="2695"/>
      <c r="AR15" s="2695"/>
      <c r="AS15" s="2695"/>
      <c r="AT15" s="2695"/>
      <c r="AU15" s="2695"/>
      <c r="AV15" s="2695"/>
      <c r="AW15" s="2695"/>
      <c r="AX15" s="2695"/>
      <c r="AY15" s="2695"/>
      <c r="AZ15" s="2695"/>
      <c r="BA15" s="2695"/>
      <c r="BB15" s="2695"/>
      <c r="BC15" s="2695"/>
      <c r="BD15" s="2695"/>
      <c r="BE15" s="2695"/>
      <c r="BF15" s="2695"/>
      <c r="BG15" s="2695"/>
      <c r="BH15" s="2695"/>
      <c r="BI15" s="2695"/>
      <c r="BJ15" s="2695"/>
      <c r="BK15" s="2695"/>
      <c r="BL15" s="2695"/>
      <c r="BM15" s="2695"/>
      <c r="BN15" s="2695"/>
      <c r="BO15" s="2695"/>
      <c r="BP15" s="2695"/>
      <c r="BQ15" s="2695"/>
      <c r="BR15" s="2695"/>
      <c r="BS15" s="2696"/>
      <c r="BT15" s="2611"/>
      <c r="BU15" s="2692"/>
      <c r="BV15" s="2611"/>
      <c r="BW15" s="2692"/>
      <c r="BX15" s="2611"/>
      <c r="BY15" s="2692"/>
      <c r="BZ15" s="2611"/>
      <c r="CA15" s="2692"/>
      <c r="CB15" s="2611"/>
      <c r="CC15" s="2692"/>
      <c r="CD15" s="2611"/>
      <c r="CE15" s="2692"/>
      <c r="CF15" s="2611"/>
      <c r="CG15" s="2692"/>
      <c r="CH15" s="2611"/>
      <c r="CI15" s="2692"/>
      <c r="CJ15" s="2611"/>
      <c r="CK15" s="2692"/>
      <c r="CL15" s="2703"/>
      <c r="CM15" s="2695"/>
      <c r="CN15" s="2695"/>
      <c r="CO15" s="2695"/>
      <c r="CP15" s="2695"/>
      <c r="CQ15" s="2695"/>
      <c r="CR15" s="2695"/>
      <c r="CS15" s="2695"/>
      <c r="CT15" s="2695"/>
      <c r="CU15" s="2695"/>
      <c r="CV15" s="2695"/>
      <c r="CW15" s="2695"/>
      <c r="CX15" s="2696"/>
      <c r="CY15" s="2611"/>
      <c r="CZ15" s="2692"/>
      <c r="DA15" s="2611"/>
      <c r="DB15" s="2692"/>
      <c r="DC15" s="2611"/>
      <c r="DD15" s="2692"/>
      <c r="DE15" s="2611"/>
      <c r="DF15" s="2692"/>
      <c r="DG15" s="2611"/>
      <c r="DH15" s="2692"/>
      <c r="DI15" s="2611"/>
      <c r="DJ15" s="2692"/>
      <c r="DK15" s="2703"/>
      <c r="DL15" s="2695"/>
      <c r="DM15" s="2695"/>
      <c r="DN15" s="2695"/>
      <c r="DO15" s="2695"/>
      <c r="DP15" s="2695"/>
      <c r="DQ15" s="2695"/>
      <c r="DR15" s="2695"/>
      <c r="DS15" s="2695"/>
      <c r="DT15" s="2695"/>
      <c r="DU15" s="2695"/>
      <c r="DV15" s="2695"/>
      <c r="DW15" s="2695"/>
      <c r="DX15" s="2695"/>
      <c r="DY15" s="2695"/>
      <c r="DZ15" s="2695"/>
      <c r="EA15" s="2695"/>
      <c r="EB15" s="2695"/>
      <c r="EC15" s="2695"/>
      <c r="ED15" s="2695"/>
      <c r="EE15" s="2695"/>
      <c r="EF15" s="2695"/>
      <c r="EG15" s="2695"/>
      <c r="EH15" s="2695"/>
      <c r="EI15" s="2695"/>
      <c r="EJ15" s="2695"/>
      <c r="EK15" s="2695"/>
      <c r="EL15" s="2695"/>
      <c r="EM15" s="2695"/>
      <c r="EN15" s="2695"/>
      <c r="EO15" s="2695"/>
      <c r="EP15" s="2695"/>
      <c r="EQ15" s="2695"/>
      <c r="ER15" s="2695"/>
      <c r="ES15" s="2695"/>
      <c r="ET15" s="2695"/>
      <c r="EU15" s="2695"/>
      <c r="EV15" s="2695"/>
      <c r="EW15" s="2695"/>
      <c r="EX15" s="2695"/>
      <c r="EY15" s="2695"/>
      <c r="EZ15" s="2695"/>
      <c r="FA15" s="2695"/>
      <c r="FB15" s="2695"/>
      <c r="FC15" s="2695"/>
      <c r="FD15" s="2695"/>
      <c r="FE15" s="2695"/>
      <c r="FF15" s="2695"/>
      <c r="FG15" s="2695"/>
      <c r="FH15" s="2695"/>
      <c r="FI15" s="2695"/>
      <c r="FJ15" s="2695"/>
      <c r="FK15" s="2695"/>
      <c r="FL15" s="2695"/>
      <c r="FM15" s="2695"/>
      <c r="FN15" s="2695"/>
      <c r="FO15" s="2695"/>
      <c r="FP15" s="2695"/>
      <c r="FQ15" s="2695"/>
      <c r="FR15" s="2695"/>
      <c r="FS15" s="2695"/>
      <c r="FT15" s="2695"/>
      <c r="FU15" s="2695"/>
      <c r="FV15" s="2695"/>
      <c r="FW15" s="2701"/>
      <c r="FX15" s="1123"/>
    </row>
    <row customHeight="1" ht="12">
      <c r="D16" s="1299"/>
      <c r="E16" s="1298"/>
      <c r="F16" s="2478"/>
      <c r="G16" s="2478"/>
      <c r="H16" s="2714"/>
      <c r="I16" s="2714"/>
      <c r="J16" s="2713"/>
      <c r="K16" s="2713"/>
      <c r="L16" s="2713"/>
      <c r="M16" s="2713"/>
      <c r="N16" s="2713"/>
      <c r="O16" s="2693" t="s">
        <v>740</v>
      </c>
      <c r="P16" s="2694"/>
      <c r="Q16" s="2693" t="s">
        <v>742</v>
      </c>
      <c r="R16" s="2694"/>
      <c r="S16" s="2693" t="s">
        <v>746</v>
      </c>
      <c r="T16" s="2694"/>
      <c r="U16" s="2693" t="s">
        <v>751</v>
      </c>
      <c r="V16" s="2694"/>
      <c r="W16" s="2693" t="s">
        <v>754</v>
      </c>
      <c r="X16" s="2694"/>
      <c r="Y16" s="2693" t="s">
        <v>758</v>
      </c>
      <c r="Z16" s="2694"/>
      <c r="AA16" s="2693" t="s">
        <v>761</v>
      </c>
      <c r="AB16" s="2694"/>
      <c r="AC16" s="2695"/>
      <c r="AD16" s="2695"/>
      <c r="AE16" s="2695"/>
      <c r="AF16" s="2695"/>
      <c r="AG16" s="2695"/>
      <c r="AH16" s="2695"/>
      <c r="AI16" s="2695"/>
      <c r="AJ16" s="2695"/>
      <c r="AK16" s="2695"/>
      <c r="AL16" s="2695"/>
      <c r="AM16" s="2695"/>
      <c r="AN16" s="2695"/>
      <c r="AO16" s="2695"/>
      <c r="AP16" s="2695"/>
      <c r="AQ16" s="2695"/>
      <c r="AR16" s="2695"/>
      <c r="AS16" s="2695"/>
      <c r="AT16" s="2695"/>
      <c r="AU16" s="2695"/>
      <c r="AV16" s="2695"/>
      <c r="AW16" s="2695"/>
      <c r="AX16" s="2695"/>
      <c r="AY16" s="2695"/>
      <c r="AZ16" s="2695"/>
      <c r="BA16" s="2695"/>
      <c r="BB16" s="2695"/>
      <c r="BC16" s="2695"/>
      <c r="BD16" s="2695"/>
      <c r="BE16" s="2695"/>
      <c r="BF16" s="2695"/>
      <c r="BG16" s="2695"/>
      <c r="BH16" s="2695"/>
      <c r="BI16" s="2695"/>
      <c r="BJ16" s="2695"/>
      <c r="BK16" s="2695"/>
      <c r="BL16" s="2695"/>
      <c r="BM16" s="2695"/>
      <c r="BN16" s="2695"/>
      <c r="BO16" s="2695"/>
      <c r="BP16" s="2695"/>
      <c r="BQ16" s="2695"/>
      <c r="BR16" s="2695"/>
      <c r="BS16" s="2696"/>
      <c r="BT16" s="2693" t="s">
        <v>558</v>
      </c>
      <c r="BU16" s="2694"/>
      <c r="BV16" s="2693" t="s">
        <v>558</v>
      </c>
      <c r="BW16" s="2694"/>
      <c r="BX16" s="2693" t="s">
        <v>558</v>
      </c>
      <c r="BY16" s="2694"/>
      <c r="BZ16" s="2693" t="s">
        <v>558</v>
      </c>
      <c r="CA16" s="2694"/>
      <c r="CB16" s="2693" t="s">
        <v>1026</v>
      </c>
      <c r="CC16" s="2694"/>
      <c r="CD16" s="2693" t="s">
        <v>558</v>
      </c>
      <c r="CE16" s="2694"/>
      <c r="CF16" s="2693" t="s">
        <v>1027</v>
      </c>
      <c r="CG16" s="2694"/>
      <c r="CH16" s="2693" t="s">
        <v>1028</v>
      </c>
      <c r="CI16" s="2694"/>
      <c r="CJ16" s="2693" t="s">
        <v>1028</v>
      </c>
      <c r="CK16" s="2694"/>
      <c r="CL16" s="2703"/>
      <c r="CM16" s="2695"/>
      <c r="CN16" s="2695"/>
      <c r="CO16" s="2695"/>
      <c r="CP16" s="2695"/>
      <c r="CQ16" s="2695"/>
      <c r="CR16" s="2695"/>
      <c r="CS16" s="2695"/>
      <c r="CT16" s="2695"/>
      <c r="CU16" s="2695"/>
      <c r="CV16" s="2695"/>
      <c r="CW16" s="2695"/>
      <c r="CX16" s="2696"/>
      <c r="CY16" s="2609" t="s">
        <v>558</v>
      </c>
      <c r="CZ16" s="2691"/>
      <c r="DA16" s="2609" t="s">
        <v>558</v>
      </c>
      <c r="DB16" s="2691"/>
      <c r="DC16" s="2609" t="s">
        <v>558</v>
      </c>
      <c r="DD16" s="2691"/>
      <c r="DE16" s="2693" t="s">
        <v>1026</v>
      </c>
      <c r="DF16" s="2694"/>
      <c r="DG16" s="2693" t="s">
        <v>1029</v>
      </c>
      <c r="DH16" s="2694"/>
      <c r="DI16" s="2693" t="s">
        <v>1029</v>
      </c>
      <c r="DJ16" s="2694"/>
      <c r="DK16" s="2703"/>
      <c r="DL16" s="2695"/>
      <c r="DM16" s="2695"/>
      <c r="DN16" s="2695"/>
      <c r="DO16" s="2695"/>
      <c r="DP16" s="2695"/>
      <c r="DQ16" s="2695"/>
      <c r="DR16" s="2695"/>
      <c r="DS16" s="2695"/>
      <c r="DT16" s="2695"/>
      <c r="DU16" s="2695"/>
      <c r="DV16" s="2695"/>
      <c r="DW16" s="2695"/>
      <c r="DX16" s="2695"/>
      <c r="DY16" s="2695"/>
      <c r="DZ16" s="2695"/>
      <c r="EA16" s="2695"/>
      <c r="EB16" s="2695"/>
      <c r="EC16" s="2695"/>
      <c r="ED16" s="2695"/>
      <c r="EE16" s="2695"/>
      <c r="EF16" s="2695"/>
      <c r="EG16" s="2695"/>
      <c r="EH16" s="2695"/>
      <c r="EI16" s="2695"/>
      <c r="EJ16" s="2695"/>
      <c r="EK16" s="2695"/>
      <c r="EL16" s="2695"/>
      <c r="EM16" s="2695"/>
      <c r="EN16" s="2695"/>
      <c r="EO16" s="2695"/>
      <c r="EP16" s="2695"/>
      <c r="EQ16" s="2695"/>
      <c r="ER16" s="2695"/>
      <c r="ES16" s="2695"/>
      <c r="ET16" s="2695"/>
      <c r="EU16" s="2695"/>
      <c r="EV16" s="2695"/>
      <c r="EW16" s="2695"/>
      <c r="EX16" s="2695"/>
      <c r="EY16" s="2695"/>
      <c r="EZ16" s="2695"/>
      <c r="FA16" s="2695"/>
      <c r="FB16" s="2695"/>
      <c r="FC16" s="2695"/>
      <c r="FD16" s="2695"/>
      <c r="FE16" s="2695"/>
      <c r="FF16" s="2695"/>
      <c r="FG16" s="2695"/>
      <c r="FH16" s="2695"/>
      <c r="FI16" s="2695"/>
      <c r="FJ16" s="2695"/>
      <c r="FK16" s="2695"/>
      <c r="FL16" s="2695"/>
      <c r="FM16" s="2695"/>
      <c r="FN16" s="2695"/>
      <c r="FO16" s="2695"/>
      <c r="FP16" s="2695"/>
      <c r="FQ16" s="2695"/>
      <c r="FR16" s="2695"/>
      <c r="FS16" s="2695"/>
      <c r="FT16" s="2695"/>
      <c r="FU16" s="2695"/>
      <c r="FV16" s="2695"/>
      <c r="FW16" s="2701"/>
      <c r="FX16" s="1123"/>
    </row>
    <row customHeight="1" ht="15">
      <c r="E17" s="1298"/>
      <c r="F17" s="2478"/>
      <c r="G17" s="2478"/>
      <c r="H17" s="2714"/>
      <c r="I17" s="2714"/>
      <c r="J17" s="2713"/>
      <c r="K17" s="2713"/>
      <c r="L17" s="2713"/>
      <c r="M17" s="2713"/>
      <c r="N17" s="2713"/>
      <c r="O17" s="1556" t="s">
        <v>1030</v>
      </c>
      <c r="P17" s="1556" t="s">
        <v>1031</v>
      </c>
      <c r="Q17" s="1556" t="s">
        <v>1030</v>
      </c>
      <c r="R17" s="1556" t="s">
        <v>1031</v>
      </c>
      <c r="S17" s="1556" t="s">
        <v>1030</v>
      </c>
      <c r="T17" s="1556" t="s">
        <v>1031</v>
      </c>
      <c r="U17" s="1556" t="s">
        <v>1030</v>
      </c>
      <c r="V17" s="1556" t="s">
        <v>1031</v>
      </c>
      <c r="W17" s="1556" t="s">
        <v>1030</v>
      </c>
      <c r="X17" s="1556" t="s">
        <v>1031</v>
      </c>
      <c r="Y17" s="1556" t="s">
        <v>1030</v>
      </c>
      <c r="Z17" s="1556" t="s">
        <v>1031</v>
      </c>
      <c r="AA17" s="1556" t="s">
        <v>1030</v>
      </c>
      <c r="AB17" s="1556" t="s">
        <v>1031</v>
      </c>
      <c r="AC17" s="2695"/>
      <c r="AD17" s="2695"/>
      <c r="AE17" s="2695"/>
      <c r="AF17" s="2695"/>
      <c r="AG17" s="2695"/>
      <c r="AH17" s="2695"/>
      <c r="AI17" s="2695"/>
      <c r="AJ17" s="2695"/>
      <c r="AK17" s="2695"/>
      <c r="AL17" s="2695"/>
      <c r="AM17" s="2695"/>
      <c r="AN17" s="2695"/>
      <c r="AO17" s="2695"/>
      <c r="AP17" s="2695"/>
      <c r="AQ17" s="2695"/>
      <c r="AR17" s="2695"/>
      <c r="AS17" s="2695"/>
      <c r="AT17" s="2695"/>
      <c r="AU17" s="2695"/>
      <c r="AV17" s="2695"/>
      <c r="AW17" s="2695"/>
      <c r="AX17" s="2695"/>
      <c r="AY17" s="2695"/>
      <c r="AZ17" s="2695"/>
      <c r="BA17" s="2695"/>
      <c r="BB17" s="2695"/>
      <c r="BC17" s="2695"/>
      <c r="BD17" s="2695"/>
      <c r="BE17" s="2695"/>
      <c r="BF17" s="2695"/>
      <c r="BG17" s="2695"/>
      <c r="BH17" s="2695"/>
      <c r="BI17" s="2695"/>
      <c r="BJ17" s="2695"/>
      <c r="BK17" s="2695"/>
      <c r="BL17" s="2695"/>
      <c r="BM17" s="2695"/>
      <c r="BN17" s="2695"/>
      <c r="BO17" s="2695"/>
      <c r="BP17" s="2695"/>
      <c r="BQ17" s="2695"/>
      <c r="BR17" s="2695"/>
      <c r="BS17" s="2696"/>
      <c r="BT17" s="1556" t="s">
        <v>1030</v>
      </c>
      <c r="BU17" s="1556" t="s">
        <v>1031</v>
      </c>
      <c r="BV17" s="1556" t="s">
        <v>1030</v>
      </c>
      <c r="BW17" s="1556" t="s">
        <v>1031</v>
      </c>
      <c r="BX17" s="1556" t="s">
        <v>1030</v>
      </c>
      <c r="BY17" s="1556" t="s">
        <v>1031</v>
      </c>
      <c r="BZ17" s="1556" t="s">
        <v>1030</v>
      </c>
      <c r="CA17" s="1556" t="s">
        <v>1031</v>
      </c>
      <c r="CB17" s="1556" t="s">
        <v>1030</v>
      </c>
      <c r="CC17" s="1556" t="s">
        <v>1031</v>
      </c>
      <c r="CD17" s="1556" t="s">
        <v>1030</v>
      </c>
      <c r="CE17" s="1556" t="s">
        <v>1031</v>
      </c>
      <c r="CF17" s="1556" t="s">
        <v>1030</v>
      </c>
      <c r="CG17" s="1556" t="s">
        <v>1031</v>
      </c>
      <c r="CH17" s="1556" t="s">
        <v>1030</v>
      </c>
      <c r="CI17" s="1556" t="s">
        <v>1031</v>
      </c>
      <c r="CJ17" s="1556" t="s">
        <v>1030</v>
      </c>
      <c r="CK17" s="1556" t="s">
        <v>1031</v>
      </c>
      <c r="CL17" s="2703"/>
      <c r="CM17" s="2695"/>
      <c r="CN17" s="2695"/>
      <c r="CO17" s="2695"/>
      <c r="CP17" s="2695"/>
      <c r="CQ17" s="2695"/>
      <c r="CR17" s="2695"/>
      <c r="CS17" s="2695"/>
      <c r="CT17" s="2695"/>
      <c r="CU17" s="2695"/>
      <c r="CV17" s="2695"/>
      <c r="CW17" s="2695"/>
      <c r="CX17" s="2696"/>
      <c r="CY17" s="1556" t="s">
        <v>1030</v>
      </c>
      <c r="CZ17" s="1556" t="s">
        <v>1031</v>
      </c>
      <c r="DA17" s="1556" t="s">
        <v>1030</v>
      </c>
      <c r="DB17" s="1556" t="s">
        <v>1031</v>
      </c>
      <c r="DC17" s="1556" t="s">
        <v>1030</v>
      </c>
      <c r="DD17" s="1556" t="s">
        <v>1031</v>
      </c>
      <c r="DE17" s="1556" t="s">
        <v>1030</v>
      </c>
      <c r="DF17" s="1556" t="s">
        <v>1031</v>
      </c>
      <c r="DG17" s="1556" t="s">
        <v>1030</v>
      </c>
      <c r="DH17" s="1556" t="s">
        <v>1031</v>
      </c>
      <c r="DI17" s="1556" t="s">
        <v>1030</v>
      </c>
      <c r="DJ17" s="1556" t="s">
        <v>1031</v>
      </c>
      <c r="DK17" s="2703"/>
      <c r="DL17" s="2695"/>
      <c r="DM17" s="2695"/>
      <c r="DN17" s="2695"/>
      <c r="DO17" s="2695"/>
      <c r="DP17" s="2695"/>
      <c r="DQ17" s="2695"/>
      <c r="DR17" s="2695"/>
      <c r="DS17" s="2695"/>
      <c r="DT17" s="2695"/>
      <c r="DU17" s="2695"/>
      <c r="DV17" s="2695"/>
      <c r="DW17" s="2695"/>
      <c r="DX17" s="2695"/>
      <c r="DY17" s="2695"/>
      <c r="DZ17" s="2695"/>
      <c r="EA17" s="2695"/>
      <c r="EB17" s="2695"/>
      <c r="EC17" s="2695"/>
      <c r="ED17" s="2695"/>
      <c r="EE17" s="2695"/>
      <c r="EF17" s="2695"/>
      <c r="EG17" s="2695"/>
      <c r="EH17" s="2695"/>
      <c r="EI17" s="2695"/>
      <c r="EJ17" s="2695"/>
      <c r="EK17" s="2695"/>
      <c r="EL17" s="2695"/>
      <c r="EM17" s="2695"/>
      <c r="EN17" s="2695"/>
      <c r="EO17" s="2695"/>
      <c r="EP17" s="2695"/>
      <c r="EQ17" s="2695"/>
      <c r="ER17" s="2695"/>
      <c r="ES17" s="2695"/>
      <c r="ET17" s="2695"/>
      <c r="EU17" s="2695"/>
      <c r="EV17" s="2695"/>
      <c r="EW17" s="2695"/>
      <c r="EX17" s="2695"/>
      <c r="EY17" s="2695"/>
      <c r="EZ17" s="2695"/>
      <c r="FA17" s="2695"/>
      <c r="FB17" s="2695"/>
      <c r="FC17" s="2695"/>
      <c r="FD17" s="2695"/>
      <c r="FE17" s="2695"/>
      <c r="FF17" s="2695"/>
      <c r="FG17" s="2695"/>
      <c r="FH17" s="2695"/>
      <c r="FI17" s="2695"/>
      <c r="FJ17" s="2695"/>
      <c r="FK17" s="2695"/>
      <c r="FL17" s="2695"/>
      <c r="FM17" s="2695"/>
      <c r="FN17" s="2695"/>
      <c r="FO17" s="2695"/>
      <c r="FP17" s="2695"/>
      <c r="FQ17" s="2695"/>
      <c r="FR17" s="2695"/>
      <c r="FS17" s="2695"/>
      <c r="FT17" s="2695"/>
      <c r="FU17" s="2695"/>
      <c r="FV17" s="2695"/>
      <c r="FW17" s="2702"/>
      <c r="FX17" s="1123"/>
    </row>
    <row s="20122" customFormat="1" customHeight="1" ht="12" hidden="1">
      <c r="B18" s="1284"/>
      <c r="E18" s="1300"/>
      <c r="F18" s="1557"/>
      <c r="G18" s="1557"/>
      <c r="H18" s="1557"/>
      <c r="I18" s="1557"/>
      <c r="J18" s="1558"/>
      <c r="K18" s="1558"/>
      <c r="L18" s="1558"/>
      <c r="M18" s="1558"/>
      <c r="N18" s="1558"/>
      <c r="O18" s="1557"/>
      <c r="P18" s="1557"/>
      <c r="Q18" s="1557"/>
      <c r="R18" s="1557"/>
      <c r="S18" s="1557"/>
      <c r="T18" s="1557"/>
      <c r="U18" s="1559"/>
      <c r="V18" s="1559"/>
      <c r="W18" s="1559"/>
      <c r="X18" s="1559"/>
      <c r="Y18" s="1559"/>
      <c r="Z18" s="1559"/>
      <c r="AA18" s="1559"/>
      <c r="AB18" s="1557"/>
      <c r="AC18" s="1558"/>
      <c r="AD18" s="1558"/>
      <c r="AE18" s="1558"/>
      <c r="AF18" s="1558"/>
      <c r="AG18" s="1558"/>
      <c r="AH18" s="1558"/>
      <c r="AI18" s="1558"/>
      <c r="AJ18" s="1558"/>
      <c r="AK18" s="1558"/>
      <c r="AL18" s="1558"/>
      <c r="AM18" s="1558"/>
      <c r="AN18" s="1558"/>
      <c r="AO18" s="1558"/>
      <c r="AP18" s="1558"/>
      <c r="AQ18" s="1558"/>
      <c r="AR18" s="1558"/>
      <c r="AS18" s="1558"/>
      <c r="AT18" s="1558"/>
      <c r="AU18" s="1558"/>
      <c r="AV18" s="1558"/>
      <c r="AW18" s="1558"/>
      <c r="AX18" s="1558"/>
      <c r="AY18" s="1558"/>
      <c r="AZ18" s="1558"/>
      <c r="BA18" s="1558"/>
      <c r="BB18" s="1558"/>
      <c r="BC18" s="1558"/>
      <c r="BD18" s="1558"/>
      <c r="BE18" s="1558"/>
      <c r="BF18" s="1558"/>
      <c r="BG18" s="1558"/>
      <c r="BH18" s="1558"/>
      <c r="BI18" s="1558"/>
      <c r="BJ18" s="1558"/>
      <c r="BK18" s="1558"/>
      <c r="BL18" s="1558"/>
      <c r="BM18" s="1558"/>
      <c r="BN18" s="1558"/>
      <c r="BO18" s="1558"/>
      <c r="BP18" s="1558"/>
      <c r="BQ18" s="1558"/>
      <c r="BR18" s="1558"/>
      <c r="BS18" s="1558"/>
      <c r="BT18" s="1560"/>
      <c r="BU18" s="1560"/>
      <c r="BV18" s="1560"/>
      <c r="BW18" s="1560"/>
      <c r="BX18" s="1560"/>
      <c r="BY18" s="1560"/>
      <c r="BZ18" s="1560"/>
      <c r="CA18" s="1560"/>
      <c r="CB18" s="1560"/>
      <c r="CC18" s="1560"/>
      <c r="CD18" s="1560"/>
      <c r="CE18" s="1560"/>
      <c r="CF18" s="1560"/>
      <c r="CG18" s="1560"/>
      <c r="CH18" s="1560"/>
      <c r="CI18" s="1560"/>
      <c r="CJ18" s="1560"/>
      <c r="CK18" s="1560"/>
      <c r="CL18" s="1558"/>
      <c r="CM18" s="1558"/>
      <c r="CN18" s="1558"/>
      <c r="CO18" s="1558"/>
      <c r="CP18" s="1558"/>
      <c r="CQ18" s="1558"/>
      <c r="CR18" s="1558"/>
      <c r="CS18" s="1558"/>
      <c r="CT18" s="1558"/>
      <c r="CU18" s="1558"/>
      <c r="CV18" s="1558"/>
      <c r="CW18" s="1558"/>
      <c r="CX18" s="1558"/>
      <c r="CY18" s="1560"/>
      <c r="CZ18" s="1560"/>
      <c r="DA18" s="1560"/>
      <c r="DB18" s="1560"/>
      <c r="DC18" s="1560"/>
      <c r="DD18" s="1560"/>
      <c r="DE18" s="1560"/>
      <c r="DF18" s="1560"/>
      <c r="DG18" s="1560"/>
      <c r="DH18" s="1560"/>
      <c r="DI18" s="1560"/>
      <c r="DJ18" s="1560"/>
      <c r="DK18" s="1558"/>
      <c r="DL18" s="1558"/>
      <c r="DM18" s="1558"/>
      <c r="DN18" s="1558"/>
      <c r="DO18" s="1558"/>
      <c r="DP18" s="1558"/>
      <c r="DQ18" s="1558"/>
      <c r="DR18" s="1558"/>
      <c r="DS18" s="1558"/>
      <c r="DT18" s="1558"/>
      <c r="DU18" s="1558"/>
      <c r="DV18" s="1558"/>
      <c r="DW18" s="1558"/>
      <c r="DX18" s="1558"/>
      <c r="DY18" s="1558"/>
      <c r="DZ18" s="1558"/>
      <c r="EA18" s="1558"/>
      <c r="EB18" s="1558"/>
      <c r="EC18" s="1558"/>
      <c r="ED18" s="1558"/>
      <c r="EE18" s="1558"/>
      <c r="EF18" s="1558"/>
      <c r="EG18" s="1558"/>
      <c r="EH18" s="1558"/>
      <c r="EI18" s="1558"/>
      <c r="EJ18" s="1558"/>
      <c r="EK18" s="1558"/>
      <c r="EL18" s="1558"/>
      <c r="EM18" s="1558"/>
      <c r="EN18" s="1558"/>
      <c r="EO18" s="1558"/>
      <c r="EP18" s="1558"/>
      <c r="EQ18" s="1558"/>
      <c r="ER18" s="1558"/>
      <c r="ES18" s="1558"/>
      <c r="ET18" s="1558"/>
      <c r="EU18" s="1558"/>
      <c r="EV18" s="1558"/>
      <c r="EW18" s="1558"/>
      <c r="EX18" s="1558"/>
      <c r="EY18" s="1558"/>
      <c r="EZ18" s="1558"/>
      <c r="FA18" s="1558"/>
      <c r="FB18" s="1558"/>
      <c r="FC18" s="1558"/>
      <c r="FD18" s="1558"/>
      <c r="FE18" s="1558"/>
      <c r="FF18" s="1558"/>
      <c r="FG18" s="1558"/>
      <c r="FH18" s="1558"/>
      <c r="FI18" s="1558"/>
      <c r="FJ18" s="1558"/>
      <c r="FK18" s="1558"/>
      <c r="FL18" s="1558"/>
      <c r="FM18" s="1558"/>
      <c r="FN18" s="1558"/>
      <c r="FO18" s="1558"/>
      <c r="FP18" s="1558"/>
      <c r="FQ18" s="1558"/>
      <c r="FR18" s="1558"/>
      <c r="FS18" s="1558"/>
      <c r="FT18" s="1558"/>
      <c r="FU18" s="1558"/>
      <c r="FV18" s="1558"/>
      <c r="FW18" s="1557"/>
      <c r="FX18" s="1561"/>
    </row>
    <row s="20122" customFormat="1" customHeight="1" ht="11.25" hidden="1">
      <c r="B19" s="1284"/>
      <c r="E19" s="1300"/>
      <c r="F19" s="1557"/>
      <c r="G19" s="1557"/>
      <c r="H19" s="1557"/>
      <c r="I19" s="1557"/>
      <c r="J19" s="1557"/>
      <c r="K19" s="1557"/>
      <c r="L19" s="1557"/>
      <c r="M19" s="1557"/>
      <c r="N19" s="1557"/>
      <c r="O19" s="1557"/>
      <c r="P19" s="1557"/>
      <c r="Q19" s="1557"/>
      <c r="R19" s="1557"/>
      <c r="S19" s="1557"/>
      <c r="T19" s="1557"/>
      <c r="U19" s="1559"/>
      <c r="V19" s="1559"/>
      <c r="W19" s="1559"/>
      <c r="X19" s="1559"/>
      <c r="Y19" s="1559"/>
      <c r="Z19" s="1559"/>
      <c r="AA19" s="1559"/>
      <c r="AB19" s="1557"/>
      <c r="AC19" s="1557"/>
      <c r="AD19" s="1557"/>
      <c r="AE19" s="1557"/>
      <c r="AF19" s="1557"/>
      <c r="AG19" s="1557"/>
      <c r="AH19" s="1557"/>
      <c r="AI19" s="1557"/>
      <c r="AJ19" s="1557"/>
      <c r="AK19" s="1557"/>
      <c r="AL19" s="1557"/>
      <c r="AM19" s="1557"/>
      <c r="AN19" s="1557"/>
      <c r="AO19" s="1557"/>
      <c r="AP19" s="1557"/>
      <c r="AQ19" s="1557"/>
      <c r="AR19" s="1557"/>
      <c r="AS19" s="1557"/>
      <c r="AT19" s="1557"/>
      <c r="AU19" s="1557"/>
      <c r="AV19" s="1557"/>
      <c r="AW19" s="1557"/>
      <c r="AX19" s="1557"/>
      <c r="AY19" s="1557"/>
      <c r="AZ19" s="1557"/>
      <c r="BA19" s="1557"/>
      <c r="BB19" s="1557"/>
      <c r="BC19" s="1557"/>
      <c r="BD19" s="1557"/>
      <c r="BE19" s="1557"/>
      <c r="BF19" s="1557"/>
      <c r="BG19" s="1557"/>
      <c r="BH19" s="1557"/>
      <c r="BI19" s="1557"/>
      <c r="BJ19" s="1557"/>
      <c r="BK19" s="1557"/>
      <c r="BL19" s="1557"/>
      <c r="BM19" s="1557"/>
      <c r="BN19" s="1557"/>
      <c r="BO19" s="1557"/>
      <c r="BP19" s="1557"/>
      <c r="BQ19" s="1557"/>
      <c r="BR19" s="1557"/>
      <c r="BS19" s="1557"/>
      <c r="BT19" s="1557"/>
      <c r="BU19" s="1557"/>
      <c r="BV19" s="1557"/>
      <c r="BW19" s="1557"/>
      <c r="BX19" s="1557"/>
      <c r="BY19" s="1557"/>
      <c r="BZ19" s="1557"/>
      <c r="CA19" s="1557"/>
      <c r="CB19" s="1557"/>
      <c r="CC19" s="1557"/>
      <c r="CD19" s="1557"/>
      <c r="CE19" s="1557"/>
      <c r="CF19" s="1557"/>
      <c r="CG19" s="1557"/>
      <c r="CH19" s="1557"/>
      <c r="CI19" s="1557"/>
      <c r="CJ19" s="1557"/>
      <c r="CK19" s="1557"/>
      <c r="CL19" s="1557"/>
      <c r="CM19" s="1557"/>
      <c r="CN19" s="1557"/>
      <c r="CO19" s="1557"/>
      <c r="CP19" s="1557"/>
      <c r="CQ19" s="1557"/>
      <c r="CR19" s="1557"/>
      <c r="CS19" s="1557"/>
      <c r="CT19" s="1557"/>
      <c r="CU19" s="1557"/>
      <c r="CV19" s="1557"/>
      <c r="CW19" s="1557"/>
      <c r="CX19" s="1557"/>
      <c r="CY19" s="1557"/>
      <c r="CZ19" s="1557"/>
      <c r="DA19" s="1557"/>
      <c r="DB19" s="1557"/>
      <c r="DC19" s="1557"/>
      <c r="DD19" s="1557"/>
      <c r="DE19" s="1557"/>
      <c r="DF19" s="1557"/>
      <c r="DG19" s="1557"/>
      <c r="DH19" s="1557"/>
      <c r="DI19" s="1557"/>
      <c r="DJ19" s="1557"/>
      <c r="DK19" s="1557"/>
      <c r="DL19" s="1557"/>
      <c r="DM19" s="1557"/>
      <c r="DN19" s="1557"/>
      <c r="DO19" s="1557"/>
      <c r="DP19" s="1557"/>
      <c r="DQ19" s="1557"/>
      <c r="DR19" s="1557"/>
      <c r="DS19" s="1557"/>
      <c r="DT19" s="1557"/>
      <c r="DU19" s="1557"/>
      <c r="DV19" s="1557"/>
      <c r="DW19" s="1557"/>
      <c r="DX19" s="1557"/>
      <c r="DY19" s="1557"/>
      <c r="DZ19" s="1557"/>
      <c r="EA19" s="1557"/>
      <c r="EB19" s="1557"/>
      <c r="EC19" s="1557"/>
      <c r="ED19" s="1557"/>
      <c r="EE19" s="1557"/>
      <c r="EF19" s="1557"/>
      <c r="EG19" s="1557"/>
      <c r="EH19" s="1557"/>
      <c r="EI19" s="1557"/>
      <c r="EJ19" s="1557"/>
      <c r="EK19" s="1557"/>
      <c r="EL19" s="1557"/>
      <c r="EM19" s="1557"/>
      <c r="EN19" s="1557"/>
      <c r="EO19" s="1557"/>
      <c r="EP19" s="1557"/>
      <c r="EQ19" s="1557"/>
      <c r="ER19" s="1557"/>
      <c r="ES19" s="1557"/>
      <c r="ET19" s="1557"/>
      <c r="EU19" s="1557"/>
      <c r="EV19" s="1557"/>
      <c r="EW19" s="1557"/>
      <c r="EX19" s="1557"/>
      <c r="EY19" s="1557"/>
      <c r="EZ19" s="1557"/>
      <c r="FA19" s="1557"/>
      <c r="FB19" s="1557"/>
      <c r="FC19" s="1557"/>
      <c r="FD19" s="1557"/>
      <c r="FE19" s="1557"/>
      <c r="FF19" s="1557"/>
      <c r="FG19" s="1557"/>
      <c r="FH19" s="1557"/>
      <c r="FI19" s="1557"/>
      <c r="FJ19" s="1557"/>
      <c r="FK19" s="1557"/>
      <c r="FL19" s="1557"/>
      <c r="FM19" s="1557"/>
      <c r="FN19" s="1557"/>
      <c r="FO19" s="1557"/>
      <c r="FP19" s="1557"/>
      <c r="FQ19" s="1557"/>
      <c r="FR19" s="1557"/>
      <c r="FS19" s="1557"/>
      <c r="FT19" s="1557"/>
      <c r="FU19" s="1557"/>
      <c r="FV19" s="1557"/>
      <c r="FW19" s="1557"/>
      <c r="FX19" s="1561"/>
    </row>
    <row s="20068" customFormat="1" customHeight="1" ht="11.25" hidden="1">
      <c r="B20" s="1301"/>
      <c r="D20" s="1285"/>
      <c r="E20" s="1300"/>
      <c r="F20" s="1562" t="s">
        <v>376</v>
      </c>
      <c r="G20" s="1563"/>
      <c r="H20" s="1564"/>
      <c r="I20" s="1564"/>
      <c r="J20" s="1564"/>
      <c r="K20" s="1564"/>
      <c r="L20" s="1564"/>
      <c r="M20" s="1564"/>
      <c r="N20" s="1564"/>
      <c r="O20" s="1563"/>
      <c r="P20" s="1563"/>
      <c r="Q20" s="1563"/>
      <c r="R20" s="1563"/>
      <c r="S20" s="1563"/>
      <c r="T20" s="1563"/>
      <c r="U20" s="1565"/>
      <c r="V20" s="1565"/>
      <c r="W20" s="1565"/>
      <c r="X20" s="1565"/>
      <c r="Y20" s="1565"/>
      <c r="Z20" s="1565"/>
      <c r="AA20" s="1565"/>
      <c r="AB20" s="1563"/>
      <c r="AC20" s="1564"/>
      <c r="AD20" s="1564"/>
      <c r="AE20" s="1564"/>
      <c r="AF20" s="1564"/>
      <c r="AG20" s="1564"/>
      <c r="AH20" s="1564"/>
      <c r="AI20" s="1564"/>
      <c r="AJ20" s="1564"/>
      <c r="AK20" s="1564"/>
      <c r="AL20" s="1564"/>
      <c r="AM20" s="1564"/>
      <c r="AN20" s="1564"/>
      <c r="AO20" s="1564"/>
      <c r="AP20" s="1564"/>
      <c r="AQ20" s="1564"/>
      <c r="AR20" s="1564"/>
      <c r="AS20" s="1564"/>
      <c r="AT20" s="1564"/>
      <c r="AU20" s="1564"/>
      <c r="AV20" s="1564"/>
      <c r="AW20" s="1564"/>
      <c r="AX20" s="1564"/>
      <c r="AY20" s="1564"/>
      <c r="AZ20" s="1564"/>
      <c r="BA20" s="1564"/>
      <c r="BB20" s="1564"/>
      <c r="BC20" s="1564"/>
      <c r="BD20" s="1564"/>
      <c r="BE20" s="1564"/>
      <c r="BF20" s="1564"/>
      <c r="BG20" s="1564"/>
      <c r="BH20" s="1564"/>
      <c r="BI20" s="1564"/>
      <c r="BJ20" s="1564"/>
      <c r="BK20" s="1564"/>
      <c r="BL20" s="1564"/>
      <c r="BM20" s="1564"/>
      <c r="BN20" s="1564"/>
      <c r="BO20" s="1564"/>
      <c r="BP20" s="1564"/>
      <c r="BQ20" s="1564"/>
      <c r="BR20" s="1564"/>
      <c r="BS20" s="1564"/>
      <c r="BT20" s="1564"/>
      <c r="BU20" s="1564"/>
      <c r="BV20" s="1564"/>
      <c r="BW20" s="1564"/>
      <c r="BX20" s="1564"/>
      <c r="BY20" s="1564"/>
      <c r="BZ20" s="1564"/>
      <c r="CA20" s="1564"/>
      <c r="CB20" s="1564"/>
      <c r="CC20" s="1564"/>
      <c r="CD20" s="1564"/>
      <c r="CE20" s="1564"/>
      <c r="CF20" s="1564"/>
      <c r="CG20" s="1564"/>
      <c r="CH20" s="1564"/>
      <c r="CI20" s="1564"/>
      <c r="CJ20" s="1564"/>
      <c r="CK20" s="1564"/>
      <c r="CL20" s="1566"/>
      <c r="CM20" s="1566"/>
      <c r="CN20" s="1566"/>
      <c r="CO20" s="1566"/>
      <c r="CP20" s="1566"/>
      <c r="CQ20" s="1566"/>
      <c r="CR20" s="1566"/>
      <c r="CS20" s="1566"/>
      <c r="CT20" s="1566"/>
      <c r="CU20" s="1566"/>
      <c r="CV20" s="1566"/>
      <c r="CW20" s="1566"/>
      <c r="CX20" s="1566"/>
      <c r="CY20" s="1566"/>
      <c r="CZ20" s="1566"/>
      <c r="DA20" s="1566"/>
      <c r="DB20" s="1566"/>
      <c r="DC20" s="1566"/>
      <c r="DD20" s="1566"/>
      <c r="DE20" s="1566"/>
      <c r="DF20" s="1566"/>
      <c r="DG20" s="1566"/>
      <c r="DH20" s="1566"/>
      <c r="DI20" s="1566"/>
      <c r="DJ20" s="1566"/>
      <c r="DK20" s="1566"/>
      <c r="DL20" s="1566"/>
      <c r="DM20" s="1566"/>
      <c r="DN20" s="1566"/>
      <c r="DO20" s="1566"/>
      <c r="DP20" s="1566"/>
      <c r="DQ20" s="1566"/>
      <c r="DR20" s="1566"/>
      <c r="DS20" s="1566"/>
      <c r="DT20" s="1566"/>
      <c r="DU20" s="1566"/>
      <c r="DV20" s="1566"/>
      <c r="DW20" s="1566"/>
      <c r="DX20" s="1566"/>
      <c r="DY20" s="1566"/>
      <c r="DZ20" s="1566"/>
      <c r="EA20" s="1566"/>
      <c r="EB20" s="1566"/>
      <c r="EC20" s="1566"/>
      <c r="ED20" s="1566"/>
      <c r="EE20" s="1566"/>
      <c r="EF20" s="1566"/>
      <c r="EG20" s="1566"/>
      <c r="EH20" s="1566"/>
      <c r="EI20" s="1566"/>
      <c r="EJ20" s="1566"/>
      <c r="EK20" s="1566"/>
      <c r="EL20" s="1566"/>
      <c r="EM20" s="1566"/>
      <c r="EN20" s="1566"/>
      <c r="EO20" s="1566"/>
      <c r="EP20" s="1566"/>
      <c r="EQ20" s="1566"/>
      <c r="ER20" s="1566"/>
      <c r="ES20" s="1566"/>
      <c r="ET20" s="1566"/>
      <c r="EU20" s="1566"/>
      <c r="EV20" s="1566"/>
      <c r="EW20" s="1566"/>
      <c r="EX20" s="1566"/>
      <c r="EY20" s="1566"/>
      <c r="EZ20" s="1566"/>
      <c r="FA20" s="1566"/>
      <c r="FB20" s="1566"/>
      <c r="FC20" s="1566"/>
      <c r="FD20" s="1566"/>
      <c r="FE20" s="1566"/>
      <c r="FF20" s="1566"/>
      <c r="FG20" s="1566"/>
      <c r="FH20" s="1566"/>
      <c r="FI20" s="1566"/>
      <c r="FJ20" s="1566"/>
      <c r="FK20" s="1566"/>
      <c r="FL20" s="1566"/>
      <c r="FM20" s="1566"/>
      <c r="FN20" s="1566"/>
      <c r="FO20" s="1566"/>
      <c r="FP20" s="1566"/>
      <c r="FQ20" s="1566"/>
      <c r="FR20" s="1566"/>
      <c r="FS20" s="1566"/>
      <c r="FT20" s="1566"/>
      <c r="FU20" s="1566"/>
      <c r="FV20" s="1566"/>
      <c r="FW20" s="1566"/>
      <c r="FX20" s="1567"/>
    </row>
    <row s="20068" customFormat="1" customHeight="1" ht="12">
      <c r="A21" s="1302"/>
      <c r="B21" s="1302"/>
      <c r="C21" s="1302"/>
      <c r="D21" s="1302"/>
      <c r="E21" s="1302"/>
      <c r="F21" s="1300"/>
      <c r="G21" s="1300"/>
      <c r="H21" s="1300"/>
      <c r="I21" s="1300"/>
      <c r="J21" s="1300"/>
      <c r="K21" s="1300"/>
      <c r="L21" s="1300"/>
      <c r="M21" s="1300"/>
      <c r="N21" s="1300"/>
      <c r="O21" s="1300"/>
      <c r="P21" s="1300"/>
      <c r="Q21" s="1300"/>
      <c r="R21" s="1300"/>
      <c r="S21" s="1303"/>
      <c r="T21" s="1303"/>
      <c r="U21" s="1300"/>
      <c r="V21" s="1300"/>
      <c r="W21" s="1300"/>
      <c r="X21" s="1300"/>
      <c r="Y21" s="1300"/>
      <c r="Z21" s="1300"/>
      <c r="AA21" s="1300"/>
      <c r="AB21" s="1300"/>
      <c r="AC21" s="1300"/>
      <c r="AD21" s="1300"/>
      <c r="AE21" s="1300"/>
      <c r="AF21" s="1300"/>
      <c r="AG21" s="1300"/>
      <c r="AH21" s="1300"/>
      <c r="AI21" s="1300"/>
      <c r="AJ21" s="1300"/>
      <c r="AK21" s="1300"/>
      <c r="AL21" s="1300"/>
      <c r="AM21" s="1300"/>
      <c r="AN21" s="1300"/>
      <c r="AO21" s="1300"/>
      <c r="AP21" s="1300"/>
      <c r="AQ21" s="1300"/>
      <c r="AR21" s="1300"/>
      <c r="AS21" s="1300"/>
      <c r="AT21" s="1300"/>
      <c r="AU21" s="1300"/>
      <c r="AV21" s="1300"/>
      <c r="AW21" s="1300"/>
      <c r="AX21" s="1300"/>
      <c r="AY21" s="1300"/>
      <c r="AZ21" s="1300"/>
      <c r="BA21" s="1300"/>
      <c r="BB21" s="1300"/>
      <c r="BC21" s="1300"/>
      <c r="BD21" s="1300"/>
      <c r="BE21" s="1300"/>
      <c r="BF21" s="1300"/>
      <c r="BG21" s="1300"/>
      <c r="BH21" s="1300"/>
      <c r="BI21" s="1300"/>
      <c r="BJ21" s="1300"/>
      <c r="BK21" s="1300"/>
      <c r="BL21" s="1300"/>
      <c r="BM21" s="1300"/>
      <c r="BN21" s="1300"/>
      <c r="BO21" s="1300"/>
      <c r="BP21" s="1300"/>
      <c r="BQ21" s="1300"/>
      <c r="BR21" s="1300"/>
      <c r="BS21" s="1300"/>
      <c r="BT21" s="1300"/>
      <c r="BU21" s="1300"/>
      <c r="BV21" s="1300"/>
      <c r="BW21" s="1300"/>
      <c r="BX21" s="1300"/>
      <c r="BY21" s="1300"/>
      <c r="BZ21" s="1300"/>
      <c r="CA21" s="1300"/>
      <c r="CB21" s="1300"/>
      <c r="CC21" s="1300"/>
      <c r="CD21" s="1300"/>
      <c r="CE21" s="1300"/>
      <c r="CF21" s="1300"/>
      <c r="CG21" s="1300"/>
      <c r="CH21" s="1300"/>
      <c r="CI21" s="1300"/>
      <c r="CJ21" s="1300"/>
      <c r="CK21" s="1300"/>
      <c r="CL21" s="1300"/>
      <c r="CM21" s="1300"/>
      <c r="CN21" s="1300"/>
      <c r="CO21" s="1300"/>
      <c r="CP21" s="1300"/>
      <c r="CQ21" s="1300"/>
      <c r="CR21" s="1300"/>
      <c r="CS21" s="1300"/>
      <c r="CT21" s="1300"/>
      <c r="CU21" s="1300"/>
      <c r="CV21" s="1300"/>
      <c r="CW21" s="1300"/>
      <c r="CX21" s="1300"/>
      <c r="CY21" s="1300"/>
      <c r="CZ21" s="1300"/>
      <c r="DA21" s="1300"/>
      <c r="DB21" s="1300"/>
      <c r="DC21" s="1300"/>
      <c r="DD21" s="1300"/>
      <c r="DE21" s="1300"/>
      <c r="DF21" s="1300"/>
      <c r="DG21" s="1300"/>
      <c r="DH21" s="1300"/>
      <c r="DI21" s="1300"/>
      <c r="DJ21" s="1300"/>
      <c r="DK21" s="1300"/>
      <c r="DL21" s="1300"/>
      <c r="DM21" s="1300"/>
      <c r="DN21" s="1300"/>
      <c r="DO21" s="1300"/>
      <c r="DP21" s="1300"/>
      <c r="DQ21" s="1300"/>
      <c r="DR21" s="1300"/>
      <c r="DS21" s="1300"/>
      <c r="DT21" s="1300"/>
      <c r="DU21" s="1300"/>
      <c r="DV21" s="1300"/>
      <c r="DW21" s="1300"/>
      <c r="DX21" s="1300"/>
      <c r="DY21" s="1300"/>
      <c r="DZ21" s="1300"/>
      <c r="EA21" s="1300"/>
      <c r="EB21" s="1300"/>
      <c r="EC21" s="1300"/>
      <c r="ED21" s="1300"/>
      <c r="EE21" s="1300"/>
      <c r="EF21" s="1300"/>
      <c r="EG21" s="1300"/>
      <c r="EH21" s="1300"/>
      <c r="EI21" s="1300"/>
      <c r="EJ21" s="1300"/>
      <c r="EK21" s="1300"/>
      <c r="EL21" s="1300"/>
      <c r="EM21" s="1300"/>
      <c r="EN21" s="1300"/>
      <c r="EO21" s="1300"/>
      <c r="EP21" s="1300"/>
      <c r="EQ21" s="1300"/>
      <c r="ER21" s="1300"/>
      <c r="ES21" s="1300"/>
      <c r="ET21" s="1300"/>
      <c r="EU21" s="1300"/>
      <c r="EV21" s="1300"/>
      <c r="EW21" s="1300"/>
      <c r="EX21" s="1300"/>
      <c r="EY21" s="1300"/>
      <c r="EZ21" s="1300"/>
      <c r="FA21" s="1300"/>
      <c r="FB21" s="1300"/>
      <c r="FC21" s="1300"/>
      <c r="FD21" s="1300"/>
      <c r="FE21" s="1300"/>
      <c r="FF21" s="1300"/>
      <c r="FG21" s="1300"/>
      <c r="FH21" s="1300"/>
      <c r="FI21" s="1300"/>
      <c r="FJ21" s="1300"/>
      <c r="FK21" s="1300"/>
      <c r="FL21" s="1300"/>
      <c r="FM21" s="1300"/>
      <c r="FN21" s="1300"/>
      <c r="FO21" s="1300"/>
      <c r="FP21" s="1300"/>
      <c r="FQ21" s="1300"/>
      <c r="FR21" s="1300"/>
      <c r="FS21" s="1300"/>
      <c r="FT21" s="1300"/>
      <c r="FU21" s="1300"/>
      <c r="FV21" s="1300"/>
      <c r="FW21" s="1300"/>
      <c r="FX21" s="1302"/>
      <c r="FY21" s="1302"/>
      <c r="FZ21" s="1302"/>
      <c r="GA21" s="1302"/>
      <c r="GB21" s="1302"/>
    </row>
    <row s="20068" customFormat="1" customHeight="1" ht="12">
      <c r="A22" s="1302"/>
      <c r="B22" s="1302"/>
      <c r="C22" s="1302"/>
      <c r="D22" s="1302"/>
      <c r="E22" s="1302"/>
      <c r="FX22" s="1302"/>
      <c r="FY22" s="1302"/>
      <c r="FZ22" s="1302"/>
      <c r="GA22" s="1302"/>
      <c r="GB22" s="1302"/>
    </row>
    <row s="20138" customFormat="1" customHeight="1" ht="12">
      <c r="A23" s="1424"/>
      <c r="B23" s="1424"/>
      <c r="C23" s="1424"/>
      <c r="D23" s="1424"/>
      <c r="E23" s="1424"/>
      <c r="O23" s="1426"/>
      <c r="P23" s="1426"/>
      <c r="Q23" s="1426"/>
      <c r="R23" s="1426"/>
      <c r="S23" s="1426"/>
      <c r="T23" s="1426"/>
      <c r="U23" s="1426"/>
      <c r="V23" s="1426"/>
      <c r="W23" s="1426"/>
      <c r="X23" s="1426"/>
      <c r="Y23" s="1426"/>
      <c r="Z23" s="1426"/>
      <c r="AA23" s="1426"/>
      <c r="AB23" s="1426"/>
      <c r="AC23" s="1426"/>
      <c r="AD23" s="1426"/>
      <c r="AE23" s="1426"/>
      <c r="AF23" s="1426"/>
      <c r="AG23" s="1426"/>
      <c r="AH23" s="1426"/>
      <c r="AI23" s="1426"/>
      <c r="AJ23" s="1426"/>
      <c r="AK23" s="1426"/>
      <c r="AL23" s="1426"/>
      <c r="AM23" s="1426"/>
      <c r="AN23" s="1426"/>
      <c r="AO23" s="1426"/>
      <c r="AP23" s="1426"/>
      <c r="AQ23" s="1426"/>
      <c r="AR23" s="1426"/>
      <c r="AS23" s="1426"/>
      <c r="AT23" s="1426"/>
      <c r="AU23" s="1426"/>
      <c r="AV23" s="1426"/>
      <c r="AW23" s="1426"/>
      <c r="AX23" s="1426"/>
      <c r="AY23" s="1426"/>
      <c r="AZ23" s="1426"/>
      <c r="BA23" s="1426"/>
      <c r="BB23" s="1426"/>
      <c r="BC23" s="1426"/>
      <c r="BD23" s="1426"/>
      <c r="BE23" s="1426"/>
      <c r="BF23" s="1426"/>
      <c r="BG23" s="1426"/>
      <c r="BH23" s="1426"/>
      <c r="BI23" s="1426"/>
      <c r="BJ23" s="1426"/>
      <c r="BK23" s="1426"/>
      <c r="BL23" s="1426"/>
      <c r="BM23" s="1426"/>
      <c r="BN23" s="1426"/>
      <c r="BO23" s="1426"/>
      <c r="BP23" s="1426"/>
      <c r="BQ23" s="1426"/>
      <c r="BR23" s="1426"/>
      <c r="BS23" s="1426"/>
      <c r="BT23" s="1427"/>
      <c r="BU23" s="1427"/>
      <c r="BV23" s="1427"/>
      <c r="BW23" s="1427"/>
      <c r="BX23" s="1427"/>
      <c r="BY23" s="1427"/>
      <c r="BZ23" s="1427"/>
      <c r="CA23" s="1427"/>
      <c r="CB23" s="1427"/>
      <c r="CC23" s="1427"/>
      <c r="CD23" s="1427"/>
      <c r="CE23" s="1427"/>
      <c r="CF23" s="1427"/>
      <c r="CG23" s="1427"/>
      <c r="CH23" s="1427"/>
      <c r="CI23" s="1427"/>
      <c r="CJ23" s="1427"/>
      <c r="CK23" s="1427"/>
      <c r="CL23" s="1427"/>
      <c r="CM23" s="1427"/>
      <c r="CN23" s="1427"/>
      <c r="CO23" s="1427"/>
      <c r="CP23" s="1427"/>
      <c r="CQ23" s="1427"/>
      <c r="CR23" s="1427"/>
      <c r="CS23" s="1427"/>
      <c r="CT23" s="1427"/>
      <c r="CU23" s="1427"/>
      <c r="CV23" s="1427"/>
      <c r="CW23" s="1427"/>
      <c r="CX23" s="1427"/>
      <c r="CY23" s="1427"/>
      <c r="CZ23" s="1427"/>
      <c r="DA23" s="1427"/>
      <c r="DB23" s="1427"/>
      <c r="DC23" s="1427"/>
      <c r="DD23" s="1427"/>
      <c r="DE23" s="1427"/>
      <c r="DF23" s="1427"/>
      <c r="DG23" s="1427"/>
      <c r="DH23" s="1427"/>
      <c r="DI23" s="1427"/>
      <c r="DJ23" s="1427"/>
      <c r="DK23" s="1427"/>
      <c r="DL23" s="1427"/>
      <c r="DM23" s="1427"/>
      <c r="DN23" s="1427"/>
      <c r="DO23" s="1427"/>
      <c r="DP23" s="1427"/>
      <c r="DQ23" s="1427"/>
      <c r="DR23" s="1427"/>
      <c r="DS23" s="1427"/>
      <c r="DT23" s="1427"/>
      <c r="DU23" s="1427"/>
      <c r="DV23" s="1427"/>
      <c r="DW23" s="1427"/>
      <c r="DX23" s="1427"/>
      <c r="FX23" s="1424"/>
      <c r="FY23" s="1424"/>
      <c r="FZ23" s="1424"/>
      <c r="GA23" s="1424"/>
      <c r="GB23" s="1424"/>
    </row>
    <row customHeight="1" ht="12">
      <c r="S24" s="1299"/>
      <c r="T24" s="1299"/>
      <c r="U24" s="1299"/>
      <c r="V24" s="1299"/>
      <c r="W24" s="1299"/>
      <c r="X24" s="1299"/>
      <c r="Y24" s="1299"/>
      <c r="Z24" s="1299"/>
      <c r="AA24" s="1299"/>
      <c r="AB24" s="1299"/>
      <c r="FX24" s="1299"/>
      <c r="FY24" s="1299"/>
      <c r="FZ24" s="1299"/>
      <c r="GA24" s="1299"/>
      <c r="GB24" s="1299"/>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9CE27E-6ACB-9966-1CE3-28E67C93401A}" mc:Ignorable="x14ac xr xr2 xr3">
  <sheetPr>
    <tabColor theme="2" tint="-0.1"/>
  </sheetPr>
  <dimension ref="A1:R22"/>
  <sheetViews>
    <sheetView topLeftCell="A1" showGridLines="0" zoomScale="90" workbookViewId="0">
      <selection activeCell="A1" sqref="A1"/>
    </sheetView>
  </sheetViews>
  <sheetFormatPr defaultColWidth="10.57421875" customHeight="1" defaultRowHeight="15"/>
  <cols>
    <col min="1" max="1" style="18998" width="9.140625" hidden="1" customWidth="1"/>
    <col min="2" max="2" style="19001" width="9.140625" hidden="1" customWidth="1"/>
    <col min="3" max="3" style="19957" width="4.7109375" customWidth="1"/>
    <col min="4" max="4" style="19001" width="6.28125" customWidth="1"/>
    <col min="5" max="5" style="19001" width="36.7109375" customWidth="1"/>
    <col min="6" max="6" style="19001" width="9.57421875" customWidth="1"/>
    <col min="7" max="7" style="18482" width="42.421875" hidden="1" customWidth="1"/>
    <col min="8" max="8" style="19001" width="40.7109375" customWidth="1"/>
    <col min="9" max="9" style="18483" width="93.421875" customWidth="1"/>
    <col min="10" max="17" style="19001" width="10.57421875"/>
    <col min="18" max="18" style="19958" width="10.57421875"/>
  </cols>
  <sheetData>
    <row s="18483" customFormat="1" customHeight="1" ht="15" hidden="1">
      <c r="C1" s="1033"/>
      <c r="H1" s="778">
        <v>4</v>
      </c>
      <c r="R1" s="781"/>
    </row>
    <row customHeight="1" ht="22.5" hidden="1">
      <c r="C2" s="2295" t="s">
        <v>530</v>
      </c>
      <c r="D2" s="900"/>
      <c r="E2" s="1024"/>
      <c r="F2" s="2127" t="str">
        <f>IF(TEMPLATE_SPHERE="HEAT","Гкал/час","тыс. куб. м/сутки")</f>
        <v>тыс. куб. м/сутки</v>
      </c>
      <c r="G2" s="1041"/>
      <c r="H2" s="1041"/>
      <c r="I2" s="650"/>
    </row>
    <row s="18483" customFormat="1" customHeight="1" ht="15" hidden="1">
      <c r="C3" s="1033"/>
      <c r="R3" s="781"/>
    </row>
    <row customHeight="1" ht="15">
      <c r="C4" s="538"/>
      <c r="D4" s="870"/>
      <c r="E4" s="870"/>
      <c r="F4" s="870"/>
      <c r="G4" s="870"/>
      <c r="H4" s="870"/>
    </row>
    <row customHeight="1" ht="37.5">
      <c r="C5" s="538"/>
      <c r="D5" s="2505"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505"/>
      <c r="F5" s="2505"/>
      <c r="G5" s="2505"/>
      <c r="H5" s="2505"/>
      <c r="I5" s="898"/>
    </row>
    <row customHeight="1" ht="15">
      <c r="C6" s="538"/>
      <c r="D6" s="2474" t="str">
        <f>IF(org=0,"Не определено",org)</f>
        <v>Филиал "Шатурская ГРЭС" ПАО "Юнипро"</v>
      </c>
      <c r="E6" s="2474"/>
      <c r="F6" s="2474"/>
      <c r="G6" s="2474"/>
      <c r="H6" s="2474"/>
      <c r="I6" s="898"/>
    </row>
    <row s="18482" customFormat="1" customHeight="1" ht="15">
      <c r="A7" s="1120"/>
      <c r="C7" s="538"/>
      <c r="D7" s="1037"/>
      <c r="E7" s="1037"/>
      <c r="F7" s="1037"/>
      <c r="G7" s="1037"/>
      <c r="H7" s="1113"/>
      <c r="I7" s="898"/>
      <c r="R7" s="1036"/>
    </row>
    <row customHeight="1" ht="0.75">
      <c r="C8" s="538"/>
      <c r="D8" s="870"/>
      <c r="E8" s="870"/>
      <c r="F8" s="870"/>
      <c r="G8" s="870"/>
      <c r="H8" s="898" t="s">
        <v>114</v>
      </c>
    </row>
    <row customHeight="1" ht="15">
      <c r="C9" s="538"/>
      <c r="D9" s="1072"/>
      <c r="E9" s="2636" t="s">
        <v>102</v>
      </c>
      <c r="F9" s="2637"/>
      <c r="G9" s="1177" t="str">
        <f>IF(G8="","",INDEX(DIFFERENTIATION_UNMERGE_VD,MATCH(G8,DIFFERENTIATION_ID_DIFF,0)))</f>
        <v/>
      </c>
      <c r="H9" s="1177">
        <f>IF(H8="","",INDEX(DIFFERENTIATION_UNMERGE_VD,MATCH(H8,DIFFERENTIATION_ID_DIFF,0)))</f>
        <v>0</v>
      </c>
      <c r="I9" s="2392" t="s">
        <v>301</v>
      </c>
    </row>
    <row s="18482" customFormat="1" customHeight="1" ht="15">
      <c r="A10" s="1120"/>
      <c r="C10" s="538"/>
      <c r="D10" s="1072"/>
      <c r="E10" s="2636" t="s">
        <v>564</v>
      </c>
      <c r="F10" s="2637"/>
      <c r="G10" s="1177" t="str">
        <f>IF(G8="","",INDEX(DIFFERENTIATION_UNMERGE_AREA,MATCH(G8,DIFFERENTIATION_ID_DIFF,0)))</f>
        <v/>
      </c>
      <c r="H10" s="1177" t="str">
        <f>IF(H8="","",INDEX(DIFFERENTIATION_UNMERGE_AREA,MATCH(H8,DIFFERENTIATION_ID_DIFF,0)))</f>
        <v/>
      </c>
      <c r="I10" s="2392"/>
      <c r="R10" s="1036"/>
    </row>
    <row s="18482" customFormat="1" customHeight="1" ht="15">
      <c r="A11" s="1120"/>
      <c r="C11" s="538"/>
      <c r="D11" s="1072"/>
      <c r="E11" s="2636" t="s">
        <v>565</v>
      </c>
      <c r="F11" s="2637"/>
      <c r="G11" s="1177" t="str">
        <f>IF(G8="","",INDEX(DIFFERENTIATION_UNMERGE_SYSTEM,MATCH(G8,DIFFERENTIATION_ID_DIFF,0)))</f>
        <v/>
      </c>
      <c r="H11" s="1177" t="str">
        <f>IF(H8="","",INDEX(DIFFERENTIATION_UNMERGE_SYSTEM,MATCH(H8,DIFFERENTIATION_ID_DIFF,0)))</f>
        <v>без дифференциации</v>
      </c>
      <c r="I11" s="2392"/>
      <c r="R11" s="1036"/>
    </row>
    <row s="18482" customFormat="1" customHeight="1" ht="15">
      <c r="A12" s="1120"/>
      <c r="C12" s="538"/>
      <c r="D12" s="2638" t="s">
        <v>300</v>
      </c>
      <c r="E12" s="2639"/>
      <c r="F12" s="2639"/>
      <c r="G12" s="1248"/>
      <c r="H12" s="1248"/>
      <c r="I12" s="2392"/>
      <c r="R12" s="1036"/>
    </row>
    <row customHeight="1" ht="33.75">
      <c r="C13" s="538"/>
      <c r="D13" s="1122" t="s">
        <v>85</v>
      </c>
      <c r="E13" s="1121" t="s">
        <v>302</v>
      </c>
      <c r="F13" s="1121" t="s">
        <v>566</v>
      </c>
      <c r="G13" s="1169" t="s">
        <v>303</v>
      </c>
      <c r="H13" s="1115" t="s">
        <v>303</v>
      </c>
      <c r="I13" s="2392"/>
    </row>
    <row customHeight="1" ht="15" hidden="1">
      <c r="C14" s="538"/>
      <c r="D14" s="954" t="s">
        <v>106</v>
      </c>
      <c r="E14" s="954" t="s">
        <v>107</v>
      </c>
      <c r="F14" s="954" t="s">
        <v>87</v>
      </c>
      <c r="G14" s="1020" t="str">
        <f>G1&amp;".1"</f>
        <v>.1</v>
      </c>
      <c r="H14" s="1020" t="str">
        <f>H1&amp;".1"</f>
        <v>4.1</v>
      </c>
      <c r="I14" s="650"/>
    </row>
    <row customHeight="1" ht="15">
      <c r="A15" s="866"/>
      <c r="C15" s="887"/>
      <c r="D15" s="882">
        <v>1</v>
      </c>
      <c r="E15" s="2297" t="str">
        <f>TP_P_A</f>
        <v>Количество поданных заявлений </v>
      </c>
      <c r="F15" s="882" t="s">
        <v>1032</v>
      </c>
      <c r="G15" s="1046"/>
      <c r="H15" s="1046"/>
      <c r="I15" s="56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customHeight="1" ht="15">
      <c r="A16" s="866"/>
      <c r="C16" s="887"/>
      <c r="D16" s="882">
        <v>2</v>
      </c>
      <c r="E16" s="2297" t="str">
        <f>TP_P_B</f>
        <v>Количество исполненных заявлений </v>
      </c>
      <c r="F16" s="882" t="s">
        <v>1032</v>
      </c>
      <c r="G16" s="1046"/>
      <c r="H16" s="1046"/>
      <c r="I16" s="56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customHeight="1" ht="73.5">
      <c r="A17" s="866"/>
      <c r="C17" s="887"/>
      <c r="D17" s="882">
        <v>3</v>
      </c>
      <c r="E17" s="2297"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882" t="s">
        <v>1032</v>
      </c>
      <c r="G17" s="1046"/>
      <c r="H17" s="1046"/>
      <c r="I17" s="569"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row>
    <row customHeight="1" ht="52.5">
      <c r="A18" s="866"/>
      <c r="C18" s="887"/>
      <c r="D18" s="882">
        <v>4</v>
      </c>
      <c r="E18" s="2297" t="str">
        <f>TP_P_V_1</f>
        <v>Причины отказа в заключении договора о подключении (технологическом присоединении) к централизованной системе горячего водоснабжения</v>
      </c>
      <c r="F18" s="882" t="s">
        <v>306</v>
      </c>
      <c r="G18" s="1047"/>
      <c r="H18" s="1047"/>
      <c r="I18" s="119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866"/>
      <c r="C19" s="887"/>
      <c r="D19" s="882">
        <v>5</v>
      </c>
      <c r="E19" s="2297"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882" t="str">
        <f>IF(TEMPLATE_SPHERE="HEAT","Гкал/час","тыс. куб. м/сутки")</f>
        <v>тыс. куб. м/сутки</v>
      </c>
      <c r="G19" s="1048">
        <f>SUM(G20:G22)</f>
        <v>0</v>
      </c>
      <c r="H19" s="1048">
        <f>SUM(H20:H22)</f>
        <v>0</v>
      </c>
      <c r="I19" s="569"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row>
    <row customHeight="1" ht="15" hidden="1">
      <c r="D20" s="870" t="s">
        <v>1033</v>
      </c>
      <c r="E20" s="1049"/>
      <c r="F20" s="870"/>
      <c r="G20" s="870"/>
      <c r="H20" s="870"/>
      <c r="I20" s="2129"/>
    </row>
    <row customHeight="1" ht="27.75">
      <c r="C21" s="812"/>
      <c r="D21" s="900" t="s">
        <v>313</v>
      </c>
      <c r="E21" s="1031"/>
      <c r="F21" s="2127" t="str">
        <f>IF(TEMPLATE_SPHERE="HEAT","Гкал/час","тыс. куб. м/сутки")</f>
        <v>тыс. куб. м/сутки</v>
      </c>
      <c r="G21" s="1041"/>
      <c r="H21" s="1041"/>
      <c r="I21" s="2436"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row>
    <row customHeight="1" ht="15">
      <c r="A22" s="866"/>
      <c r="C22" s="866"/>
      <c r="D22" s="708"/>
      <c r="E22" s="941" t="s">
        <v>1034</v>
      </c>
      <c r="F22" s="933"/>
      <c r="G22" s="933"/>
      <c r="H22" s="933"/>
      <c r="I22" s="2438"/>
      <c r="R22" s="866"/>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66B9F4-053E-2152-4922-DDD22703DF63}"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20207" width="9.140625" hidden="1" customWidth="1"/>
    <col min="2" max="2" style="20208" width="9.140625" hidden="1" customWidth="1"/>
    <col min="3" max="3" style="20209" width="3.7109375" customWidth="1"/>
    <col min="4" max="4" style="18485" width="6.28125" customWidth="1"/>
    <col min="5" max="6" style="18485" width="64.140625" customWidth="1"/>
    <col min="7" max="7" style="18485" width="141.140625" customWidth="1"/>
    <col min="8" max="8" style="18485" width="10.57421875"/>
    <col min="9" max="10" style="18486" width="10.57421875"/>
    <col min="11" max="16" style="18485" width="10.57421875"/>
  </cols>
  <sheetData>
    <row customHeight="1" ht="14.25" hidden="1">
      <c r="M1" s="616"/>
      <c r="N1" s="616"/>
      <c r="P1" s="616"/>
    </row>
    <row customHeight="1" ht="14.25" hidden="1"/>
    <row customHeight="1" ht="14.25" hidden="1"/>
    <row customHeight="1" ht="3">
      <c r="C4" s="458"/>
      <c r="D4" s="445"/>
      <c r="E4" s="445"/>
      <c r="F4" s="446"/>
      <c r="G4" s="446"/>
    </row>
    <row customHeight="1" ht="27.75">
      <c r="C5" s="458"/>
      <c r="D5" s="2719"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720"/>
      <c r="F5" s="2720"/>
      <c r="G5" s="2721"/>
    </row>
    <row s="18482" customFormat="1" customHeight="1" ht="18">
      <c r="A6" s="1243"/>
      <c r="B6" s="778"/>
      <c r="C6" s="737"/>
      <c r="D6" s="2722" t="str">
        <f>IF(org=0,"Не определено",org)</f>
        <v>Филиал "Шатурская ГРЭС" ПАО "Юнипро"</v>
      </c>
      <c r="E6" s="2723"/>
      <c r="F6" s="2723"/>
      <c r="G6" s="2724"/>
      <c r="I6" s="861"/>
      <c r="J6" s="861"/>
    </row>
    <row customHeight="1" ht="14.25">
      <c r="C7" s="458"/>
      <c r="D7" s="445"/>
      <c r="E7" s="457"/>
      <c r="F7" s="1113"/>
      <c r="G7" s="554"/>
    </row>
    <row s="19274" customFormat="1" customHeight="1" ht="0.75">
      <c r="A8" s="2035"/>
      <c r="B8" s="1523"/>
      <c r="C8" s="737"/>
      <c r="D8" s="724"/>
      <c r="E8" s="750"/>
      <c r="F8" s="1113"/>
      <c r="G8" s="554"/>
      <c r="I8" s="1990"/>
      <c r="J8" s="1990"/>
    </row>
    <row customHeight="1" ht="14.25">
      <c r="C9" s="458"/>
      <c r="D9" s="2482" t="s">
        <v>300</v>
      </c>
      <c r="E9" s="2482"/>
      <c r="F9" s="2482"/>
      <c r="G9" s="2725" t="s">
        <v>301</v>
      </c>
    </row>
    <row customHeight="1" ht="14.25">
      <c r="C10" s="458"/>
      <c r="D10" s="467" t="s">
        <v>85</v>
      </c>
      <c r="E10" s="470" t="s">
        <v>302</v>
      </c>
      <c r="F10" s="470" t="s">
        <v>390</v>
      </c>
      <c r="G10" s="2725"/>
    </row>
    <row customHeight="1" ht="12" hidden="1">
      <c r="C11" s="458"/>
      <c r="D11" s="448"/>
      <c r="E11" s="448"/>
      <c r="F11" s="448"/>
      <c r="G11" s="448"/>
    </row>
    <row customHeight="1" ht="62.25">
      <c r="A12" s="553"/>
      <c r="C12" s="458"/>
      <c r="D12" s="509">
        <v>1</v>
      </c>
      <c r="E12" s="55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559" t="s">
        <v>306</v>
      </c>
      <c r="G12" s="513"/>
    </row>
    <row customHeight="1" ht="22.5">
      <c r="A13" s="553"/>
      <c r="C13" s="458"/>
      <c r="D13" s="509" t="s">
        <v>939</v>
      </c>
      <c r="E13" s="55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559" t="s">
        <v>306</v>
      </c>
      <c r="G13" s="513"/>
    </row>
    <row customHeight="1" ht="14.25">
      <c r="A14" s="553"/>
      <c r="C14" s="458"/>
      <c r="D14" s="509" t="s">
        <v>975</v>
      </c>
      <c r="E14" s="556"/>
      <c r="F14" s="574"/>
      <c r="G14" s="243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553"/>
      <c r="C15" s="458"/>
      <c r="D15" s="471"/>
      <c r="E15" s="710" t="s">
        <v>1035</v>
      </c>
      <c r="F15" s="562"/>
      <c r="G15" s="2438"/>
    </row>
    <row customHeight="1" ht="14.25">
      <c r="A16" s="553"/>
      <c r="C16" s="458"/>
      <c r="D16" s="509" t="s">
        <v>941</v>
      </c>
      <c r="E16" s="55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559" t="s">
        <v>306</v>
      </c>
      <c r="G16" s="698"/>
    </row>
    <row customHeight="1" ht="14.25">
      <c r="A17" s="553"/>
      <c r="C17" s="458"/>
      <c r="D17" s="509" t="s">
        <v>983</v>
      </c>
      <c r="E17" s="556"/>
      <c r="F17" s="746"/>
      <c r="G17" s="243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row>
    <row s="20186" customFormat="1" customHeight="1" ht="21">
      <c r="A18" s="704"/>
      <c r="B18" s="508"/>
      <c r="C18" s="668"/>
      <c r="D18" s="708"/>
      <c r="E18" s="710" t="s">
        <v>1036</v>
      </c>
      <c r="F18" s="699"/>
      <c r="G18" s="2438"/>
      <c r="I18" s="711"/>
      <c r="J18" s="711"/>
    </row>
    <row s="18482" customFormat="1" customHeight="1" ht="256.5" hidden="1">
      <c r="A19" s="704"/>
      <c r="B19" s="778"/>
      <c r="C19" s="737"/>
      <c r="D19" s="1245" t="s">
        <v>943</v>
      </c>
      <c r="E19" s="1244" t="s">
        <v>1037</v>
      </c>
      <c r="F19" s="746"/>
      <c r="G19" s="698" t="s">
        <v>1038</v>
      </c>
      <c r="I19" s="861"/>
      <c r="J19" s="861"/>
    </row>
    <row s="20186" customFormat="1" customHeight="1" ht="14.25">
      <c r="A20" s="704"/>
      <c r="B20" s="508"/>
      <c r="C20" s="668"/>
      <c r="D20" s="1246">
        <v>2</v>
      </c>
      <c r="E20" s="691" t="s">
        <v>1039</v>
      </c>
      <c r="F20" s="559" t="s">
        <v>306</v>
      </c>
      <c r="G20" s="698"/>
      <c r="I20" s="711"/>
      <c r="J20" s="711"/>
    </row>
    <row s="20186" customFormat="1" customHeight="1" ht="18.75" hidden="1">
      <c r="A21" s="704"/>
      <c r="B21" s="508"/>
      <c r="C21" s="668"/>
      <c r="D21" s="694" t="s">
        <v>869</v>
      </c>
      <c r="E21" s="693"/>
      <c r="F21" s="692"/>
      <c r="G21" s="702"/>
      <c r="H21" s="695"/>
      <c r="I21" s="711"/>
      <c r="J21" s="711"/>
    </row>
    <row customHeight="1" ht="15">
      <c r="A22" s="553"/>
      <c r="C22" s="458"/>
      <c r="D22" s="471"/>
      <c r="E22" s="564" t="s">
        <v>322</v>
      </c>
      <c r="F22" s="699"/>
      <c r="G22" s="700"/>
    </row>
    <row s="19274" customFormat="1" customHeight="1" ht="22.5" hidden="1">
      <c r="A23" s="704"/>
      <c r="B23" s="1523"/>
      <c r="C23" s="737"/>
      <c r="D23" s="2039" t="s">
        <v>107</v>
      </c>
      <c r="E23" s="558" t="s">
        <v>1040</v>
      </c>
      <c r="F23" s="2036" t="s">
        <v>306</v>
      </c>
      <c r="G23" s="706"/>
      <c r="I23" s="1990"/>
      <c r="J23" s="1990"/>
    </row>
    <row s="19274" customFormat="1" customHeight="1" ht="14.25" hidden="1">
      <c r="A24" s="704"/>
      <c r="B24" s="1523"/>
      <c r="C24" s="737"/>
      <c r="D24" s="2039" t="s">
        <v>622</v>
      </c>
      <c r="E24" s="2038" t="s">
        <v>1041</v>
      </c>
      <c r="F24" s="2036" t="s">
        <v>306</v>
      </c>
      <c r="G24" s="698"/>
      <c r="I24" s="1990"/>
      <c r="J24" s="1990"/>
    </row>
    <row s="19274" customFormat="1" customHeight="1" ht="14.25" hidden="1">
      <c r="A25" s="704"/>
      <c r="B25" s="1523"/>
      <c r="C25" s="737"/>
      <c r="D25" s="2039" t="s">
        <v>625</v>
      </c>
      <c r="E25" s="556"/>
      <c r="F25" s="746"/>
      <c r="G25" s="2436" t="s">
        <v>1042</v>
      </c>
      <c r="I25" s="1990"/>
      <c r="J25" s="1990"/>
    </row>
    <row s="19274" customFormat="1" customHeight="1" ht="22.5" hidden="1">
      <c r="A26" s="704"/>
      <c r="B26" s="1523"/>
      <c r="C26" s="737"/>
      <c r="D26" s="708"/>
      <c r="E26" s="710" t="s">
        <v>1043</v>
      </c>
      <c r="F26" s="699"/>
      <c r="G26" s="2438"/>
      <c r="I26" s="1990"/>
      <c r="J26" s="1990"/>
    </row>
    <row customHeight="1" ht="3"/>
    <row customHeight="1" ht="14.25">
      <c r="D28" s="697"/>
      <c r="E28" s="696"/>
      <c r="F28" s="676"/>
      <c r="G28" s="676"/>
      <c r="H28" s="676"/>
      <c r="I28" s="676"/>
      <c r="J28" s="676"/>
      <c r="K28" s="676"/>
      <c r="L28" s="676"/>
      <c r="M28" s="676"/>
      <c r="N28" s="676"/>
      <c r="O28" s="676"/>
      <c r="P28" s="676"/>
    </row>
    <row customHeight="1" ht="14.25">
      <c r="D29" s="697"/>
      <c r="E29" s="943"/>
    </row>
    <row r="31" customHeight="1" ht="14.25">
      <c r="E31" s="1119"/>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DB1DE1-1FE8-82ED-E92C-7E0BE2E919D7}" mc:Ignorable="x14ac xr xr2 xr3">
  <sheetPr>
    <tabColor theme="6" tint="0.4"/>
  </sheetPr>
  <dimension ref="A1:L44"/>
  <sheetViews>
    <sheetView topLeftCell="A1" showGridLines="0" zoomScale="90" workbookViewId="0">
      <selection activeCell="G35" sqref="G35"/>
    </sheetView>
  </sheetViews>
  <sheetFormatPr defaultColWidth="10.57421875" customHeight="1" defaultRowHeight="14.25"/>
  <cols>
    <col min="1" max="1" style="19228" width="9.140625" hidden="1" customWidth="1"/>
    <col min="2" max="2" style="20208" width="9.140625" hidden="1" customWidth="1"/>
    <col min="3" max="3" style="20209" width="3.7109375" customWidth="1"/>
    <col min="4" max="4" style="18485" width="6.28125" customWidth="1"/>
    <col min="5" max="5" style="18485" width="63.421875" customWidth="1"/>
    <col min="6" max="6" style="18485" width="1.7109375" hidden="1" customWidth="1"/>
    <col min="7" max="8" style="18485" width="35.7109375" customWidth="1"/>
    <col min="9" max="9" style="18485" width="91.57421875" customWidth="1"/>
    <col min="10" max="10" style="18485" width="68.8515625" customWidth="1"/>
    <col min="11" max="12" style="18486" width="10.57421875"/>
  </cols>
  <sheetData>
    <row customHeight="1" ht="14.25" hidden="1"/>
    <row s="19274" customFormat="1" customHeight="1" ht="18.75" hidden="1">
      <c r="A2" s="2049"/>
      <c r="B2" s="1523"/>
      <c r="C2" s="2096" t="s">
        <v>530</v>
      </c>
      <c r="D2" s="2039"/>
      <c r="E2" s="560"/>
      <c r="F2" s="2036"/>
      <c r="G2" s="2036" t="s">
        <v>306</v>
      </c>
      <c r="H2" s="1524"/>
      <c r="K2" s="1990"/>
      <c r="L2" s="1990"/>
    </row>
    <row s="19274" customFormat="1" customHeight="1" ht="14.25" hidden="1">
      <c r="A3" s="1728"/>
      <c r="B3" s="1523"/>
      <c r="C3" s="705"/>
      <c r="K3" s="1990"/>
      <c r="L3" s="1990"/>
    </row>
    <row s="19274" customFormat="1" customHeight="1" ht="18.75" hidden="1">
      <c r="A4" s="2049"/>
      <c r="B4" s="1523"/>
      <c r="C4" s="2096" t="s">
        <v>530</v>
      </c>
      <c r="D4" s="2039"/>
      <c r="E4" s="566" t="s">
        <v>1044</v>
      </c>
      <c r="F4" s="2036"/>
      <c r="G4" s="618"/>
      <c r="H4" s="2036" t="s">
        <v>306</v>
      </c>
      <c r="K4" s="1990"/>
      <c r="L4" s="1990"/>
    </row>
    <row s="19274" customFormat="1" customHeight="1" ht="14.25" hidden="1">
      <c r="A5" s="1728"/>
      <c r="B5" s="1523"/>
      <c r="C5" s="705"/>
      <c r="K5" s="1990"/>
      <c r="L5" s="1990"/>
    </row>
    <row s="19274" customFormat="1" customHeight="1" ht="18.75" hidden="1">
      <c r="A6" s="2049"/>
      <c r="B6" s="1523"/>
      <c r="C6" s="2096" t="s">
        <v>530</v>
      </c>
      <c r="D6" s="2039"/>
      <c r="E6" s="567" t="s">
        <v>1045</v>
      </c>
      <c r="F6" s="2036"/>
      <c r="G6" s="618"/>
      <c r="H6" s="2036" t="s">
        <v>306</v>
      </c>
      <c r="K6" s="1990"/>
      <c r="L6" s="1990"/>
    </row>
    <row s="19274" customFormat="1" customHeight="1" ht="14.25" hidden="1">
      <c r="A7" s="1728"/>
      <c r="B7" s="1523"/>
      <c r="C7" s="705"/>
      <c r="K7" s="1990"/>
      <c r="L7" s="1990"/>
    </row>
    <row s="19274" customFormat="1" customHeight="1" ht="18.75" hidden="1">
      <c r="A8" s="2049"/>
      <c r="B8" s="1523"/>
      <c r="C8" s="2096" t="s">
        <v>530</v>
      </c>
      <c r="D8" s="2039"/>
      <c r="E8" s="567" t="s">
        <v>1046</v>
      </c>
      <c r="F8" s="2036"/>
      <c r="G8" s="618"/>
      <c r="H8" s="2036" t="s">
        <v>306</v>
      </c>
      <c r="K8" s="1990"/>
      <c r="L8" s="1990"/>
    </row>
    <row s="19274" customFormat="1" customHeight="1" ht="14.25" hidden="1">
      <c r="A9" s="1728"/>
      <c r="B9" s="1523"/>
      <c r="C9" s="705"/>
      <c r="K9" s="1990"/>
      <c r="L9" s="1990"/>
    </row>
    <row s="19274" customFormat="1" customHeight="1" ht="18.75" hidden="1">
      <c r="A10" s="2049"/>
      <c r="B10" s="1523"/>
      <c r="C10" s="2096" t="s">
        <v>530</v>
      </c>
      <c r="D10" s="2039"/>
      <c r="E10" s="567" t="s">
        <v>1047</v>
      </c>
      <c r="F10" s="2036"/>
      <c r="G10" s="2040"/>
      <c r="H10" s="2036" t="s">
        <v>306</v>
      </c>
      <c r="K10" s="1990"/>
      <c r="L10" s="1990" t="s">
        <v>1048</v>
      </c>
    </row>
    <row customHeight="1" ht="14.25" hidden="1"/>
    <row customHeight="1" ht="14.25" hidden="1"/>
    <row customHeight="1" ht="14.25">
      <c r="C13" s="458"/>
      <c r="D13" s="445"/>
      <c r="E13" s="445"/>
      <c r="F13" s="445"/>
      <c r="G13" s="445"/>
      <c r="H13" s="446"/>
      <c r="I13" s="446"/>
    </row>
    <row customHeight="1" ht="27.75">
      <c r="C14" s="458"/>
      <c r="D14" s="2719"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720"/>
      <c r="F14" s="2720"/>
      <c r="G14" s="2720"/>
      <c r="H14" s="2721"/>
      <c r="J14" s="1997"/>
    </row>
    <row s="19274" customFormat="1" customHeight="1" ht="14.25">
      <c r="A15" s="1728"/>
      <c r="B15" s="1523"/>
      <c r="C15" s="737"/>
      <c r="D15" s="2722" t="str">
        <f>IF(org=0,"Не определено",org)</f>
        <v>Филиал "Шатурская ГРЭС" ПАО "Юнипро"</v>
      </c>
      <c r="E15" s="2723"/>
      <c r="F15" s="2723"/>
      <c r="G15" s="2723"/>
      <c r="H15" s="2724"/>
      <c r="J15" s="1213"/>
      <c r="K15" s="1990"/>
      <c r="L15" s="1990"/>
    </row>
    <row customHeight="1" ht="14.25">
      <c r="C16" s="458"/>
      <c r="D16" s="445"/>
      <c r="E16" s="457"/>
      <c r="F16" s="457"/>
      <c r="G16" s="457"/>
      <c r="H16" s="1113"/>
      <c r="I16" s="554"/>
    </row>
    <row s="19274" customFormat="1" customHeight="1" ht="14.25" hidden="1">
      <c r="A17" s="1728"/>
      <c r="B17" s="1523"/>
      <c r="C17" s="737"/>
      <c r="D17" s="724"/>
      <c r="E17" s="750"/>
      <c r="F17" s="750"/>
      <c r="G17" s="750"/>
      <c r="H17" s="1113"/>
      <c r="I17" s="554"/>
      <c r="K17" s="1990"/>
      <c r="L17" s="1990"/>
    </row>
    <row customHeight="1" ht="21">
      <c r="C18" s="458"/>
      <c r="D18" s="2482" t="s">
        <v>300</v>
      </c>
      <c r="E18" s="2482"/>
      <c r="F18" s="2482"/>
      <c r="G18" s="2482"/>
      <c r="H18" s="2482"/>
      <c r="I18" s="2725" t="s">
        <v>301</v>
      </c>
    </row>
    <row customHeight="1" ht="21">
      <c r="C19" s="458"/>
      <c r="D19" s="467" t="s">
        <v>85</v>
      </c>
      <c r="E19" s="470" t="s">
        <v>302</v>
      </c>
      <c r="F19" s="470"/>
      <c r="G19" s="470" t="s">
        <v>303</v>
      </c>
      <c r="H19" s="470" t="s">
        <v>390</v>
      </c>
      <c r="I19" s="2725"/>
    </row>
    <row customHeight="1" ht="12" hidden="1">
      <c r="C20" s="458"/>
      <c r="D20" s="448"/>
      <c r="E20" s="448"/>
      <c r="F20" s="448"/>
      <c r="G20" s="448"/>
      <c r="H20" s="448"/>
      <c r="I20" s="448"/>
    </row>
    <row customHeight="1" ht="14.25">
      <c r="A21" s="2049"/>
      <c r="C21" s="458"/>
      <c r="D21" s="509">
        <v>1</v>
      </c>
      <c r="E21" s="2727" t="s">
        <v>1049</v>
      </c>
      <c r="F21" s="2727"/>
      <c r="G21" s="2727"/>
      <c r="H21" s="2727"/>
      <c r="I21" s="569"/>
    </row>
    <row customHeight="1" ht="20.25">
      <c r="A22" s="2049"/>
      <c r="C22" s="458"/>
      <c r="D22" s="509" t="s">
        <v>939</v>
      </c>
      <c r="E22" s="555" t="s">
        <v>1050</v>
      </c>
      <c r="F22" s="559"/>
      <c r="G22" s="20220">
        <v>45302.4140162037</v>
      </c>
      <c r="H22" s="559" t="s">
        <v>306</v>
      </c>
      <c r="I22" s="513" t="s">
        <v>1051</v>
      </c>
    </row>
    <row customHeight="1" ht="45">
      <c r="A23" s="2049"/>
      <c r="C23" s="458"/>
      <c r="D23" s="509" t="s">
        <v>941</v>
      </c>
      <c r="E23" s="555" t="s">
        <v>1052</v>
      </c>
      <c r="F23" s="559"/>
      <c r="G23" s="20221" t="s">
        <v>1053</v>
      </c>
      <c r="H23" s="20222" t="s">
        <v>1054</v>
      </c>
      <c r="I23" s="619" t="s">
        <v>1055</v>
      </c>
    </row>
    <row customHeight="1" ht="49.5">
      <c r="A24" s="2049"/>
      <c r="B24" s="508">
        <v>3</v>
      </c>
      <c r="C24" s="458"/>
      <c r="D24" s="509">
        <v>2</v>
      </c>
      <c r="E24" s="58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559"/>
      <c r="G24" s="559" t="s">
        <v>306</v>
      </c>
      <c r="H24" s="11258" t="s">
        <v>1056</v>
      </c>
      <c r="I24" s="620" t="s">
        <v>806</v>
      </c>
    </row>
    <row customHeight="1" ht="46.5">
      <c r="A25" s="2049"/>
      <c r="C25" s="458"/>
      <c r="D25" s="509">
        <v>3</v>
      </c>
      <c r="E25" s="272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726"/>
      <c r="G25" s="2726"/>
      <c r="H25" s="2726"/>
      <c r="I25" s="617"/>
    </row>
    <row customHeight="1" ht="60">
      <c r="A26" s="2049"/>
      <c r="C26" s="458"/>
      <c r="D26" s="509" t="s">
        <v>324</v>
      </c>
      <c r="E26" s="560" t="s">
        <v>1057</v>
      </c>
      <c r="F26" s="559"/>
      <c r="G26" s="559" t="s">
        <v>306</v>
      </c>
      <c r="H26" s="11258" t="s">
        <v>1058</v>
      </c>
      <c r="I26" s="2436" t="s">
        <v>1059</v>
      </c>
    </row>
    <row customHeight="1" ht="15">
      <c r="A27" s="2049" t="s">
        <v>106</v>
      </c>
      <c r="C27" s="458"/>
      <c r="D27" s="471"/>
      <c r="E27" s="564" t="s">
        <v>322</v>
      </c>
      <c r="F27" s="565"/>
      <c r="G27" s="565"/>
      <c r="H27" s="562"/>
      <c r="I27" s="2438"/>
    </row>
    <row customHeight="1" ht="38.25">
      <c r="A28" s="2049"/>
      <c r="B28" s="508">
        <v>3</v>
      </c>
      <c r="C28" s="458"/>
      <c r="D28" s="509">
        <v>4</v>
      </c>
      <c r="E28" s="272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726"/>
      <c r="G28" s="2726"/>
      <c r="H28" s="2726"/>
      <c r="I28" s="617"/>
    </row>
    <row customHeight="1" ht="47.5">
      <c r="A29" s="2049"/>
      <c r="C29" s="458"/>
      <c r="D29" s="509" t="s">
        <v>667</v>
      </c>
      <c r="E29" s="566" t="s">
        <v>1044</v>
      </c>
      <c r="F29" s="559"/>
      <c r="G29" s="618" t="s">
        <v>1060</v>
      </c>
      <c r="H29" s="559" t="s">
        <v>306</v>
      </c>
      <c r="I29" s="2436" t="s">
        <v>1061</v>
      </c>
    </row>
    <row s="20230" customFormat="1" customHeight="1" ht="83.33333333333333">
      <c r="A30" s="11264"/>
      <c r="B30" s="11265"/>
      <c r="C30" s="11266" t="s">
        <v>530</v>
      </c>
      <c r="D30" s="11267" t="s">
        <v>710</v>
      </c>
      <c r="E30" s="11268" t="s">
        <v>1044</v>
      </c>
      <c r="F30" s="11269"/>
      <c r="G30" s="11270" t="s">
        <v>1062</v>
      </c>
      <c r="H30" s="11269" t="s">
        <v>306</v>
      </c>
      <c r="I30" s="11271"/>
      <c r="J30" s="11271"/>
      <c r="K30" s="10039"/>
      <c r="L30" s="10039"/>
    </row>
    <row s="20240" customFormat="1" customHeight="1" ht="175.83333333333334">
      <c r="A31" s="11264"/>
      <c r="B31" s="11265"/>
      <c r="C31" s="11266" t="s">
        <v>530</v>
      </c>
      <c r="D31" s="11267" t="s">
        <v>713</v>
      </c>
      <c r="E31" s="11268" t="s">
        <v>1044</v>
      </c>
      <c r="F31" s="11269"/>
      <c r="G31" s="11270" t="s">
        <v>1063</v>
      </c>
      <c r="H31" s="11269" t="s">
        <v>306</v>
      </c>
      <c r="I31" s="11271"/>
      <c r="J31" s="11271"/>
      <c r="K31" s="10039"/>
      <c r="L31" s="10039"/>
    </row>
    <row customHeight="1" ht="15">
      <c r="A32" s="2049" t="s">
        <v>107</v>
      </c>
      <c r="C32" s="458"/>
      <c r="D32" s="471"/>
      <c r="E32" s="564" t="s">
        <v>322</v>
      </c>
      <c r="F32" s="565"/>
      <c r="G32" s="565"/>
      <c r="H32" s="562"/>
      <c r="I32" s="2438"/>
    </row>
    <row customHeight="1" ht="30">
      <c r="A33" s="2049"/>
      <c r="B33" s="508">
        <v>3</v>
      </c>
      <c r="C33" s="458"/>
      <c r="D33" s="509">
        <v>5</v>
      </c>
      <c r="E33" s="272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3" s="2726"/>
      <c r="G33" s="2726"/>
      <c r="H33" s="2726"/>
      <c r="I33" s="617"/>
    </row>
    <row customHeight="1" ht="26.25">
      <c r="A34" s="2049"/>
      <c r="C34" s="458"/>
      <c r="D34" s="509" t="s">
        <v>313</v>
      </c>
      <c r="E34" s="266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4" s="2668"/>
      <c r="G34" s="2668"/>
      <c r="H34" s="2668"/>
      <c r="I34" s="617"/>
    </row>
    <row customHeight="1" ht="14.25">
      <c r="A35" s="2049"/>
      <c r="C35" s="458"/>
      <c r="D35" s="509" t="s">
        <v>1064</v>
      </c>
      <c r="E35" s="567" t="s">
        <v>1045</v>
      </c>
      <c r="F35" s="559"/>
      <c r="G35" s="618" t="s">
        <v>1065</v>
      </c>
      <c r="H35" s="559" t="s">
        <v>306</v>
      </c>
      <c r="I35" s="2436" t="s">
        <v>1066</v>
      </c>
    </row>
    <row customHeight="1" ht="15">
      <c r="A36" s="2049" t="s">
        <v>87</v>
      </c>
      <c r="C36" s="458"/>
      <c r="D36" s="471"/>
      <c r="E36" s="565" t="s">
        <v>322</v>
      </c>
      <c r="F36" s="561"/>
      <c r="G36" s="561"/>
      <c r="H36" s="562"/>
      <c r="I36" s="2438"/>
    </row>
    <row customHeight="1" ht="24">
      <c r="A37" s="2049"/>
      <c r="C37" s="458"/>
      <c r="D37" s="509" t="s">
        <v>796</v>
      </c>
      <c r="E37" s="266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7" s="2668"/>
      <c r="G37" s="2668"/>
      <c r="H37" s="2668"/>
      <c r="I37" s="617"/>
    </row>
    <row customHeight="1" ht="47.5">
      <c r="A38" s="2049"/>
      <c r="C38" s="458"/>
      <c r="D38" s="509" t="s">
        <v>1067</v>
      </c>
      <c r="E38" s="567" t="s">
        <v>1046</v>
      </c>
      <c r="F38" s="559"/>
      <c r="G38" s="618" t="s">
        <v>1068</v>
      </c>
      <c r="H38" s="559" t="s">
        <v>306</v>
      </c>
      <c r="I38" s="2418" t="s">
        <v>1069</v>
      </c>
    </row>
    <row customHeight="1" ht="15">
      <c r="A39" s="2049" t="s">
        <v>88</v>
      </c>
      <c r="C39" s="458"/>
      <c r="D39" s="471"/>
      <c r="E39" s="565" t="s">
        <v>322</v>
      </c>
      <c r="F39" s="561"/>
      <c r="G39" s="561"/>
      <c r="H39" s="562"/>
      <c r="I39" s="2418"/>
    </row>
    <row customHeight="1" ht="26.25">
      <c r="A40" s="2049"/>
      <c r="C40" s="458"/>
      <c r="D40" s="509" t="s">
        <v>797</v>
      </c>
      <c r="E40" s="266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40" s="2668"/>
      <c r="G40" s="2668"/>
      <c r="H40" s="2668"/>
      <c r="I40" s="617"/>
    </row>
    <row customHeight="1" ht="14.25">
      <c r="A41" s="2049"/>
      <c r="C41" s="458"/>
      <c r="D41" s="509" t="s">
        <v>798</v>
      </c>
      <c r="E41" s="567" t="s">
        <v>1047</v>
      </c>
      <c r="F41" s="559"/>
      <c r="G41" s="568" t="s">
        <v>1070</v>
      </c>
      <c r="H41" s="559" t="s">
        <v>306</v>
      </c>
      <c r="I41" s="2436" t="s">
        <v>1071</v>
      </c>
      <c r="L41" s="517" t="s">
        <v>1048</v>
      </c>
    </row>
    <row customHeight="1" ht="15">
      <c r="A42" s="2049" t="s">
        <v>108</v>
      </c>
      <c r="C42" s="458"/>
      <c r="D42" s="471"/>
      <c r="E42" s="565" t="s">
        <v>322</v>
      </c>
      <c r="F42" s="561"/>
      <c r="G42" s="561"/>
      <c r="H42" s="562"/>
      <c r="I42" s="2438"/>
    </row>
    <row s="20243" customFormat="1" customHeight="1" ht="3">
      <c r="A43" s="2049"/>
      <c r="K43" s="557"/>
      <c r="L43" s="557"/>
    </row>
    <row customHeight="1" ht="24.75">
      <c r="D44" s="2047" t="s">
        <v>718</v>
      </c>
      <c r="E44" s="252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4" s="2526"/>
      <c r="G44" s="2526"/>
      <c r="H44" s="2526"/>
      <c r="I44" s="2526"/>
    </row>
  </sheetData>
  <sheetProtection formatColumns="0" formatRows="0" autoFilter="0" sort="0" insertRows="0" insertColumns="1" deleteRows="0" deleteColumns="0"/>
  <mergeCells count="17">
    <mergeCell ref="E44:I44"/>
    <mergeCell ref="E34:H34"/>
    <mergeCell ref="E37:H37"/>
    <mergeCell ref="E40:H40"/>
    <mergeCell ref="I35:I36"/>
    <mergeCell ref="I38:I39"/>
    <mergeCell ref="I41:I42"/>
    <mergeCell ref="I29:I32"/>
    <mergeCell ref="E33:H33"/>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5 G38 I41 I26 E29:E31 G35 E38 I29:I31 E35 I38 G23 E26 I10 E23 G29:G31 E10 G8 E2 I2 I4 G4 E4 E6 I6 G6 E8 I8 E4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1">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G23" r:id="rId2" xr:uid="{2EF198D1-A98A-A044-95DE-E55D7D3EA297}"/>
    <hyperlink ref="H23" r:id="rId3" xr:uid="{1FADBC0F-89CD-269A-BD9E-53FC316F9DE1}"/>
    <hyperlink ref="H24" r:id="rId4" xr:uid="{36399F0D-E70F-0711-1D8F-5DAAEF1F4913}"/>
    <hyperlink ref="H26" r:id="rId5" xr:uid="{7C17CE9A-8B12-ED5F-62EF-901C9515CB87}"/>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47FD5F-0E9C-975A-5E1F-48B49DF1F485}" mc:Ignorable="x14ac xr xr2 xr3">
  <sheetPr>
    <tabColor theme="6" tint="0.4"/>
  </sheetPr>
  <dimension ref="A1:AG327"/>
  <sheetViews>
    <sheetView topLeftCell="A1" showGridLines="0" zoomScale="90" workbookViewId="0">
      <selection activeCell="A313" sqref="A313:AG314"/>
    </sheetView>
  </sheetViews>
  <sheetFormatPr defaultColWidth="10.57421875" customHeight="1" defaultRowHeight="14.25"/>
  <cols>
    <col min="1" max="2" style="20323" width="25.140625" hidden="1" customWidth="1"/>
    <col min="3" max="3" style="20324" width="9.140625" hidden="1" customWidth="1"/>
    <col min="4" max="4" style="19230" width="3.7109375" customWidth="1"/>
    <col min="5" max="5" style="20325" width="6.28125" customWidth="1"/>
    <col min="6" max="6" style="20325" width="46.7109375" customWidth="1"/>
    <col min="7" max="7" style="20325" width="35.7109375" customWidth="1"/>
    <col min="8" max="8" style="20325" width="3.7109375" customWidth="1"/>
    <col min="9" max="10" style="20325" width="11.7109375" customWidth="1"/>
    <col min="11" max="12" style="20325" width="35.7109375" customWidth="1"/>
    <col min="13" max="13" style="20325" width="84.8515625" customWidth="1"/>
    <col min="14" max="14" style="20325" width="10.57421875"/>
    <col min="15" max="16" style="20326" width="10.57421875"/>
    <col min="17" max="33" style="20325" width="10.57421875"/>
  </cols>
  <sheetData>
    <row s="19274" customFormat="1" customHeight="1" ht="14.25" hidden="1">
      <c r="A1" s="2145"/>
      <c r="B1" s="2145"/>
      <c r="C1" s="730"/>
      <c r="D1" s="705"/>
      <c r="N1" s="2002">
        <f>_xlfn.IFERROR(MATCH("метод экономически обоснованных расходов (затрат)",OFFER_METHOD,0),0)</f>
        <v>0</v>
      </c>
      <c r="O1" s="1990"/>
      <c r="P1" s="1990"/>
      <c r="T1" s="1192"/>
      <c r="AG1" s="616"/>
    </row>
    <row s="19274" customFormat="1" customHeight="1" ht="18.75" hidden="1">
      <c r="A2" s="2146" t="s">
        <v>152</v>
      </c>
      <c r="B2" s="2146" t="s">
        <v>153</v>
      </c>
      <c r="C2" s="730"/>
      <c r="D2" s="705"/>
      <c r="E2" s="1393"/>
      <c r="F2" s="1393"/>
      <c r="G2" s="2689" t="str">
        <f>INDEX(PT_DIFFERENTIATION_NTAR,MATCH(B2,PT_DIFFERENTIATION_NTAR_ID,0))</f>
        <v/>
      </c>
      <c r="H2" s="2231"/>
      <c r="I2" s="2105"/>
      <c r="J2" s="2139"/>
      <c r="K2" s="2232"/>
      <c r="L2" s="2231" t="s">
        <v>306</v>
      </c>
      <c r="M2" s="2242"/>
      <c r="N2" s="695"/>
      <c r="O2" s="1990"/>
      <c r="P2" s="1990"/>
    </row>
    <row s="19274" customFormat="1" customHeight="1" ht="18.75" hidden="1">
      <c r="A3" s="2146"/>
      <c r="B3" s="2146"/>
      <c r="C3" s="730" t="s">
        <v>1072</v>
      </c>
      <c r="D3" s="705"/>
      <c r="E3" s="1393"/>
      <c r="F3" s="1393"/>
      <c r="G3" s="2689"/>
      <c r="H3" s="1866"/>
      <c r="I3" s="1012" t="s">
        <v>1073</v>
      </c>
      <c r="J3" s="932"/>
      <c r="K3" s="1866"/>
      <c r="L3" s="575"/>
      <c r="M3" s="2242"/>
      <c r="N3" s="695"/>
      <c r="O3" s="1990"/>
      <c r="P3" s="1990"/>
    </row>
    <row s="19274" customFormat="1" customHeight="1" ht="14.25" hidden="1">
      <c r="A4" s="2145"/>
      <c r="B4" s="2145"/>
      <c r="C4" s="730"/>
      <c r="D4" s="705"/>
      <c r="N4" s="2002">
        <f>_xlfn.IFERROR(MATCH("метод экономически обоснованных расходов (затрат)",OFFER_METHOD,0),0)</f>
        <v>0</v>
      </c>
      <c r="O4" s="1990"/>
      <c r="P4" s="1990"/>
      <c r="T4" s="1192"/>
      <c r="AG4" s="616"/>
    </row>
    <row s="19274" customFormat="1" customHeight="1" ht="18.75" hidden="1">
      <c r="A5" s="2146" t="s">
        <v>152</v>
      </c>
      <c r="B5" s="2146" t="s">
        <v>153</v>
      </c>
      <c r="C5" s="730"/>
      <c r="D5" s="705"/>
      <c r="E5" s="1393"/>
      <c r="F5" s="1393"/>
      <c r="G5" s="2689" t="str">
        <f>INDEX(PT_DIFFERENTIATION_NTAR,MATCH(B5,PT_DIFFERENTIATION_NTAR_ID,0))</f>
        <v/>
      </c>
      <c r="H5" s="2231"/>
      <c r="I5" s="2105"/>
      <c r="J5" s="2139"/>
      <c r="K5" s="2144"/>
      <c r="L5" s="2231" t="s">
        <v>306</v>
      </c>
      <c r="M5" s="2242"/>
      <c r="N5" s="695"/>
      <c r="O5" s="1990"/>
      <c r="P5" s="1990"/>
    </row>
    <row s="19274" customFormat="1" customHeight="1" ht="18.75" hidden="1">
      <c r="A6" s="2146"/>
      <c r="B6" s="2146"/>
      <c r="C6" s="730" t="s">
        <v>1074</v>
      </c>
      <c r="D6" s="705"/>
      <c r="E6" s="1393"/>
      <c r="F6" s="1393"/>
      <c r="G6" s="2689"/>
      <c r="H6" s="1866"/>
      <c r="I6" s="1012" t="s">
        <v>1073</v>
      </c>
      <c r="J6" s="932"/>
      <c r="K6" s="1866"/>
      <c r="L6" s="575"/>
      <c r="M6" s="2242"/>
      <c r="N6" s="695"/>
      <c r="O6" s="1990"/>
      <c r="P6" s="1990"/>
    </row>
    <row s="19274" customFormat="1" customHeight="1" ht="14.25" hidden="1">
      <c r="A7" s="2145"/>
      <c r="B7" s="2145"/>
      <c r="C7" s="730"/>
      <c r="D7" s="705"/>
      <c r="N7" s="2002">
        <f>_xlfn.IFERROR(MATCH("метод экономически обоснованных расходов (затрат)",OFFER_METHOD,0),0)</f>
        <v>0</v>
      </c>
      <c r="O7" s="1990"/>
      <c r="P7" s="1990"/>
      <c r="T7" s="1192"/>
      <c r="AG7" s="616"/>
    </row>
    <row s="19274" customFormat="1" customHeight="1" ht="56.25" hidden="1">
      <c r="A8" s="2146"/>
      <c r="B8" s="2146"/>
      <c r="C8" s="730"/>
      <c r="D8" s="705"/>
      <c r="E8" s="1393"/>
      <c r="F8" s="1393"/>
      <c r="G8" s="1393"/>
      <c r="H8" s="2137"/>
      <c r="I8" s="2105"/>
      <c r="J8" s="2139"/>
      <c r="K8" s="2232"/>
      <c r="L8" s="2137" t="s">
        <v>306</v>
      </c>
      <c r="M8" s="2242"/>
      <c r="N8" s="695"/>
      <c r="O8" s="1990"/>
      <c r="P8" s="1990"/>
    </row>
    <row customHeight="1" ht="14.25" hidden="1">
      <c r="T9" s="758"/>
      <c r="AG9" s="616"/>
    </row>
    <row s="19274" customFormat="1" customHeight="1" ht="56.25" hidden="1">
      <c r="A10" s="2146"/>
      <c r="B10" s="2146"/>
      <c r="C10" s="730"/>
      <c r="D10" s="705"/>
      <c r="E10" s="1393"/>
      <c r="F10" s="1393"/>
      <c r="G10" s="1393"/>
      <c r="H10" s="2136"/>
      <c r="I10" s="2105"/>
      <c r="J10" s="2139"/>
      <c r="K10" s="2144"/>
      <c r="L10" s="2137" t="s">
        <v>306</v>
      </c>
      <c r="M10" s="2242"/>
      <c r="N10" s="695"/>
      <c r="O10" s="1990"/>
      <c r="P10" s="1990"/>
    </row>
    <row customHeight="1" ht="14.25" hidden="1"/>
    <row customHeight="1" ht="14.25" hidden="1"/>
    <row customHeight="1" ht="6">
      <c r="D13" s="737"/>
      <c r="E13" s="724"/>
      <c r="F13" s="724"/>
      <c r="G13" s="724"/>
      <c r="H13" s="724"/>
      <c r="I13" s="724"/>
      <c r="J13" s="724"/>
      <c r="K13" s="724"/>
      <c r="L13" s="446"/>
      <c r="M13" s="446"/>
    </row>
    <row customHeight="1" ht="14.25">
      <c r="D14" s="737"/>
      <c r="E14" s="272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728"/>
      <c r="G14" s="2728"/>
      <c r="H14" s="2728"/>
      <c r="I14" s="2728"/>
      <c r="J14" s="2728"/>
      <c r="K14" s="2728"/>
      <c r="L14" s="2728"/>
      <c r="M14" s="581"/>
    </row>
    <row customHeight="1" ht="6">
      <c r="D15" s="737"/>
      <c r="E15" s="724"/>
      <c r="F15" s="750"/>
      <c r="G15" s="750"/>
      <c r="H15" s="750"/>
      <c r="I15" s="750"/>
      <c r="J15" s="750"/>
      <c r="K15" s="750"/>
      <c r="L15" s="683"/>
      <c r="M15" s="554"/>
    </row>
    <row customHeight="1" ht="18.75">
      <c r="D16" s="737"/>
      <c r="E16" s="724"/>
      <c r="F16" s="666" t="str">
        <f>"Дата подачи заявления об "&amp;IF(TITLE_DATE_PR_CHANGE="","утверждении","изменении")&amp;" тарифов"</f>
        <v>Дата подачи заявления об утверждении тарифов</v>
      </c>
      <c r="G16" s="2519" t="str">
        <f>IF(TITLE_DATE_PR_CHANGE="",IF(TITLE_DATE_PR="","",TITLE_DATE_PR),TITLE_DATE_PR_CHANGE)</f>
        <v>45280.70914351852</v>
      </c>
      <c r="H16" s="2519"/>
      <c r="I16" s="2519"/>
      <c r="J16" s="2519"/>
      <c r="K16" s="2519"/>
      <c r="L16" s="2519"/>
      <c r="M16" s="759"/>
      <c r="N16" s="687"/>
    </row>
    <row customHeight="1" ht="18.75">
      <c r="D17" s="737"/>
      <c r="E17" s="724"/>
      <c r="F17" s="666" t="str">
        <f>"Номер подачи заявления об "&amp;IF(TITLE_DATE_PR_CHANGE="","утверждении","изменении")&amp;" тарифов"</f>
        <v>Номер подачи заявления об утверждении тарифов</v>
      </c>
      <c r="G17" s="2520" t="str">
        <f>IF(TITLE_NUMBER_PR_CHANGE="",IF(TITLE_NUMBER_PR="","",TITLE_NUMBER_PR),TITLE_NUMBER_PR_CHANGE)</f>
        <v>317-Р</v>
      </c>
      <c r="H17" s="2520"/>
      <c r="I17" s="2520"/>
      <c r="J17" s="2520"/>
      <c r="K17" s="2520"/>
      <c r="L17" s="2520"/>
      <c r="M17" s="759"/>
      <c r="N17" s="687"/>
    </row>
    <row customHeight="1" ht="14.25">
      <c r="D18" s="737"/>
      <c r="E18" s="724"/>
      <c r="F18" s="750"/>
      <c r="G18" s="750"/>
      <c r="H18" s="750"/>
      <c r="I18" s="750"/>
      <c r="J18" s="750"/>
      <c r="K18" s="750"/>
      <c r="L18" s="1113"/>
      <c r="M18" s="554"/>
    </row>
    <row customHeight="1" ht="21">
      <c r="D19" s="737"/>
      <c r="E19" s="2482" t="s">
        <v>300</v>
      </c>
      <c r="F19" s="2482"/>
      <c r="G19" s="2482"/>
      <c r="H19" s="2482"/>
      <c r="I19" s="2482"/>
      <c r="J19" s="2482"/>
      <c r="K19" s="2482"/>
      <c r="L19" s="2482"/>
      <c r="M19" s="2725" t="s">
        <v>301</v>
      </c>
    </row>
    <row customHeight="1" ht="21">
      <c r="D20" s="737"/>
      <c r="E20" s="2549" t="s">
        <v>85</v>
      </c>
      <c r="F20" s="2493" t="s">
        <v>119</v>
      </c>
      <c r="G20" s="2493" t="s">
        <v>120</v>
      </c>
      <c r="H20" s="2693" t="s">
        <v>1075</v>
      </c>
      <c r="I20" s="2697"/>
      <c r="J20" s="2694"/>
      <c r="K20" s="2493" t="s">
        <v>303</v>
      </c>
      <c r="L20" s="2493" t="s">
        <v>390</v>
      </c>
      <c r="M20" s="2725"/>
    </row>
    <row customHeight="1" ht="21">
      <c r="D21" s="737"/>
      <c r="E21" s="2551"/>
      <c r="F21" s="2494"/>
      <c r="G21" s="2494"/>
      <c r="H21" s="2488" t="s">
        <v>1076</v>
      </c>
      <c r="I21" s="2504"/>
      <c r="J21" s="470" t="s">
        <v>1077</v>
      </c>
      <c r="K21" s="2494"/>
      <c r="L21" s="2494"/>
      <c r="M21" s="2725"/>
    </row>
    <row customHeight="1" ht="12">
      <c r="D22" s="737"/>
      <c r="E22" s="642"/>
      <c r="F22" s="642"/>
      <c r="G22" s="642"/>
      <c r="H22" s="2730"/>
      <c r="I22" s="2730"/>
      <c r="J22" s="642"/>
      <c r="K22" s="642"/>
      <c r="L22" s="642"/>
      <c r="M22" s="642"/>
    </row>
    <row customHeight="1" ht="18.75">
      <c r="A23" s="2146"/>
      <c r="B23" s="2146"/>
      <c r="D23" s="737"/>
      <c r="E23" s="2233" t="s">
        <v>106</v>
      </c>
      <c r="F23" s="2731" t="str">
        <f>"Предлагаемый метод регулирования"&amp;IF(TEMPLATE_SPHERE="HEAT"," в сфере "&amp;TEMPLATE_SPHERE_RUS,"")</f>
        <v>Предлагаемый метод регулирования</v>
      </c>
      <c r="G23" s="2732"/>
      <c r="H23" s="2727"/>
      <c r="I23" s="2727"/>
      <c r="J23" s="2727"/>
      <c r="K23" s="2732" t="s">
        <v>306</v>
      </c>
      <c r="L23" s="2727"/>
      <c r="M23" s="2135"/>
      <c r="N23" s="695"/>
    </row>
    <row customHeight="1" ht="60.75" hidden="1">
      <c r="A24" s="2146" t="s">
        <v>152</v>
      </c>
      <c r="B24" s="2146" t="s">
        <v>153</v>
      </c>
      <c r="D24" s="2729"/>
      <c r="E24" s="2477"/>
      <c r="F24" s="273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689" t="str">
        <f>INDEX(PT_DIFFERENTIATION_NTAR,MATCH(B24,PT_DIFFERENTIATION_NTAR_ID,0))</f>
        <v/>
      </c>
      <c r="H24" s="2229"/>
      <c r="I24" s="2105"/>
      <c r="J24" s="2139"/>
      <c r="K24" s="2232"/>
      <c r="L24" s="2134" t="s">
        <v>306</v>
      </c>
      <c r="M24" s="243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695"/>
    </row>
    <row s="19274" customFormat="1" customHeight="1" ht="18.75" hidden="1">
      <c r="A25" s="2146"/>
      <c r="B25" s="2146"/>
      <c r="C25" s="730" t="s">
        <v>1072</v>
      </c>
      <c r="D25" s="2729"/>
      <c r="E25" s="2477"/>
      <c r="F25" s="2733"/>
      <c r="G25" s="2689"/>
      <c r="H25" s="1866"/>
      <c r="I25" s="1012" t="s">
        <v>1073</v>
      </c>
      <c r="J25" s="932"/>
      <c r="K25" s="1866"/>
      <c r="L25" s="575"/>
      <c r="M25" s="2437"/>
      <c r="N25" s="695"/>
      <c r="O25" s="1990"/>
      <c r="P25" s="1990"/>
    </row>
    <row customHeight="1" ht="0.75" hidden="1">
      <c r="A26" s="2146"/>
      <c r="B26" s="2146"/>
      <c r="C26" s="730" t="s">
        <v>1078</v>
      </c>
      <c r="D26" s="2729"/>
      <c r="E26" s="2477"/>
      <c r="F26" s="2643"/>
      <c r="G26" s="761"/>
      <c r="H26" s="1866"/>
      <c r="I26" s="756"/>
      <c r="J26" s="710"/>
      <c r="K26" s="1866"/>
      <c r="L26" s="562"/>
      <c r="M26" s="2437"/>
      <c r="N26" s="695"/>
    </row>
    <row s="19274" customFormat="1" customHeight="1" ht="45" hidden="1">
      <c r="A27" s="2146" t="s">
        <v>158</v>
      </c>
      <c r="B27" s="2146" t="s">
        <v>159</v>
      </c>
      <c r="C27" s="730"/>
      <c r="D27" s="2734"/>
      <c r="E27" s="2735"/>
      <c r="F27" s="2736"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689" t="str">
        <f>INDEX(PT_DIFFERENTIATION_NTAR,MATCH(B27,PT_DIFFERENTIATION_NTAR_ID,0))</f>
        <v/>
      </c>
      <c r="H27" s="2229"/>
      <c r="I27" s="2105"/>
      <c r="J27" s="2139"/>
      <c r="K27" s="2232"/>
      <c r="L27" s="2229" t="s">
        <v>306</v>
      </c>
      <c r="M27" s="2437"/>
      <c r="N27" s="695"/>
      <c r="O27" s="1990"/>
      <c r="P27" s="1990"/>
    </row>
    <row s="19274" customFormat="1" customHeight="1" ht="18.75" hidden="1">
      <c r="A28" s="2146"/>
      <c r="B28" s="2146"/>
      <c r="C28" s="730" t="s">
        <v>1072</v>
      </c>
      <c r="D28" s="2734"/>
      <c r="E28" s="2735"/>
      <c r="F28" s="2736"/>
      <c r="G28" s="2689"/>
      <c r="H28" s="1866"/>
      <c r="I28" s="1012" t="s">
        <v>1073</v>
      </c>
      <c r="J28" s="932"/>
      <c r="K28" s="1866"/>
      <c r="L28" s="575"/>
      <c r="M28" s="2437"/>
      <c r="N28" s="695"/>
      <c r="O28" s="1990"/>
      <c r="P28" s="1990"/>
    </row>
    <row s="19274" customFormat="1" customHeight="1" ht="0.75" hidden="1">
      <c r="A29" s="2146"/>
      <c r="B29" s="2146"/>
      <c r="C29" s="730" t="s">
        <v>1078</v>
      </c>
      <c r="D29" s="2734"/>
      <c r="E29" s="2477"/>
      <c r="F29" s="2643"/>
      <c r="G29" s="761"/>
      <c r="H29" s="1866"/>
      <c r="I29" s="1012"/>
      <c r="J29" s="932"/>
      <c r="K29" s="1866"/>
      <c r="L29" s="575"/>
      <c r="M29" s="2437"/>
      <c r="N29" s="695"/>
      <c r="O29" s="1990"/>
      <c r="P29" s="1990"/>
    </row>
    <row s="19274" customFormat="1" customHeight="1" ht="45" hidden="1">
      <c r="A30" s="2146" t="s">
        <v>164</v>
      </c>
      <c r="B30" s="2146" t="s">
        <v>165</v>
      </c>
      <c r="C30" s="730"/>
      <c r="D30" s="2734"/>
      <c r="E30" s="2477"/>
      <c r="F30" s="264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689" t="str">
        <f>INDEX(PT_DIFFERENTIATION_NTAR,MATCH(B30,PT_DIFFERENTIATION_NTAR_ID,0))</f>
        <v/>
      </c>
      <c r="H30" s="2229"/>
      <c r="I30" s="2105"/>
      <c r="J30" s="2139"/>
      <c r="K30" s="2232"/>
      <c r="L30" s="2229" t="s">
        <v>306</v>
      </c>
      <c r="M30" s="2437"/>
      <c r="N30" s="695"/>
      <c r="O30" s="1990"/>
      <c r="P30" s="1990"/>
    </row>
    <row s="19274" customFormat="1" customHeight="1" ht="18.75" hidden="1">
      <c r="A31" s="2146"/>
      <c r="B31" s="2146"/>
      <c r="C31" s="730" t="s">
        <v>1072</v>
      </c>
      <c r="D31" s="2734"/>
      <c r="E31" s="2477"/>
      <c r="F31" s="2643"/>
      <c r="G31" s="2689"/>
      <c r="H31" s="1866"/>
      <c r="I31" s="1012" t="s">
        <v>1073</v>
      </c>
      <c r="J31" s="932"/>
      <c r="K31" s="1866"/>
      <c r="L31" s="575"/>
      <c r="M31" s="2437"/>
      <c r="N31" s="695"/>
      <c r="O31" s="1990"/>
      <c r="P31" s="1990"/>
    </row>
    <row s="19274" customFormat="1" customHeight="1" ht="0.75" hidden="1">
      <c r="A32" s="2146"/>
      <c r="B32" s="2146"/>
      <c r="C32" s="730" t="s">
        <v>1078</v>
      </c>
      <c r="D32" s="2734"/>
      <c r="E32" s="2477"/>
      <c r="F32" s="2643"/>
      <c r="G32" s="761"/>
      <c r="H32" s="1866"/>
      <c r="I32" s="1012"/>
      <c r="J32" s="932"/>
      <c r="K32" s="1866"/>
      <c r="L32" s="575"/>
      <c r="M32" s="2437"/>
      <c r="N32" s="695"/>
      <c r="O32" s="1990"/>
      <c r="P32" s="1990"/>
    </row>
    <row s="19274" customFormat="1" customHeight="1" ht="45" hidden="1">
      <c r="A33" s="2146" t="s">
        <v>170</v>
      </c>
      <c r="B33" s="2146" t="s">
        <v>171</v>
      </c>
      <c r="C33" s="730"/>
      <c r="D33" s="2734"/>
      <c r="E33" s="2477"/>
      <c r="F33" s="264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689" t="str">
        <f>INDEX(PT_DIFFERENTIATION_NTAR,MATCH(B33,PT_DIFFERENTIATION_NTAR_ID,0))</f>
        <v/>
      </c>
      <c r="H33" s="2229"/>
      <c r="I33" s="2105"/>
      <c r="J33" s="2139"/>
      <c r="K33" s="2232"/>
      <c r="L33" s="2229" t="s">
        <v>306</v>
      </c>
      <c r="M33" s="2437"/>
      <c r="N33" s="695"/>
      <c r="O33" s="1990"/>
      <c r="P33" s="1990"/>
    </row>
    <row s="19274" customFormat="1" customHeight="1" ht="18.75" hidden="1">
      <c r="A34" s="2146"/>
      <c r="B34" s="2146"/>
      <c r="C34" s="730" t="s">
        <v>1072</v>
      </c>
      <c r="D34" s="2734"/>
      <c r="E34" s="2477"/>
      <c r="F34" s="2643"/>
      <c r="G34" s="2689"/>
      <c r="H34" s="1866"/>
      <c r="I34" s="1012" t="s">
        <v>1073</v>
      </c>
      <c r="J34" s="932"/>
      <c r="K34" s="1866"/>
      <c r="L34" s="575"/>
      <c r="M34" s="2437"/>
      <c r="N34" s="695"/>
      <c r="O34" s="1990"/>
      <c r="P34" s="1990"/>
    </row>
    <row s="19274" customFormat="1" customHeight="1" ht="0.75" hidden="1">
      <c r="A35" s="2146"/>
      <c r="B35" s="2146"/>
      <c r="C35" s="730" t="s">
        <v>1078</v>
      </c>
      <c r="D35" s="2734"/>
      <c r="E35" s="2477"/>
      <c r="F35" s="2643"/>
      <c r="G35" s="761"/>
      <c r="H35" s="1866"/>
      <c r="I35" s="1012"/>
      <c r="J35" s="932"/>
      <c r="K35" s="1866"/>
      <c r="L35" s="575"/>
      <c r="M35" s="2437"/>
      <c r="N35" s="695"/>
      <c r="O35" s="1990"/>
      <c r="P35" s="1990"/>
    </row>
    <row s="19274" customFormat="1" customHeight="1" ht="18.75" hidden="1">
      <c r="A36" s="2146" t="s">
        <v>176</v>
      </c>
      <c r="B36" s="2146" t="s">
        <v>177</v>
      </c>
      <c r="C36" s="730"/>
      <c r="D36" s="2734"/>
      <c r="E36" s="2477"/>
      <c r="F36" s="2643" t="str">
        <f>INDEX(PT_DIFFERENTIATION_VTAR,MATCH(A36,PT_DIFFERENTIATION_VTAR_ID,0))</f>
        <v>Тарифы на услуги по передаче тепловой энергии</v>
      </c>
      <c r="G36" s="2689" t="str">
        <f>INDEX(PT_DIFFERENTIATION_NTAR,MATCH(B36,PT_DIFFERENTIATION_NTAR_ID,0))</f>
        <v/>
      </c>
      <c r="H36" s="2229"/>
      <c r="I36" s="2105"/>
      <c r="J36" s="2139"/>
      <c r="K36" s="2232"/>
      <c r="L36" s="2229" t="s">
        <v>306</v>
      </c>
      <c r="M36" s="2437"/>
      <c r="N36" s="695"/>
      <c r="O36" s="1990"/>
      <c r="P36" s="1990"/>
    </row>
    <row s="19274" customFormat="1" customHeight="1" ht="18.75" hidden="1">
      <c r="A37" s="2146"/>
      <c r="B37" s="2146"/>
      <c r="C37" s="730" t="s">
        <v>1072</v>
      </c>
      <c r="D37" s="2734"/>
      <c r="E37" s="2477"/>
      <c r="F37" s="2643"/>
      <c r="G37" s="2689"/>
      <c r="H37" s="1866"/>
      <c r="I37" s="1012" t="s">
        <v>1073</v>
      </c>
      <c r="J37" s="932"/>
      <c r="K37" s="1866"/>
      <c r="L37" s="575"/>
      <c r="M37" s="2437"/>
      <c r="N37" s="695"/>
      <c r="O37" s="1990"/>
      <c r="P37" s="1990"/>
    </row>
    <row s="19274" customFormat="1" customHeight="1" ht="0.75" hidden="1">
      <c r="A38" s="2146"/>
      <c r="B38" s="2146"/>
      <c r="C38" s="730" t="s">
        <v>1078</v>
      </c>
      <c r="D38" s="2734"/>
      <c r="E38" s="2477"/>
      <c r="F38" s="2643"/>
      <c r="G38" s="761"/>
      <c r="H38" s="1866"/>
      <c r="I38" s="1012"/>
      <c r="J38" s="932"/>
      <c r="K38" s="1866"/>
      <c r="L38" s="575"/>
      <c r="M38" s="2437"/>
      <c r="N38" s="695"/>
      <c r="O38" s="1990"/>
      <c r="P38" s="1990"/>
    </row>
    <row s="19274" customFormat="1" customHeight="1" ht="18.75" hidden="1">
      <c r="A39" s="2146" t="s">
        <v>182</v>
      </c>
      <c r="B39" s="2146" t="s">
        <v>183</v>
      </c>
      <c r="C39" s="730"/>
      <c r="D39" s="2734"/>
      <c r="E39" s="2477"/>
      <c r="F39" s="2643" t="str">
        <f>INDEX(PT_DIFFERENTIATION_VTAR,MATCH(A39,PT_DIFFERENTIATION_VTAR_ID,0))</f>
        <v>Тарифы на услуги по передаче теплоносителя</v>
      </c>
      <c r="G39" s="2689" t="str">
        <f>INDEX(PT_DIFFERENTIATION_NTAR,MATCH(B39,PT_DIFFERENTIATION_NTAR_ID,0))</f>
        <v/>
      </c>
      <c r="H39" s="2229"/>
      <c r="I39" s="2105"/>
      <c r="J39" s="2139"/>
      <c r="K39" s="2232"/>
      <c r="L39" s="2229" t="s">
        <v>306</v>
      </c>
      <c r="M39" s="2437"/>
      <c r="N39" s="695"/>
      <c r="O39" s="1990"/>
      <c r="P39" s="1990"/>
    </row>
    <row s="19274" customFormat="1" customHeight="1" ht="18.75" hidden="1">
      <c r="A40" s="2146"/>
      <c r="B40" s="2146"/>
      <c r="C40" s="730" t="s">
        <v>1072</v>
      </c>
      <c r="D40" s="2734"/>
      <c r="E40" s="2477"/>
      <c r="F40" s="2643"/>
      <c r="G40" s="2689"/>
      <c r="H40" s="1866"/>
      <c r="I40" s="1012" t="s">
        <v>1073</v>
      </c>
      <c r="J40" s="932"/>
      <c r="K40" s="1866"/>
      <c r="L40" s="575"/>
      <c r="M40" s="2437"/>
      <c r="N40" s="695"/>
      <c r="O40" s="1990"/>
      <c r="P40" s="1990"/>
    </row>
    <row s="19274" customFormat="1" customHeight="1" ht="0.75" hidden="1">
      <c r="A41" s="2146"/>
      <c r="B41" s="2146"/>
      <c r="C41" s="730" t="s">
        <v>1078</v>
      </c>
      <c r="D41" s="2734"/>
      <c r="E41" s="2477"/>
      <c r="F41" s="2643"/>
      <c r="G41" s="761"/>
      <c r="H41" s="1866"/>
      <c r="I41" s="1012"/>
      <c r="J41" s="932"/>
      <c r="K41" s="1866"/>
      <c r="L41" s="575"/>
      <c r="M41" s="2437"/>
      <c r="N41" s="695"/>
      <c r="O41" s="1990"/>
      <c r="P41" s="1990"/>
    </row>
    <row s="19274" customFormat="1" customHeight="1" ht="18.75" hidden="1">
      <c r="A42" s="2146" t="s">
        <v>188</v>
      </c>
      <c r="B42" s="2146" t="s">
        <v>189</v>
      </c>
      <c r="C42" s="730"/>
      <c r="D42" s="2734"/>
      <c r="E42" s="2477"/>
      <c r="F42" s="2643" t="str">
        <f>INDEX(PT_DIFFERENTIATION_VTAR,MATCH(A42,PT_DIFFERENTIATION_VTAR_ID,0))</f>
        <v>Плата за услуги по поддержанию резервной тепловой мощности при отсутствии потребления тепловой энергии</v>
      </c>
      <c r="G42" s="2689" t="str">
        <f>INDEX(PT_DIFFERENTIATION_NTAR,MATCH(B42,PT_DIFFERENTIATION_NTAR_ID,0))</f>
        <v/>
      </c>
      <c r="H42" s="2229"/>
      <c r="I42" s="2105"/>
      <c r="J42" s="2139"/>
      <c r="K42" s="2232"/>
      <c r="L42" s="2229" t="s">
        <v>306</v>
      </c>
      <c r="M42" s="2437"/>
      <c r="N42" s="695"/>
      <c r="O42" s="1990"/>
      <c r="P42" s="1990"/>
    </row>
    <row s="19274" customFormat="1" customHeight="1" ht="18.75" hidden="1">
      <c r="A43" s="2146"/>
      <c r="B43" s="2146"/>
      <c r="C43" s="730" t="s">
        <v>1072</v>
      </c>
      <c r="D43" s="2734"/>
      <c r="E43" s="2477"/>
      <c r="F43" s="2643"/>
      <c r="G43" s="2689"/>
      <c r="H43" s="1866"/>
      <c r="I43" s="1012" t="s">
        <v>1073</v>
      </c>
      <c r="J43" s="932"/>
      <c r="K43" s="1866"/>
      <c r="L43" s="575"/>
      <c r="M43" s="2437"/>
      <c r="N43" s="695"/>
      <c r="O43" s="1990"/>
      <c r="P43" s="1990"/>
    </row>
    <row s="19274" customFormat="1" customHeight="1" ht="0.75" hidden="1">
      <c r="A44" s="2146"/>
      <c r="B44" s="2146"/>
      <c r="C44" s="730" t="s">
        <v>1078</v>
      </c>
      <c r="D44" s="2734"/>
      <c r="E44" s="2477"/>
      <c r="F44" s="2643"/>
      <c r="G44" s="761"/>
      <c r="H44" s="1866"/>
      <c r="I44" s="1012"/>
      <c r="J44" s="932"/>
      <c r="K44" s="1866"/>
      <c r="L44" s="575"/>
      <c r="M44" s="2437"/>
      <c r="N44" s="695"/>
      <c r="O44" s="1990"/>
      <c r="P44" s="1990"/>
    </row>
    <row s="19274" customFormat="1" customHeight="1" ht="18.75" hidden="1">
      <c r="A45" s="2146" t="s">
        <v>194</v>
      </c>
      <c r="B45" s="2146" t="s">
        <v>195</v>
      </c>
      <c r="C45" s="730"/>
      <c r="D45" s="2734"/>
      <c r="E45" s="2477"/>
      <c r="F45" s="2643" t="str">
        <f>INDEX(PT_DIFFERENTIATION_VTAR,MATCH(A45,PT_DIFFERENTIATION_VTAR_ID,0))</f>
        <v>Плата за подключение (технологическое присоединение) к системе теплоснабжения</v>
      </c>
      <c r="G45" s="2689" t="str">
        <f>INDEX(PT_DIFFERENTIATION_NTAR,MATCH(B45,PT_DIFFERENTIATION_NTAR_ID,0))</f>
        <v/>
      </c>
      <c r="H45" s="2229"/>
      <c r="I45" s="2105"/>
      <c r="J45" s="2139"/>
      <c r="K45" s="2232"/>
      <c r="L45" s="2229" t="s">
        <v>306</v>
      </c>
      <c r="M45" s="2437"/>
      <c r="N45" s="695"/>
      <c r="O45" s="1990"/>
      <c r="P45" s="1990"/>
    </row>
    <row s="19274" customFormat="1" customHeight="1" ht="18.75" hidden="1">
      <c r="A46" s="2146"/>
      <c r="B46" s="2146"/>
      <c r="C46" s="730" t="s">
        <v>1072</v>
      </c>
      <c r="D46" s="2734"/>
      <c r="E46" s="2477"/>
      <c r="F46" s="2643"/>
      <c r="G46" s="2689"/>
      <c r="H46" s="1866"/>
      <c r="I46" s="1012" t="s">
        <v>1073</v>
      </c>
      <c r="J46" s="932"/>
      <c r="K46" s="1866"/>
      <c r="L46" s="575"/>
      <c r="M46" s="2437"/>
      <c r="N46" s="695"/>
      <c r="O46" s="1990"/>
      <c r="P46" s="1990"/>
    </row>
    <row s="19274" customFormat="1" customHeight="1" ht="0.75" hidden="1">
      <c r="A47" s="2146"/>
      <c r="B47" s="2146"/>
      <c r="C47" s="730" t="s">
        <v>1078</v>
      </c>
      <c r="D47" s="2734"/>
      <c r="E47" s="2477"/>
      <c r="F47" s="2643"/>
      <c r="G47" s="761"/>
      <c r="H47" s="1866"/>
      <c r="I47" s="1012"/>
      <c r="J47" s="932"/>
      <c r="K47" s="1866"/>
      <c r="L47" s="575"/>
      <c r="M47" s="2437"/>
      <c r="N47" s="695"/>
      <c r="O47" s="1990"/>
      <c r="P47" s="1990"/>
    </row>
    <row s="19274" customFormat="1" customHeight="1" ht="18.75" hidden="1">
      <c r="A48" s="2146" t="s">
        <v>220</v>
      </c>
      <c r="B48" s="2146" t="s">
        <v>221</v>
      </c>
      <c r="C48" s="730"/>
      <c r="D48" s="2734"/>
      <c r="E48" s="2477"/>
      <c r="F48" s="2643" t="str">
        <f>INDEX(PT_DIFFERENTIATION_VTAR,MATCH(A48,PT_DIFFERENTIATION_VTAR_ID,0))</f>
        <v>Тариф на питьевую воду (питьевое водоснабжение)</v>
      </c>
      <c r="G48" s="2689" t="str">
        <f>INDEX(PT_DIFFERENTIATION_NTAR,MATCH(B48,PT_DIFFERENTIATION_NTAR_ID,0))</f>
        <v/>
      </c>
      <c r="H48" s="2229"/>
      <c r="I48" s="2105"/>
      <c r="J48" s="2139"/>
      <c r="K48" s="2232"/>
      <c r="L48" s="2229" t="s">
        <v>306</v>
      </c>
      <c r="M48" s="2437"/>
      <c r="N48" s="695"/>
      <c r="O48" s="1990"/>
      <c r="P48" s="1990"/>
    </row>
    <row s="19274" customFormat="1" customHeight="1" ht="18.75" hidden="1">
      <c r="A49" s="2146"/>
      <c r="B49" s="2146"/>
      <c r="C49" s="730" t="s">
        <v>1072</v>
      </c>
      <c r="D49" s="2734"/>
      <c r="E49" s="2477"/>
      <c r="F49" s="2643"/>
      <c r="G49" s="2689"/>
      <c r="H49" s="1866"/>
      <c r="I49" s="1012" t="s">
        <v>1073</v>
      </c>
      <c r="J49" s="932"/>
      <c r="K49" s="1866"/>
      <c r="L49" s="575"/>
      <c r="M49" s="2437"/>
      <c r="N49" s="695"/>
      <c r="O49" s="1990"/>
      <c r="P49" s="1990"/>
    </row>
    <row s="19274" customFormat="1" customHeight="1" ht="0.75" hidden="1">
      <c r="A50" s="2146"/>
      <c r="B50" s="2146"/>
      <c r="C50" s="730" t="s">
        <v>1078</v>
      </c>
      <c r="D50" s="2734"/>
      <c r="E50" s="2477"/>
      <c r="F50" s="2643"/>
      <c r="G50" s="761"/>
      <c r="H50" s="1866"/>
      <c r="I50" s="1012"/>
      <c r="J50" s="932"/>
      <c r="K50" s="1866"/>
      <c r="L50" s="575"/>
      <c r="M50" s="2437"/>
      <c r="N50" s="695"/>
      <c r="O50" s="1990"/>
      <c r="P50" s="1990"/>
    </row>
    <row s="19274" customFormat="1" customHeight="1" ht="18.75" hidden="1">
      <c r="A51" s="2146" t="s">
        <v>225</v>
      </c>
      <c r="B51" s="2146" t="s">
        <v>226</v>
      </c>
      <c r="C51" s="730"/>
      <c r="D51" s="2734"/>
      <c r="E51" s="2477"/>
      <c r="F51" s="2643" t="str">
        <f>INDEX(PT_DIFFERENTIATION_VTAR,MATCH(A51,PT_DIFFERENTIATION_VTAR_ID,0))</f>
        <v>Тариф на техническую воду</v>
      </c>
      <c r="G51" s="2689" t="str">
        <f>INDEX(PT_DIFFERENTIATION_NTAR,MATCH(B51,PT_DIFFERENTIATION_NTAR_ID,0))</f>
        <v/>
      </c>
      <c r="H51" s="2229"/>
      <c r="I51" s="2105"/>
      <c r="J51" s="2139"/>
      <c r="K51" s="2232"/>
      <c r="L51" s="2229" t="s">
        <v>306</v>
      </c>
      <c r="M51" s="2437"/>
      <c r="N51" s="695"/>
      <c r="O51" s="1990"/>
      <c r="P51" s="1990"/>
    </row>
    <row s="19274" customFormat="1" customHeight="1" ht="18.75" hidden="1">
      <c r="A52" s="2146"/>
      <c r="B52" s="2146"/>
      <c r="C52" s="730" t="s">
        <v>1072</v>
      </c>
      <c r="D52" s="2734"/>
      <c r="E52" s="2477"/>
      <c r="F52" s="2643"/>
      <c r="G52" s="2689"/>
      <c r="H52" s="1866"/>
      <c r="I52" s="1012" t="s">
        <v>1073</v>
      </c>
      <c r="J52" s="932"/>
      <c r="K52" s="1866"/>
      <c r="L52" s="575"/>
      <c r="M52" s="2437"/>
      <c r="N52" s="695"/>
      <c r="O52" s="1990"/>
      <c r="P52" s="1990"/>
    </row>
    <row s="19274" customFormat="1" customHeight="1" ht="0.75" hidden="1">
      <c r="A53" s="2146"/>
      <c r="B53" s="2146"/>
      <c r="C53" s="730" t="s">
        <v>1078</v>
      </c>
      <c r="D53" s="2734"/>
      <c r="E53" s="2477"/>
      <c r="F53" s="2643"/>
      <c r="G53" s="761"/>
      <c r="H53" s="1866"/>
      <c r="I53" s="1012"/>
      <c r="J53" s="932"/>
      <c r="K53" s="1866"/>
      <c r="L53" s="575"/>
      <c r="M53" s="2437"/>
      <c r="N53" s="695"/>
      <c r="O53" s="1990"/>
      <c r="P53" s="1990"/>
    </row>
    <row s="19274" customFormat="1" customHeight="1" ht="18.75" hidden="1">
      <c r="A54" s="2146" t="s">
        <v>230</v>
      </c>
      <c r="B54" s="2146" t="s">
        <v>231</v>
      </c>
      <c r="C54" s="730"/>
      <c r="D54" s="2734"/>
      <c r="E54" s="2477"/>
      <c r="F54" s="2643" t="str">
        <f>INDEX(PT_DIFFERENTIATION_VTAR,MATCH(A54,PT_DIFFERENTIATION_VTAR_ID,0))</f>
        <v>Тариф на транспортировку воды</v>
      </c>
      <c r="G54" s="2689" t="str">
        <f>INDEX(PT_DIFFERENTIATION_NTAR,MATCH(B54,PT_DIFFERENTIATION_NTAR_ID,0))</f>
        <v/>
      </c>
      <c r="H54" s="2229"/>
      <c r="I54" s="2105"/>
      <c r="J54" s="2139"/>
      <c r="K54" s="2232"/>
      <c r="L54" s="2229" t="s">
        <v>306</v>
      </c>
      <c r="M54" s="2437"/>
      <c r="N54" s="695"/>
      <c r="O54" s="1990"/>
      <c r="P54" s="1990"/>
    </row>
    <row s="19274" customFormat="1" customHeight="1" ht="18.75" hidden="1">
      <c r="A55" s="2146"/>
      <c r="B55" s="2146"/>
      <c r="C55" s="730" t="s">
        <v>1072</v>
      </c>
      <c r="D55" s="2734"/>
      <c r="E55" s="2477"/>
      <c r="F55" s="2643"/>
      <c r="G55" s="2689"/>
      <c r="H55" s="1866"/>
      <c r="I55" s="1012" t="s">
        <v>1073</v>
      </c>
      <c r="J55" s="932"/>
      <c r="K55" s="1866"/>
      <c r="L55" s="575"/>
      <c r="M55" s="2437"/>
      <c r="N55" s="695"/>
      <c r="O55" s="1990"/>
      <c r="P55" s="1990"/>
    </row>
    <row s="19274" customFormat="1" customHeight="1" ht="0.75" hidden="1">
      <c r="A56" s="2146"/>
      <c r="B56" s="2146"/>
      <c r="C56" s="730" t="s">
        <v>1078</v>
      </c>
      <c r="D56" s="2734"/>
      <c r="E56" s="2477"/>
      <c r="F56" s="2643"/>
      <c r="G56" s="761"/>
      <c r="H56" s="1866"/>
      <c r="I56" s="1012"/>
      <c r="J56" s="932"/>
      <c r="K56" s="1866"/>
      <c r="L56" s="575"/>
      <c r="M56" s="2437"/>
      <c r="N56" s="695"/>
      <c r="O56" s="1990"/>
      <c r="P56" s="1990"/>
    </row>
    <row s="19274" customFormat="1" customHeight="1" ht="18.75" hidden="1">
      <c r="A57" s="2146" t="s">
        <v>235</v>
      </c>
      <c r="B57" s="2146" t="s">
        <v>236</v>
      </c>
      <c r="C57" s="730"/>
      <c r="D57" s="2734"/>
      <c r="E57" s="2477"/>
      <c r="F57" s="2643" t="str">
        <f>INDEX(PT_DIFFERENTIATION_VTAR,MATCH(A57,PT_DIFFERENTIATION_VTAR_ID,0))</f>
        <v>Тариф на подвоз воды</v>
      </c>
      <c r="G57" s="2689" t="str">
        <f>INDEX(PT_DIFFERENTIATION_NTAR,MATCH(B57,PT_DIFFERENTIATION_NTAR_ID,0))</f>
        <v/>
      </c>
      <c r="H57" s="2229"/>
      <c r="I57" s="2105"/>
      <c r="J57" s="2139"/>
      <c r="K57" s="2232"/>
      <c r="L57" s="2229" t="s">
        <v>306</v>
      </c>
      <c r="M57" s="2437"/>
      <c r="N57" s="695"/>
      <c r="O57" s="1990"/>
      <c r="P57" s="1990"/>
    </row>
    <row s="19274" customFormat="1" customHeight="1" ht="18.75" hidden="1">
      <c r="A58" s="2146"/>
      <c r="B58" s="2146"/>
      <c r="C58" s="730" t="s">
        <v>1072</v>
      </c>
      <c r="D58" s="2734"/>
      <c r="E58" s="2477"/>
      <c r="F58" s="2643"/>
      <c r="G58" s="2689"/>
      <c r="H58" s="1866"/>
      <c r="I58" s="1012" t="s">
        <v>1073</v>
      </c>
      <c r="J58" s="932"/>
      <c r="K58" s="1866"/>
      <c r="L58" s="575"/>
      <c r="M58" s="2437"/>
      <c r="N58" s="695"/>
      <c r="O58" s="1990"/>
      <c r="P58" s="1990"/>
    </row>
    <row s="19274" customFormat="1" customHeight="1" ht="0.75" hidden="1">
      <c r="A59" s="2146"/>
      <c r="B59" s="2146"/>
      <c r="C59" s="730" t="s">
        <v>1078</v>
      </c>
      <c r="D59" s="2734"/>
      <c r="E59" s="2477"/>
      <c r="F59" s="2643"/>
      <c r="G59" s="761"/>
      <c r="H59" s="1866"/>
      <c r="I59" s="1012"/>
      <c r="J59" s="932"/>
      <c r="K59" s="1866"/>
      <c r="L59" s="575"/>
      <c r="M59" s="2437"/>
      <c r="N59" s="695"/>
      <c r="O59" s="1990"/>
      <c r="P59" s="1990"/>
    </row>
    <row s="19274" customFormat="1" customHeight="1" ht="18.75" hidden="1">
      <c r="A60" s="2146" t="s">
        <v>240</v>
      </c>
      <c r="B60" s="2146" t="s">
        <v>241</v>
      </c>
      <c r="C60" s="730"/>
      <c r="D60" s="2734"/>
      <c r="E60" s="2477"/>
      <c r="F60" s="2643" t="str">
        <f>INDEX(PT_DIFFERENTIATION_VTAR,MATCH(A60,PT_DIFFERENTIATION_VTAR_ID,0))</f>
        <v>Тариф на подключение (технологическое присоединение) к централизованной системе холодного водоснабжения</v>
      </c>
      <c r="G60" s="2689" t="str">
        <f>INDEX(PT_DIFFERENTIATION_NTAR,MATCH(B60,PT_DIFFERENTIATION_NTAR_ID,0))</f>
        <v/>
      </c>
      <c r="H60" s="2229"/>
      <c r="I60" s="2105"/>
      <c r="J60" s="2139"/>
      <c r="K60" s="2232"/>
      <c r="L60" s="2229" t="s">
        <v>306</v>
      </c>
      <c r="M60" s="2437"/>
      <c r="N60" s="695"/>
      <c r="O60" s="1990"/>
      <c r="P60" s="1990"/>
    </row>
    <row s="19274" customFormat="1" customHeight="1" ht="18.75" hidden="1">
      <c r="A61" s="2146"/>
      <c r="B61" s="2146"/>
      <c r="C61" s="730" t="s">
        <v>1072</v>
      </c>
      <c r="D61" s="2734"/>
      <c r="E61" s="2477"/>
      <c r="F61" s="2643"/>
      <c r="G61" s="2689"/>
      <c r="H61" s="1866"/>
      <c r="I61" s="1012" t="s">
        <v>1073</v>
      </c>
      <c r="J61" s="932"/>
      <c r="K61" s="1866"/>
      <c r="L61" s="575"/>
      <c r="M61" s="2437"/>
      <c r="N61" s="695"/>
      <c r="O61" s="1990"/>
      <c r="P61" s="1990"/>
    </row>
    <row s="19274" customFormat="1" customHeight="1" ht="0.75" hidden="1">
      <c r="A62" s="2146"/>
      <c r="B62" s="2146"/>
      <c r="C62" s="730" t="s">
        <v>1078</v>
      </c>
      <c r="D62" s="2734"/>
      <c r="E62" s="2477"/>
      <c r="F62" s="2643"/>
      <c r="G62" s="761"/>
      <c r="H62" s="1866"/>
      <c r="I62" s="1012"/>
      <c r="J62" s="932"/>
      <c r="K62" s="1866"/>
      <c r="L62" s="575"/>
      <c r="M62" s="2437"/>
      <c r="N62" s="695"/>
      <c r="O62" s="1990"/>
      <c r="P62" s="1990"/>
    </row>
    <row s="19274" customFormat="1" customHeight="1" ht="18.75" hidden="1">
      <c r="A63" s="2146" t="s">
        <v>247</v>
      </c>
      <c r="B63" s="2146" t="s">
        <v>248</v>
      </c>
      <c r="C63" s="730"/>
      <c r="D63" s="2734"/>
      <c r="E63" s="2477"/>
      <c r="F63" s="2643" t="str">
        <f>INDEX(PT_DIFFERENTIATION_VTAR,MATCH(A63,PT_DIFFERENTIATION_VTAR_ID,0))</f>
        <v>Тариф на горячую воду (горячее водоснабжение)</v>
      </c>
      <c r="G63" s="2689" t="str">
        <f>INDEX(PT_DIFFERENTIATION_NTAR,MATCH(B63,PT_DIFFERENTIATION_NTAR_ID,0))</f>
        <v>Тарифы на горячую воду в закрытых системах горячего водоснабжения</v>
      </c>
      <c r="H63" s="2229"/>
      <c r="I63" s="2105"/>
      <c r="J63" s="2139"/>
      <c r="K63" s="2232"/>
      <c r="L63" s="2229" t="s">
        <v>306</v>
      </c>
      <c r="M63" s="2437"/>
      <c r="N63" s="695"/>
      <c r="O63" s="1990"/>
      <c r="P63" s="1990"/>
    </row>
    <row s="19274" customFormat="1" customHeight="1" ht="18.75" hidden="1">
      <c r="A64" s="2146"/>
      <c r="B64" s="2146"/>
      <c r="C64" s="730" t="s">
        <v>1072</v>
      </c>
      <c r="D64" s="2734"/>
      <c r="E64" s="2477"/>
      <c r="F64" s="2643"/>
      <c r="G64" s="2689"/>
      <c r="H64" s="1866"/>
      <c r="I64" s="1012" t="s">
        <v>1073</v>
      </c>
      <c r="J64" s="932"/>
      <c r="K64" s="1866"/>
      <c r="L64" s="575"/>
      <c r="M64" s="2437"/>
      <c r="N64" s="695"/>
      <c r="O64" s="1990"/>
      <c r="P64" s="1990"/>
    </row>
    <row s="19274" customFormat="1" customHeight="1" ht="0.75" hidden="1">
      <c r="A65" s="2146"/>
      <c r="B65" s="2146"/>
      <c r="C65" s="730" t="s">
        <v>1078</v>
      </c>
      <c r="D65" s="2734"/>
      <c r="E65" s="2477"/>
      <c r="F65" s="2643"/>
      <c r="G65" s="761"/>
      <c r="H65" s="1866"/>
      <c r="I65" s="1012"/>
      <c r="J65" s="932"/>
      <c r="K65" s="1866"/>
      <c r="L65" s="575"/>
      <c r="M65" s="2437"/>
      <c r="N65" s="695"/>
      <c r="O65" s="1990"/>
      <c r="P65" s="1990"/>
    </row>
    <row s="19274" customFormat="1" customHeight="1" ht="18.75" hidden="1">
      <c r="A66" s="2146" t="s">
        <v>255</v>
      </c>
      <c r="B66" s="2146" t="s">
        <v>256</v>
      </c>
      <c r="C66" s="730"/>
      <c r="D66" s="2734"/>
      <c r="E66" s="2477"/>
      <c r="F66" s="2643" t="str">
        <f>INDEX(PT_DIFFERENTIATION_VTAR,MATCH(A66,PT_DIFFERENTIATION_VTAR_ID,0))</f>
        <v>Тариф на транспортировку горячей воды</v>
      </c>
      <c r="G66" s="2689" t="str">
        <f>INDEX(PT_DIFFERENTIATION_NTAR,MATCH(B66,PT_DIFFERENTIATION_NTAR_ID,0))</f>
        <v/>
      </c>
      <c r="H66" s="2229"/>
      <c r="I66" s="2105"/>
      <c r="J66" s="2139"/>
      <c r="K66" s="2232"/>
      <c r="L66" s="2229" t="s">
        <v>306</v>
      </c>
      <c r="M66" s="2437"/>
      <c r="N66" s="695"/>
      <c r="O66" s="1990"/>
      <c r="P66" s="1990"/>
    </row>
    <row s="19274" customFormat="1" customHeight="1" ht="18.75" hidden="1">
      <c r="A67" s="2146"/>
      <c r="B67" s="2146"/>
      <c r="C67" s="730" t="s">
        <v>1072</v>
      </c>
      <c r="D67" s="2734"/>
      <c r="E67" s="2477"/>
      <c r="F67" s="2643"/>
      <c r="G67" s="2689"/>
      <c r="H67" s="1866"/>
      <c r="I67" s="1012" t="s">
        <v>1073</v>
      </c>
      <c r="J67" s="932"/>
      <c r="K67" s="1866"/>
      <c r="L67" s="575"/>
      <c r="M67" s="2437"/>
      <c r="N67" s="695"/>
      <c r="O67" s="1990"/>
      <c r="P67" s="1990"/>
    </row>
    <row s="19274" customFormat="1" customHeight="1" ht="0.75" hidden="1">
      <c r="A68" s="2146"/>
      <c r="B68" s="2146"/>
      <c r="C68" s="730" t="s">
        <v>1078</v>
      </c>
      <c r="D68" s="2734"/>
      <c r="E68" s="2477"/>
      <c r="F68" s="2643"/>
      <c r="G68" s="761"/>
      <c r="H68" s="1866"/>
      <c r="I68" s="1012"/>
      <c r="J68" s="932"/>
      <c r="K68" s="1866"/>
      <c r="L68" s="575"/>
      <c r="M68" s="2437"/>
      <c r="N68" s="695"/>
      <c r="O68" s="1990"/>
      <c r="P68" s="1990"/>
    </row>
    <row s="19274" customFormat="1" customHeight="1" ht="18.75" hidden="1">
      <c r="A69" s="2146" t="s">
        <v>260</v>
      </c>
      <c r="B69" s="2146" t="s">
        <v>261</v>
      </c>
      <c r="C69" s="730"/>
      <c r="D69" s="2734"/>
      <c r="E69" s="2477"/>
      <c r="F69" s="2643" t="str">
        <f>INDEX(PT_DIFFERENTIATION_VTAR,MATCH(A69,PT_DIFFERENTIATION_VTAR_ID,0))</f>
        <v>Тариф на подключение (технологическое присоединение) к централизованной системе горячего водоснабжения</v>
      </c>
      <c r="G69" s="2689" t="str">
        <f>INDEX(PT_DIFFERENTIATION_NTAR,MATCH(B69,PT_DIFFERENTIATION_NTAR_ID,0))</f>
        <v/>
      </c>
      <c r="H69" s="2229"/>
      <c r="I69" s="2105"/>
      <c r="J69" s="2139"/>
      <c r="K69" s="2232"/>
      <c r="L69" s="2229" t="s">
        <v>306</v>
      </c>
      <c r="M69" s="2437"/>
      <c r="N69" s="695"/>
      <c r="O69" s="1990"/>
      <c r="P69" s="1990"/>
    </row>
    <row s="19274" customFormat="1" customHeight="1" ht="18.75" hidden="1">
      <c r="A70" s="2146"/>
      <c r="B70" s="2146"/>
      <c r="C70" s="730" t="s">
        <v>1072</v>
      </c>
      <c r="D70" s="2734"/>
      <c r="E70" s="2477"/>
      <c r="F70" s="2643"/>
      <c r="G70" s="2689"/>
      <c r="H70" s="1866"/>
      <c r="I70" s="1012" t="s">
        <v>1073</v>
      </c>
      <c r="J70" s="932"/>
      <c r="K70" s="1866"/>
      <c r="L70" s="575"/>
      <c r="M70" s="2437"/>
      <c r="N70" s="695"/>
      <c r="O70" s="1990"/>
      <c r="P70" s="1990"/>
    </row>
    <row s="20276" customFormat="1" customHeight="1" ht="18.75">
      <c r="A71" s="7923" t="s">
        <v>260</v>
      </c>
      <c r="B71" s="7923" t="s">
        <v>1079</v>
      </c>
      <c r="C71" s="7924"/>
      <c r="D71" s="7925"/>
      <c r="E71" s="7926"/>
      <c r="F71" s="7926"/>
      <c r="G71" s="7927">
        <f>INDEX(PT_DIFFERENTIATION_NTAR,MATCH(B71,PT_DIFFERENTIATION_NTAR_ID,0))</f>
      </c>
      <c r="H71" s="7928"/>
      <c r="I71" s="7929"/>
      <c r="J71" s="7930"/>
      <c r="K71" s="7931"/>
      <c r="L71" s="7928" t="s">
        <v>306</v>
      </c>
      <c r="M71" s="7932"/>
      <c r="N71" s="7933"/>
      <c r="O71" s="6613"/>
      <c r="P71" s="6613"/>
      <c r="Q71" s="7934"/>
      <c r="R71" s="7934"/>
      <c r="S71" s="7934"/>
      <c r="T71" s="7934"/>
      <c r="U71" s="7934"/>
      <c r="V71" s="7934"/>
      <c r="W71" s="7934"/>
      <c r="X71" s="7934"/>
      <c r="Y71" s="7934"/>
      <c r="Z71" s="7934"/>
      <c r="AA71" s="7934"/>
      <c r="AB71" s="7934"/>
      <c r="AC71" s="7934"/>
      <c r="AD71" s="7934"/>
      <c r="AE71" s="7934"/>
      <c r="AF71" s="7934"/>
      <c r="AG71" s="7934"/>
    </row>
    <row s="20290" customFormat="1" customHeight="1" ht="18.75">
      <c r="A72" s="7923"/>
      <c r="B72" s="7923"/>
      <c r="C72" s="7924" t="s">
        <v>1072</v>
      </c>
      <c r="D72" s="7925"/>
      <c r="E72" s="7926"/>
      <c r="F72" s="7926"/>
      <c r="G72" s="7927"/>
      <c r="H72" s="7935"/>
      <c r="I72" s="7936" t="s">
        <v>1073</v>
      </c>
      <c r="J72" s="7937"/>
      <c r="K72" s="7938"/>
      <c r="L72" s="7939"/>
      <c r="M72" s="7932"/>
      <c r="N72" s="7933"/>
      <c r="O72" s="6613"/>
      <c r="P72" s="6613"/>
      <c r="Q72" s="7934"/>
      <c r="R72" s="7934"/>
      <c r="S72" s="7934"/>
      <c r="T72" s="7934"/>
      <c r="U72" s="7934"/>
      <c r="V72" s="7934"/>
      <c r="W72" s="7934"/>
      <c r="X72" s="7934"/>
      <c r="Y72" s="7934"/>
      <c r="Z72" s="7934"/>
      <c r="AA72" s="7934"/>
      <c r="AB72" s="7934"/>
      <c r="AC72" s="7934"/>
      <c r="AD72" s="7934"/>
      <c r="AE72" s="7934"/>
      <c r="AF72" s="7934"/>
      <c r="AG72" s="7934"/>
    </row>
    <row s="19274" customFormat="1" customHeight="1" ht="0.75" hidden="1">
      <c r="A73" s="2146"/>
      <c r="B73" s="2146"/>
      <c r="C73" s="730" t="s">
        <v>1078</v>
      </c>
      <c r="D73" s="2734"/>
      <c r="E73" s="2477"/>
      <c r="F73" s="2643"/>
      <c r="G73" s="761"/>
      <c r="H73" s="1866"/>
      <c r="I73" s="1012"/>
      <c r="J73" s="932"/>
      <c r="K73" s="1866"/>
      <c r="L73" s="575"/>
      <c r="M73" s="2437"/>
      <c r="N73" s="695"/>
      <c r="O73" s="1990"/>
      <c r="P73" s="1990"/>
    </row>
    <row s="19274" customFormat="1" customHeight="1" ht="18.75" hidden="1">
      <c r="A74" s="2146" t="s">
        <v>265</v>
      </c>
      <c r="B74" s="2146" t="s">
        <v>266</v>
      </c>
      <c r="C74" s="730"/>
      <c r="D74" s="2734"/>
      <c r="E74" s="2477"/>
      <c r="F74" s="2643" t="str">
        <f>INDEX(PT_DIFFERENTIATION_VTAR,MATCH(A74,PT_DIFFERENTIATION_VTAR_ID,0))</f>
        <v>Тариф на водоотведение</v>
      </c>
      <c r="G74" s="2689" t="str">
        <f>INDEX(PT_DIFFERENTIATION_NTAR,MATCH(B74,PT_DIFFERENTIATION_NTAR_ID,0))</f>
        <v/>
      </c>
      <c r="H74" s="2229"/>
      <c r="I74" s="2105"/>
      <c r="J74" s="2139"/>
      <c r="K74" s="2232"/>
      <c r="L74" s="2229" t="s">
        <v>306</v>
      </c>
      <c r="M74" s="2437"/>
      <c r="N74" s="695"/>
      <c r="O74" s="1990"/>
      <c r="P74" s="1990"/>
    </row>
    <row s="19274" customFormat="1" customHeight="1" ht="18.75" hidden="1">
      <c r="A75" s="2146"/>
      <c r="B75" s="2146"/>
      <c r="C75" s="730" t="s">
        <v>1072</v>
      </c>
      <c r="D75" s="2734"/>
      <c r="E75" s="2477"/>
      <c r="F75" s="2643"/>
      <c r="G75" s="2689"/>
      <c r="H75" s="1866"/>
      <c r="I75" s="1012" t="s">
        <v>1073</v>
      </c>
      <c r="J75" s="932"/>
      <c r="K75" s="1866"/>
      <c r="L75" s="575"/>
      <c r="M75" s="2437"/>
      <c r="N75" s="695"/>
      <c r="O75" s="1990"/>
      <c r="P75" s="1990"/>
    </row>
    <row s="19274" customFormat="1" customHeight="1" ht="0.75" hidden="1">
      <c r="A76" s="2146"/>
      <c r="B76" s="2146"/>
      <c r="C76" s="730" t="s">
        <v>1078</v>
      </c>
      <c r="D76" s="2734"/>
      <c r="E76" s="2477"/>
      <c r="F76" s="2643"/>
      <c r="G76" s="761"/>
      <c r="H76" s="1866"/>
      <c r="I76" s="1012"/>
      <c r="J76" s="932"/>
      <c r="K76" s="1866"/>
      <c r="L76" s="575"/>
      <c r="M76" s="2437"/>
      <c r="N76" s="695"/>
      <c r="O76" s="1990"/>
      <c r="P76" s="1990"/>
    </row>
    <row s="19274" customFormat="1" customHeight="1" ht="18.75" hidden="1">
      <c r="A77" s="2146" t="s">
        <v>270</v>
      </c>
      <c r="B77" s="2146" t="s">
        <v>271</v>
      </c>
      <c r="C77" s="730"/>
      <c r="D77" s="2734"/>
      <c r="E77" s="2477"/>
      <c r="F77" s="2643" t="str">
        <f>INDEX(PT_DIFFERENTIATION_VTAR,MATCH(A77,PT_DIFFERENTIATION_VTAR_ID,0))</f>
        <v>Тариф на транспортировку сточных вод</v>
      </c>
      <c r="G77" s="2689" t="str">
        <f>INDEX(PT_DIFFERENTIATION_NTAR,MATCH(B77,PT_DIFFERENTIATION_NTAR_ID,0))</f>
        <v/>
      </c>
      <c r="H77" s="2229"/>
      <c r="I77" s="2105"/>
      <c r="J77" s="2139"/>
      <c r="K77" s="2232"/>
      <c r="L77" s="2229" t="s">
        <v>306</v>
      </c>
      <c r="M77" s="2437"/>
      <c r="N77" s="695"/>
      <c r="O77" s="1990"/>
      <c r="P77" s="1990"/>
    </row>
    <row s="19274" customFormat="1" customHeight="1" ht="18.75" hidden="1">
      <c r="A78" s="2146"/>
      <c r="B78" s="2146"/>
      <c r="C78" s="730" t="s">
        <v>1072</v>
      </c>
      <c r="D78" s="2734"/>
      <c r="E78" s="2477"/>
      <c r="F78" s="2643"/>
      <c r="G78" s="2689"/>
      <c r="H78" s="1866"/>
      <c r="I78" s="1012" t="s">
        <v>1073</v>
      </c>
      <c r="J78" s="932"/>
      <c r="K78" s="1866"/>
      <c r="L78" s="575"/>
      <c r="M78" s="2437"/>
      <c r="N78" s="695"/>
      <c r="O78" s="1990"/>
      <c r="P78" s="1990"/>
    </row>
    <row s="19274" customFormat="1" customHeight="1" ht="0.75" hidden="1">
      <c r="A79" s="2146"/>
      <c r="B79" s="2146"/>
      <c r="C79" s="730" t="s">
        <v>1078</v>
      </c>
      <c r="D79" s="2734"/>
      <c r="E79" s="2477"/>
      <c r="F79" s="2643"/>
      <c r="G79" s="761"/>
      <c r="H79" s="1866"/>
      <c r="I79" s="1012"/>
      <c r="J79" s="932"/>
      <c r="K79" s="1866"/>
      <c r="L79" s="575"/>
      <c r="M79" s="2437"/>
      <c r="N79" s="695"/>
      <c r="O79" s="1990"/>
      <c r="P79" s="1990"/>
    </row>
    <row s="19274" customFormat="1" customHeight="1" ht="18.75" hidden="1">
      <c r="A80" s="2146" t="s">
        <v>275</v>
      </c>
      <c r="B80" s="2146" t="s">
        <v>276</v>
      </c>
      <c r="C80" s="730"/>
      <c r="D80" s="2734"/>
      <c r="E80" s="2477"/>
      <c r="F80" s="2643" t="str">
        <f>INDEX(PT_DIFFERENTIATION_VTAR,MATCH(A80,PT_DIFFERENTIATION_VTAR_ID,0))</f>
        <v>Тариф на подключение (технологическое присоединение) к централизованной системе водоотведения</v>
      </c>
      <c r="G80" s="2689" t="str">
        <f>INDEX(PT_DIFFERENTIATION_NTAR,MATCH(B80,PT_DIFFERENTIATION_NTAR_ID,0))</f>
        <v/>
      </c>
      <c r="H80" s="2229"/>
      <c r="I80" s="2105"/>
      <c r="J80" s="2139"/>
      <c r="K80" s="2232"/>
      <c r="L80" s="2229" t="s">
        <v>306</v>
      </c>
      <c r="M80" s="2437"/>
      <c r="N80" s="695"/>
      <c r="O80" s="1990"/>
      <c r="P80" s="1990"/>
    </row>
    <row s="19274" customFormat="1" customHeight="1" ht="18.75" hidden="1">
      <c r="A81" s="2146"/>
      <c r="B81" s="2146"/>
      <c r="C81" s="730" t="s">
        <v>1072</v>
      </c>
      <c r="D81" s="2734"/>
      <c r="E81" s="2477"/>
      <c r="F81" s="2643"/>
      <c r="G81" s="2689"/>
      <c r="H81" s="1866"/>
      <c r="I81" s="1012" t="s">
        <v>1073</v>
      </c>
      <c r="J81" s="932"/>
      <c r="K81" s="1866"/>
      <c r="L81" s="575"/>
      <c r="M81" s="2437"/>
      <c r="N81" s="695"/>
      <c r="O81" s="1990"/>
      <c r="P81" s="1990"/>
    </row>
    <row s="19274" customFormat="1" customHeight="1" ht="0.75">
      <c r="A82" s="2146"/>
      <c r="B82" s="2146"/>
      <c r="C82" s="730" t="s">
        <v>1078</v>
      </c>
      <c r="D82" s="2734"/>
      <c r="E82" s="2477"/>
      <c r="F82" s="2643"/>
      <c r="G82" s="761"/>
      <c r="H82" s="1866"/>
      <c r="I82" s="1012"/>
      <c r="J82" s="932"/>
      <c r="K82" s="1866"/>
      <c r="L82" s="575"/>
      <c r="M82" s="2437"/>
      <c r="N82" s="695"/>
      <c r="O82" s="1990"/>
      <c r="P82" s="1990"/>
    </row>
    <row customHeight="1" ht="18.75">
      <c r="A83" s="2146"/>
      <c r="B83" s="2146"/>
      <c r="D83" s="737"/>
      <c r="E83" s="509" t="s">
        <v>107</v>
      </c>
      <c r="F83" s="272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3" s="2726"/>
      <c r="H83" s="2726"/>
      <c r="I83" s="2726"/>
      <c r="J83" s="2726"/>
      <c r="K83" s="2726"/>
      <c r="L83" s="2726"/>
      <c r="M83" s="658"/>
      <c r="N83" s="695"/>
    </row>
    <row customHeight="1" ht="33.75">
      <c r="A84" s="2146"/>
      <c r="B84" s="2146"/>
      <c r="D84" s="737"/>
      <c r="E84" s="760"/>
      <c r="F84" s="559" t="s">
        <v>306</v>
      </c>
      <c r="G84" s="559" t="s">
        <v>306</v>
      </c>
      <c r="H84" s="2488" t="s">
        <v>306</v>
      </c>
      <c r="I84" s="2504"/>
      <c r="J84" s="559" t="s">
        <v>306</v>
      </c>
      <c r="K84" s="559" t="s">
        <v>306</v>
      </c>
      <c r="L84" s="762"/>
      <c r="M84" s="706" t="s">
        <v>1080</v>
      </c>
      <c r="N84" s="695"/>
    </row>
    <row customHeight="1" ht="18.75">
      <c r="A85" s="2146"/>
      <c r="B85" s="2146"/>
      <c r="D85" s="737"/>
      <c r="E85" s="509" t="s">
        <v>87</v>
      </c>
      <c r="F85" s="2726" t="s">
        <v>1081</v>
      </c>
      <c r="G85" s="2726"/>
      <c r="H85" s="2726"/>
      <c r="I85" s="2726"/>
      <c r="J85" s="2726"/>
      <c r="K85" s="2726"/>
      <c r="L85" s="2726"/>
      <c r="M85" s="658"/>
      <c r="N85" s="695"/>
    </row>
    <row s="19274" customFormat="1" customHeight="1" ht="60.75" hidden="1">
      <c r="A86" s="2146" t="s">
        <v>152</v>
      </c>
      <c r="B86" s="2146" t="s">
        <v>153</v>
      </c>
      <c r="C86" s="730"/>
      <c r="D86" s="2734"/>
      <c r="E86" s="2477"/>
      <c r="F86" s="2643" t="str">
        <f>INDEX(PT_DIFFERENTIATION_VTAR,MATCH(A86,PT_DIFFERENTIATION_VTAR_ID,0))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6" s="2689" t="str">
        <f>INDEX(PT_DIFFERENTIATION_NTAR,MATCH(B86,PT_DIFFERENTIATION_NTAR_ID,0))</f>
        <v/>
      </c>
      <c r="H86" s="2229"/>
      <c r="I86" s="2105"/>
      <c r="J86" s="2139"/>
      <c r="K86" s="2144"/>
      <c r="L86" s="2229" t="s">
        <v>306</v>
      </c>
      <c r="M86" s="243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6" s="695"/>
      <c r="O86" s="1990"/>
      <c r="P86" s="1990"/>
    </row>
    <row s="19274" customFormat="1" customHeight="1" ht="18.75" hidden="1">
      <c r="A87" s="2146"/>
      <c r="B87" s="2146"/>
      <c r="C87" s="730" t="s">
        <v>1074</v>
      </c>
      <c r="D87" s="2734"/>
      <c r="E87" s="2477"/>
      <c r="F87" s="2643"/>
      <c r="G87" s="2689"/>
      <c r="H87" s="1866"/>
      <c r="I87" s="1012" t="s">
        <v>1073</v>
      </c>
      <c r="J87" s="932"/>
      <c r="K87" s="1866"/>
      <c r="L87" s="575"/>
      <c r="M87" s="2437"/>
      <c r="N87" s="695"/>
      <c r="O87" s="1990"/>
      <c r="P87" s="1990"/>
    </row>
    <row s="19274" customFormat="1" customHeight="1" ht="0.75" hidden="1">
      <c r="A88" s="2146"/>
      <c r="B88" s="2146"/>
      <c r="C88" s="730" t="s">
        <v>1082</v>
      </c>
      <c r="D88" s="2734"/>
      <c r="E88" s="2477"/>
      <c r="F88" s="2643"/>
      <c r="G88" s="761"/>
      <c r="H88" s="1866"/>
      <c r="I88" s="1012"/>
      <c r="J88" s="932"/>
      <c r="K88" s="1866"/>
      <c r="L88" s="575"/>
      <c r="M88" s="2437"/>
      <c r="N88" s="695"/>
      <c r="O88" s="1990"/>
      <c r="P88" s="1990"/>
    </row>
    <row s="19274" customFormat="1" customHeight="1" ht="45" hidden="1">
      <c r="A89" s="2146" t="s">
        <v>158</v>
      </c>
      <c r="B89" s="2146" t="s">
        <v>159</v>
      </c>
      <c r="C89" s="730"/>
      <c r="D89" s="2734"/>
      <c r="E89" s="2477"/>
      <c r="F89" s="2643" t="str">
        <f>INDEX(PT_DIFFERENTIATION_VTAR,MATCH(A89,PT_DIFFERENTIATION_VTAR_ID,0))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9" s="2689" t="str">
        <f>INDEX(PT_DIFFERENTIATION_NTAR,MATCH(B89,PT_DIFFERENTIATION_NTAR_ID,0))</f>
        <v/>
      </c>
      <c r="H89" s="2229"/>
      <c r="I89" s="2105"/>
      <c r="J89" s="2139"/>
      <c r="K89" s="2144"/>
      <c r="L89" s="2229" t="s">
        <v>306</v>
      </c>
      <c r="M89" s="2438"/>
      <c r="N89" s="695"/>
      <c r="O89" s="1990"/>
      <c r="P89" s="1990"/>
    </row>
    <row s="19274" customFormat="1" customHeight="1" ht="18.75" hidden="1">
      <c r="A90" s="2146"/>
      <c r="B90" s="2146"/>
      <c r="C90" s="730" t="s">
        <v>1074</v>
      </c>
      <c r="D90" s="2734"/>
      <c r="E90" s="2477"/>
      <c r="F90" s="2643"/>
      <c r="G90" s="2689"/>
      <c r="H90" s="1866"/>
      <c r="I90" s="1012" t="s">
        <v>1073</v>
      </c>
      <c r="J90" s="932"/>
      <c r="K90" s="1866"/>
      <c r="L90" s="575"/>
      <c r="M90" s="2228"/>
      <c r="N90" s="695"/>
      <c r="O90" s="1990"/>
      <c r="P90" s="1990"/>
    </row>
    <row s="19274" customFormat="1" customHeight="1" ht="0.75" hidden="1">
      <c r="A91" s="2146"/>
      <c r="B91" s="2146"/>
      <c r="C91" s="730" t="s">
        <v>1082</v>
      </c>
      <c r="D91" s="2734"/>
      <c r="E91" s="2477"/>
      <c r="F91" s="2643"/>
      <c r="G91" s="761"/>
      <c r="H91" s="1866"/>
      <c r="I91" s="1012"/>
      <c r="J91" s="932"/>
      <c r="K91" s="1866"/>
      <c r="L91" s="575"/>
      <c r="M91" s="702"/>
      <c r="N91" s="695"/>
      <c r="O91" s="1990"/>
      <c r="P91" s="1990"/>
    </row>
    <row s="19274" customFormat="1" customHeight="1" ht="45" hidden="1">
      <c r="A92" s="2146" t="s">
        <v>164</v>
      </c>
      <c r="B92" s="2146" t="s">
        <v>165</v>
      </c>
      <c r="C92" s="730"/>
      <c r="D92" s="2734"/>
      <c r="E92" s="2477"/>
      <c r="F92" s="2643" t="str">
        <f>INDEX(PT_DIFFERENTIATION_VTAR,MATCH(A92,PT_DIFFERENTIATION_VTAR_ID,0))</f>
        <v>Тарифы на теплоноситель, поставляемый теплоснабжающими организациями потребителям, другим теплоснабжающим организациям</v>
      </c>
      <c r="G92" s="2689" t="str">
        <f>INDEX(PT_DIFFERENTIATION_NTAR,MATCH(B92,PT_DIFFERENTIATION_NTAR_ID,0))</f>
        <v/>
      </c>
      <c r="H92" s="2229"/>
      <c r="I92" s="2105"/>
      <c r="J92" s="2139"/>
      <c r="K92" s="2144"/>
      <c r="L92" s="2229" t="s">
        <v>306</v>
      </c>
      <c r="M92" s="702"/>
      <c r="N92" s="695"/>
      <c r="O92" s="1990"/>
      <c r="P92" s="1990"/>
    </row>
    <row s="19274" customFormat="1" customHeight="1" ht="18.75" hidden="1">
      <c r="A93" s="2146"/>
      <c r="B93" s="2146"/>
      <c r="C93" s="730" t="s">
        <v>1074</v>
      </c>
      <c r="D93" s="2734"/>
      <c r="E93" s="2477"/>
      <c r="F93" s="2643"/>
      <c r="G93" s="2689"/>
      <c r="H93" s="1866"/>
      <c r="I93" s="1012" t="s">
        <v>1073</v>
      </c>
      <c r="J93" s="932"/>
      <c r="K93" s="1866"/>
      <c r="L93" s="575"/>
      <c r="M93" s="702"/>
      <c r="N93" s="695"/>
      <c r="O93" s="1990"/>
      <c r="P93" s="1990"/>
    </row>
    <row s="19274" customFormat="1" customHeight="1" ht="0.75" hidden="1">
      <c r="A94" s="2146"/>
      <c r="B94" s="2146"/>
      <c r="C94" s="730" t="s">
        <v>1082</v>
      </c>
      <c r="D94" s="2734"/>
      <c r="E94" s="2477"/>
      <c r="F94" s="2643"/>
      <c r="G94" s="761"/>
      <c r="H94" s="1866"/>
      <c r="I94" s="1012"/>
      <c r="J94" s="932"/>
      <c r="K94" s="1866"/>
      <c r="L94" s="575"/>
      <c r="M94" s="702"/>
      <c r="N94" s="695"/>
      <c r="O94" s="1990"/>
      <c r="P94" s="1990"/>
    </row>
    <row s="19274" customFormat="1" customHeight="1" ht="45" hidden="1">
      <c r="A95" s="2146" t="s">
        <v>170</v>
      </c>
      <c r="B95" s="2146" t="s">
        <v>171</v>
      </c>
      <c r="C95" s="730"/>
      <c r="D95" s="2734"/>
      <c r="E95" s="2477"/>
      <c r="F95" s="2643" t="str">
        <f>INDEX(PT_DIFFERENTIATION_VTAR,MATCH(A95,PT_DIFFERENTIATION_VTAR_ID,0))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5" s="2689" t="str">
        <f>INDEX(PT_DIFFERENTIATION_NTAR,MATCH(B95,PT_DIFFERENTIATION_NTAR_ID,0))</f>
        <v/>
      </c>
      <c r="H95" s="2229"/>
      <c r="I95" s="2105"/>
      <c r="J95" s="2139"/>
      <c r="K95" s="2144"/>
      <c r="L95" s="2229" t="s">
        <v>306</v>
      </c>
      <c r="M95" s="702"/>
      <c r="N95" s="695"/>
      <c r="O95" s="1990"/>
      <c r="P95" s="1990"/>
    </row>
    <row s="19274" customFormat="1" customHeight="1" ht="18.75" hidden="1">
      <c r="A96" s="2146"/>
      <c r="B96" s="2146"/>
      <c r="C96" s="730" t="s">
        <v>1074</v>
      </c>
      <c r="D96" s="2734"/>
      <c r="E96" s="2477"/>
      <c r="F96" s="2643"/>
      <c r="G96" s="2689"/>
      <c r="H96" s="1866"/>
      <c r="I96" s="1012" t="s">
        <v>1073</v>
      </c>
      <c r="J96" s="932"/>
      <c r="K96" s="1866"/>
      <c r="L96" s="575"/>
      <c r="M96" s="702"/>
      <c r="N96" s="695"/>
      <c r="O96" s="1990"/>
      <c r="P96" s="1990"/>
    </row>
    <row s="19274" customFormat="1" customHeight="1" ht="0.75" hidden="1">
      <c r="A97" s="2146"/>
      <c r="B97" s="2146"/>
      <c r="C97" s="730" t="s">
        <v>1082</v>
      </c>
      <c r="D97" s="2734"/>
      <c r="E97" s="2477"/>
      <c r="F97" s="2643"/>
      <c r="G97" s="761"/>
      <c r="H97" s="1866"/>
      <c r="I97" s="1012"/>
      <c r="J97" s="932"/>
      <c r="K97" s="1866"/>
      <c r="L97" s="575"/>
      <c r="M97" s="702"/>
      <c r="N97" s="695"/>
      <c r="O97" s="1990"/>
      <c r="P97" s="1990"/>
    </row>
    <row s="19274" customFormat="1" customHeight="1" ht="18.75" hidden="1">
      <c r="A98" s="2146" t="s">
        <v>176</v>
      </c>
      <c r="B98" s="2146" t="s">
        <v>177</v>
      </c>
      <c r="C98" s="730"/>
      <c r="D98" s="2734"/>
      <c r="E98" s="2477"/>
      <c r="F98" s="2643" t="str">
        <f>INDEX(PT_DIFFERENTIATION_VTAR,MATCH(A98,PT_DIFFERENTIATION_VTAR_ID,0))</f>
        <v>Тарифы на услуги по передаче тепловой энергии</v>
      </c>
      <c r="G98" s="2689" t="str">
        <f>INDEX(PT_DIFFERENTIATION_NTAR,MATCH(B98,PT_DIFFERENTIATION_NTAR_ID,0))</f>
        <v/>
      </c>
      <c r="H98" s="2229"/>
      <c r="I98" s="2105"/>
      <c r="J98" s="2139"/>
      <c r="K98" s="2144"/>
      <c r="L98" s="2229" t="s">
        <v>306</v>
      </c>
      <c r="M98" s="702"/>
      <c r="N98" s="695"/>
      <c r="O98" s="1990"/>
      <c r="P98" s="1990"/>
    </row>
    <row s="19274" customFormat="1" customHeight="1" ht="18.75" hidden="1">
      <c r="A99" s="2146"/>
      <c r="B99" s="2146"/>
      <c r="C99" s="730" t="s">
        <v>1074</v>
      </c>
      <c r="D99" s="2734"/>
      <c r="E99" s="2477"/>
      <c r="F99" s="2643"/>
      <c r="G99" s="2689"/>
      <c r="H99" s="1866"/>
      <c r="I99" s="1012" t="s">
        <v>1073</v>
      </c>
      <c r="J99" s="932"/>
      <c r="K99" s="1866"/>
      <c r="L99" s="575"/>
      <c r="M99" s="702"/>
      <c r="N99" s="695"/>
      <c r="O99" s="1990"/>
      <c r="P99" s="1990"/>
    </row>
    <row s="19274" customFormat="1" customHeight="1" ht="0.75" hidden="1">
      <c r="A100" s="2146"/>
      <c r="B100" s="2146"/>
      <c r="C100" s="730" t="s">
        <v>1082</v>
      </c>
      <c r="D100" s="2734"/>
      <c r="E100" s="2477"/>
      <c r="F100" s="2643"/>
      <c r="G100" s="761"/>
      <c r="H100" s="1866"/>
      <c r="I100" s="1012"/>
      <c r="J100" s="932"/>
      <c r="K100" s="1866"/>
      <c r="L100" s="575"/>
      <c r="M100" s="702"/>
      <c r="N100" s="695"/>
      <c r="O100" s="1990"/>
      <c r="P100" s="1990"/>
    </row>
    <row s="19274" customFormat="1" customHeight="1" ht="18.75" hidden="1">
      <c r="A101" s="2146" t="s">
        <v>182</v>
      </c>
      <c r="B101" s="2146" t="s">
        <v>183</v>
      </c>
      <c r="C101" s="730"/>
      <c r="D101" s="2734"/>
      <c r="E101" s="2477"/>
      <c r="F101" s="2643" t="str">
        <f>INDEX(PT_DIFFERENTIATION_VTAR,MATCH(A101,PT_DIFFERENTIATION_VTAR_ID,0))</f>
        <v>Тарифы на услуги по передаче теплоносителя</v>
      </c>
      <c r="G101" s="2689" t="str">
        <f>INDEX(PT_DIFFERENTIATION_NTAR,MATCH(B101,PT_DIFFERENTIATION_NTAR_ID,0))</f>
        <v/>
      </c>
      <c r="H101" s="2229"/>
      <c r="I101" s="2105"/>
      <c r="J101" s="2139"/>
      <c r="K101" s="2144"/>
      <c r="L101" s="2229" t="s">
        <v>306</v>
      </c>
      <c r="M101" s="702"/>
      <c r="N101" s="695"/>
      <c r="O101" s="1990"/>
      <c r="P101" s="1990"/>
    </row>
    <row s="19274" customFormat="1" customHeight="1" ht="18.75" hidden="1">
      <c r="A102" s="2146"/>
      <c r="B102" s="2146"/>
      <c r="C102" s="730" t="s">
        <v>1074</v>
      </c>
      <c r="D102" s="2734"/>
      <c r="E102" s="2477"/>
      <c r="F102" s="2643"/>
      <c r="G102" s="2689"/>
      <c r="H102" s="1866"/>
      <c r="I102" s="1012" t="s">
        <v>1073</v>
      </c>
      <c r="J102" s="932"/>
      <c r="K102" s="1866"/>
      <c r="L102" s="575"/>
      <c r="M102" s="702"/>
      <c r="N102" s="695"/>
      <c r="O102" s="1990"/>
      <c r="P102" s="1990"/>
    </row>
    <row s="19274" customFormat="1" customHeight="1" ht="0.75" hidden="1">
      <c r="A103" s="2146"/>
      <c r="B103" s="2146"/>
      <c r="C103" s="730" t="s">
        <v>1082</v>
      </c>
      <c r="D103" s="2734"/>
      <c r="E103" s="2477"/>
      <c r="F103" s="2643"/>
      <c r="G103" s="761"/>
      <c r="H103" s="1866"/>
      <c r="I103" s="1012"/>
      <c r="J103" s="932"/>
      <c r="K103" s="1866"/>
      <c r="L103" s="575"/>
      <c r="M103" s="702"/>
      <c r="N103" s="695"/>
      <c r="O103" s="1990"/>
      <c r="P103" s="1990"/>
    </row>
    <row s="19274" customFormat="1" customHeight="1" ht="18.75" hidden="1">
      <c r="A104" s="2146" t="s">
        <v>188</v>
      </c>
      <c r="B104" s="2146" t="s">
        <v>189</v>
      </c>
      <c r="C104" s="730"/>
      <c r="D104" s="2734"/>
      <c r="E104" s="2477"/>
      <c r="F104" s="2643" t="str">
        <f>INDEX(PT_DIFFERENTIATION_VTAR,MATCH(A104,PT_DIFFERENTIATION_VTAR_ID,0))</f>
        <v>Плата за услуги по поддержанию резервной тепловой мощности при отсутствии потребления тепловой энергии</v>
      </c>
      <c r="G104" s="2689" t="str">
        <f>INDEX(PT_DIFFERENTIATION_NTAR,MATCH(B104,PT_DIFFERENTIATION_NTAR_ID,0))</f>
        <v/>
      </c>
      <c r="H104" s="2229"/>
      <c r="I104" s="2105"/>
      <c r="J104" s="2139"/>
      <c r="K104" s="2144"/>
      <c r="L104" s="2229" t="s">
        <v>306</v>
      </c>
      <c r="M104" s="702"/>
      <c r="N104" s="695"/>
      <c r="O104" s="1990"/>
      <c r="P104" s="1990"/>
    </row>
    <row s="19274" customFormat="1" customHeight="1" ht="18.75" hidden="1">
      <c r="A105" s="2146"/>
      <c r="B105" s="2146"/>
      <c r="C105" s="730" t="s">
        <v>1074</v>
      </c>
      <c r="D105" s="2734"/>
      <c r="E105" s="2477"/>
      <c r="F105" s="2643"/>
      <c r="G105" s="2689"/>
      <c r="H105" s="1866"/>
      <c r="I105" s="1012" t="s">
        <v>1073</v>
      </c>
      <c r="J105" s="932"/>
      <c r="K105" s="1866"/>
      <c r="L105" s="575"/>
      <c r="M105" s="702"/>
      <c r="N105" s="695"/>
      <c r="O105" s="1990"/>
      <c r="P105" s="1990"/>
    </row>
    <row s="19274" customFormat="1" customHeight="1" ht="0.75" hidden="1">
      <c r="A106" s="2146"/>
      <c r="B106" s="2146"/>
      <c r="C106" s="730" t="s">
        <v>1082</v>
      </c>
      <c r="D106" s="2734"/>
      <c r="E106" s="2477"/>
      <c r="F106" s="2643"/>
      <c r="G106" s="761"/>
      <c r="H106" s="1866"/>
      <c r="I106" s="1012"/>
      <c r="J106" s="932"/>
      <c r="K106" s="1866"/>
      <c r="L106" s="575"/>
      <c r="M106" s="702"/>
      <c r="N106" s="695"/>
      <c r="O106" s="1990"/>
      <c r="P106" s="1990"/>
    </row>
    <row s="19274" customFormat="1" customHeight="1" ht="18.75" hidden="1">
      <c r="A107" s="2146" t="s">
        <v>194</v>
      </c>
      <c r="B107" s="2146" t="s">
        <v>195</v>
      </c>
      <c r="C107" s="730"/>
      <c r="D107" s="2734"/>
      <c r="E107" s="2477"/>
      <c r="F107" s="2643" t="str">
        <f>INDEX(PT_DIFFERENTIATION_VTAR,MATCH(A107,PT_DIFFERENTIATION_VTAR_ID,0))</f>
        <v>Плата за подключение (технологическое присоединение) к системе теплоснабжения</v>
      </c>
      <c r="G107" s="2689" t="str">
        <f>INDEX(PT_DIFFERENTIATION_NTAR,MATCH(B107,PT_DIFFERENTIATION_NTAR_ID,0))</f>
        <v/>
      </c>
      <c r="H107" s="2229"/>
      <c r="I107" s="2105"/>
      <c r="J107" s="2139"/>
      <c r="K107" s="2144"/>
      <c r="L107" s="2229" t="s">
        <v>306</v>
      </c>
      <c r="M107" s="702"/>
      <c r="N107" s="695"/>
      <c r="O107" s="1990"/>
      <c r="P107" s="1990"/>
    </row>
    <row s="19274" customFormat="1" customHeight="1" ht="18.75" hidden="1">
      <c r="A108" s="2146"/>
      <c r="B108" s="2146"/>
      <c r="C108" s="730" t="s">
        <v>1074</v>
      </c>
      <c r="D108" s="2734"/>
      <c r="E108" s="2477"/>
      <c r="F108" s="2643"/>
      <c r="G108" s="2689"/>
      <c r="H108" s="1866"/>
      <c r="I108" s="1012" t="s">
        <v>1073</v>
      </c>
      <c r="J108" s="932"/>
      <c r="K108" s="1866"/>
      <c r="L108" s="575"/>
      <c r="M108" s="702"/>
      <c r="N108" s="695"/>
      <c r="O108" s="1990"/>
      <c r="P108" s="1990"/>
    </row>
    <row s="19274" customFormat="1" customHeight="1" ht="0.75" hidden="1">
      <c r="A109" s="2146"/>
      <c r="B109" s="2146"/>
      <c r="C109" s="730" t="s">
        <v>1082</v>
      </c>
      <c r="D109" s="2734"/>
      <c r="E109" s="2477"/>
      <c r="F109" s="2643"/>
      <c r="G109" s="761"/>
      <c r="H109" s="1866"/>
      <c r="I109" s="1012"/>
      <c r="J109" s="932"/>
      <c r="K109" s="1866"/>
      <c r="L109" s="575"/>
      <c r="M109" s="702"/>
      <c r="N109" s="695"/>
      <c r="O109" s="1990"/>
      <c r="P109" s="1990"/>
    </row>
    <row s="19274" customFormat="1" customHeight="1" ht="18.75" hidden="1">
      <c r="A110" s="2146" t="s">
        <v>220</v>
      </c>
      <c r="B110" s="2146" t="s">
        <v>221</v>
      </c>
      <c r="C110" s="730"/>
      <c r="D110" s="2734"/>
      <c r="E110" s="2477"/>
      <c r="F110" s="2643" t="str">
        <f>INDEX(PT_DIFFERENTIATION_VTAR,MATCH(A110,PT_DIFFERENTIATION_VTAR_ID,0))</f>
        <v>Тариф на питьевую воду (питьевое водоснабжение)</v>
      </c>
      <c r="G110" s="2689" t="str">
        <f>INDEX(PT_DIFFERENTIATION_NTAR,MATCH(B110,PT_DIFFERENTIATION_NTAR_ID,0))</f>
        <v/>
      </c>
      <c r="H110" s="2229"/>
      <c r="I110" s="2105"/>
      <c r="J110" s="2139"/>
      <c r="K110" s="2144"/>
      <c r="L110" s="2229" t="s">
        <v>306</v>
      </c>
      <c r="M110" s="702"/>
      <c r="N110" s="695"/>
      <c r="O110" s="1990"/>
      <c r="P110" s="1990"/>
    </row>
    <row s="19274" customFormat="1" customHeight="1" ht="18.75" hidden="1">
      <c r="A111" s="2146"/>
      <c r="B111" s="2146"/>
      <c r="C111" s="730" t="s">
        <v>1074</v>
      </c>
      <c r="D111" s="2734"/>
      <c r="E111" s="2477"/>
      <c r="F111" s="2643"/>
      <c r="G111" s="2689"/>
      <c r="H111" s="1866"/>
      <c r="I111" s="1012" t="s">
        <v>1073</v>
      </c>
      <c r="J111" s="932"/>
      <c r="K111" s="1866"/>
      <c r="L111" s="575"/>
      <c r="M111" s="702"/>
      <c r="N111" s="695"/>
      <c r="O111" s="1990"/>
      <c r="P111" s="1990"/>
    </row>
    <row s="19274" customFormat="1" customHeight="1" ht="0.75" hidden="1">
      <c r="A112" s="2146"/>
      <c r="B112" s="2146"/>
      <c r="C112" s="730" t="s">
        <v>1082</v>
      </c>
      <c r="D112" s="2734"/>
      <c r="E112" s="2477"/>
      <c r="F112" s="2643"/>
      <c r="G112" s="761"/>
      <c r="H112" s="1866"/>
      <c r="I112" s="1012"/>
      <c r="J112" s="932"/>
      <c r="K112" s="1866"/>
      <c r="L112" s="575"/>
      <c r="M112" s="702"/>
      <c r="N112" s="695"/>
      <c r="O112" s="1990"/>
      <c r="P112" s="1990"/>
    </row>
    <row s="19274" customFormat="1" customHeight="1" ht="18.75" hidden="1">
      <c r="A113" s="2146" t="s">
        <v>225</v>
      </c>
      <c r="B113" s="2146" t="s">
        <v>226</v>
      </c>
      <c r="C113" s="730"/>
      <c r="D113" s="2734"/>
      <c r="E113" s="2477"/>
      <c r="F113" s="2643" t="str">
        <f>INDEX(PT_DIFFERENTIATION_VTAR,MATCH(A113,PT_DIFFERENTIATION_VTAR_ID,0))</f>
        <v>Тариф на техническую воду</v>
      </c>
      <c r="G113" s="2689" t="str">
        <f>INDEX(PT_DIFFERENTIATION_NTAR,MATCH(B113,PT_DIFFERENTIATION_NTAR_ID,0))</f>
        <v/>
      </c>
      <c r="H113" s="2229"/>
      <c r="I113" s="2105"/>
      <c r="J113" s="2139"/>
      <c r="K113" s="2144"/>
      <c r="L113" s="2229" t="s">
        <v>306</v>
      </c>
      <c r="M113" s="702"/>
      <c r="N113" s="695"/>
      <c r="O113" s="1990"/>
      <c r="P113" s="1990"/>
    </row>
    <row s="19274" customFormat="1" customHeight="1" ht="18.75" hidden="1">
      <c r="A114" s="2146"/>
      <c r="B114" s="2146"/>
      <c r="C114" s="730" t="s">
        <v>1074</v>
      </c>
      <c r="D114" s="2734"/>
      <c r="E114" s="2477"/>
      <c r="F114" s="2643"/>
      <c r="G114" s="2689"/>
      <c r="H114" s="1866"/>
      <c r="I114" s="1012" t="s">
        <v>1073</v>
      </c>
      <c r="J114" s="932"/>
      <c r="K114" s="1866"/>
      <c r="L114" s="575"/>
      <c r="M114" s="702"/>
      <c r="N114" s="695"/>
      <c r="O114" s="1990"/>
      <c r="P114" s="1990"/>
    </row>
    <row s="19274" customFormat="1" customHeight="1" ht="0.75" hidden="1">
      <c r="A115" s="2146"/>
      <c r="B115" s="2146"/>
      <c r="C115" s="730" t="s">
        <v>1082</v>
      </c>
      <c r="D115" s="2734"/>
      <c r="E115" s="2477"/>
      <c r="F115" s="2643"/>
      <c r="G115" s="761"/>
      <c r="H115" s="1866"/>
      <c r="I115" s="1012"/>
      <c r="J115" s="932"/>
      <c r="K115" s="1866"/>
      <c r="L115" s="575"/>
      <c r="M115" s="702"/>
      <c r="N115" s="695"/>
      <c r="O115" s="1990"/>
      <c r="P115" s="1990"/>
    </row>
    <row s="19274" customFormat="1" customHeight="1" ht="18.75" hidden="1">
      <c r="A116" s="2146" t="s">
        <v>230</v>
      </c>
      <c r="B116" s="2146" t="s">
        <v>231</v>
      </c>
      <c r="C116" s="730"/>
      <c r="D116" s="2734"/>
      <c r="E116" s="2477"/>
      <c r="F116" s="2643" t="str">
        <f>INDEX(PT_DIFFERENTIATION_VTAR,MATCH(A116,PT_DIFFERENTIATION_VTAR_ID,0))</f>
        <v>Тариф на транспортировку воды</v>
      </c>
      <c r="G116" s="2689" t="str">
        <f>INDEX(PT_DIFFERENTIATION_NTAR,MATCH(B116,PT_DIFFERENTIATION_NTAR_ID,0))</f>
        <v/>
      </c>
      <c r="H116" s="2229"/>
      <c r="I116" s="2105"/>
      <c r="J116" s="2139"/>
      <c r="K116" s="2144"/>
      <c r="L116" s="2229" t="s">
        <v>306</v>
      </c>
      <c r="M116" s="702"/>
      <c r="N116" s="695"/>
      <c r="O116" s="1990"/>
      <c r="P116" s="1990"/>
    </row>
    <row s="19274" customFormat="1" customHeight="1" ht="18.75" hidden="1">
      <c r="A117" s="2146"/>
      <c r="B117" s="2146"/>
      <c r="C117" s="730" t="s">
        <v>1074</v>
      </c>
      <c r="D117" s="2734"/>
      <c r="E117" s="2477"/>
      <c r="F117" s="2643"/>
      <c r="G117" s="2689"/>
      <c r="H117" s="1866"/>
      <c r="I117" s="1012" t="s">
        <v>1073</v>
      </c>
      <c r="J117" s="932"/>
      <c r="K117" s="1866"/>
      <c r="L117" s="575"/>
      <c r="M117" s="702"/>
      <c r="N117" s="695"/>
      <c r="O117" s="1990"/>
      <c r="P117" s="1990"/>
    </row>
    <row s="19274" customFormat="1" customHeight="1" ht="0.75" hidden="1">
      <c r="A118" s="2146"/>
      <c r="B118" s="2146"/>
      <c r="C118" s="730" t="s">
        <v>1082</v>
      </c>
      <c r="D118" s="2734"/>
      <c r="E118" s="2477"/>
      <c r="F118" s="2643"/>
      <c r="G118" s="761"/>
      <c r="H118" s="1866"/>
      <c r="I118" s="1012"/>
      <c r="J118" s="932"/>
      <c r="K118" s="1866"/>
      <c r="L118" s="575"/>
      <c r="M118" s="702"/>
      <c r="N118" s="695"/>
      <c r="O118" s="1990"/>
      <c r="P118" s="1990"/>
    </row>
    <row s="19274" customFormat="1" customHeight="1" ht="18.75" hidden="1">
      <c r="A119" s="2146" t="s">
        <v>235</v>
      </c>
      <c r="B119" s="2146" t="s">
        <v>236</v>
      </c>
      <c r="C119" s="730"/>
      <c r="D119" s="2734"/>
      <c r="E119" s="2477"/>
      <c r="F119" s="2643" t="str">
        <f>INDEX(PT_DIFFERENTIATION_VTAR,MATCH(A119,PT_DIFFERENTIATION_VTAR_ID,0))</f>
        <v>Тариф на подвоз воды</v>
      </c>
      <c r="G119" s="2689" t="str">
        <f>INDEX(PT_DIFFERENTIATION_NTAR,MATCH(B119,PT_DIFFERENTIATION_NTAR_ID,0))</f>
        <v/>
      </c>
      <c r="H119" s="2229"/>
      <c r="I119" s="2105"/>
      <c r="J119" s="2139"/>
      <c r="K119" s="2144"/>
      <c r="L119" s="2229" t="s">
        <v>306</v>
      </c>
      <c r="M119" s="702"/>
      <c r="N119" s="695"/>
      <c r="O119" s="1990"/>
      <c r="P119" s="1990"/>
    </row>
    <row s="19274" customFormat="1" customHeight="1" ht="18.75" hidden="1">
      <c r="A120" s="2146"/>
      <c r="B120" s="2146"/>
      <c r="C120" s="730" t="s">
        <v>1074</v>
      </c>
      <c r="D120" s="2734"/>
      <c r="E120" s="2477"/>
      <c r="F120" s="2643"/>
      <c r="G120" s="2689"/>
      <c r="H120" s="1866"/>
      <c r="I120" s="1012" t="s">
        <v>1073</v>
      </c>
      <c r="J120" s="932"/>
      <c r="K120" s="1866"/>
      <c r="L120" s="575"/>
      <c r="M120" s="702"/>
      <c r="N120" s="695"/>
      <c r="O120" s="1990"/>
      <c r="P120" s="1990"/>
    </row>
    <row s="19274" customFormat="1" customHeight="1" ht="0.75" hidden="1">
      <c r="A121" s="2146"/>
      <c r="B121" s="2146"/>
      <c r="C121" s="730" t="s">
        <v>1082</v>
      </c>
      <c r="D121" s="2734"/>
      <c r="E121" s="2477"/>
      <c r="F121" s="2643"/>
      <c r="G121" s="761"/>
      <c r="H121" s="1866"/>
      <c r="I121" s="1012"/>
      <c r="J121" s="932"/>
      <c r="K121" s="1866"/>
      <c r="L121" s="575"/>
      <c r="M121" s="702"/>
      <c r="N121" s="695"/>
      <c r="O121" s="1990"/>
      <c r="P121" s="1990"/>
    </row>
    <row s="19274" customFormat="1" customHeight="1" ht="18.75" hidden="1">
      <c r="A122" s="2146" t="s">
        <v>240</v>
      </c>
      <c r="B122" s="2146" t="s">
        <v>241</v>
      </c>
      <c r="C122" s="730"/>
      <c r="D122" s="2734"/>
      <c r="E122" s="2477"/>
      <c r="F122" s="2643" t="str">
        <f>INDEX(PT_DIFFERENTIATION_VTAR,MATCH(A122,PT_DIFFERENTIATION_VTAR_ID,0))</f>
        <v>Тариф на подключение (технологическое присоединение) к централизованной системе холодного водоснабжения</v>
      </c>
      <c r="G122" s="2689" t="str">
        <f>INDEX(PT_DIFFERENTIATION_NTAR,MATCH(B122,PT_DIFFERENTIATION_NTAR_ID,0))</f>
        <v/>
      </c>
      <c r="H122" s="2229"/>
      <c r="I122" s="2105"/>
      <c r="J122" s="2139"/>
      <c r="K122" s="2144"/>
      <c r="L122" s="2229" t="s">
        <v>306</v>
      </c>
      <c r="M122" s="702"/>
      <c r="N122" s="695"/>
      <c r="O122" s="1990"/>
      <c r="P122" s="1990"/>
    </row>
    <row s="19274" customFormat="1" customHeight="1" ht="18.75" hidden="1">
      <c r="A123" s="2146"/>
      <c r="B123" s="2146"/>
      <c r="C123" s="730" t="s">
        <v>1074</v>
      </c>
      <c r="D123" s="2734"/>
      <c r="E123" s="2477"/>
      <c r="F123" s="2643"/>
      <c r="G123" s="2689"/>
      <c r="H123" s="1866"/>
      <c r="I123" s="1012" t="s">
        <v>1073</v>
      </c>
      <c r="J123" s="932"/>
      <c r="K123" s="1866"/>
      <c r="L123" s="575"/>
      <c r="M123" s="702"/>
      <c r="N123" s="695"/>
      <c r="O123" s="1990"/>
      <c r="P123" s="1990"/>
    </row>
    <row s="19274" customFormat="1" customHeight="1" ht="0.75" hidden="1">
      <c r="A124" s="2146"/>
      <c r="B124" s="2146"/>
      <c r="C124" s="730" t="s">
        <v>1082</v>
      </c>
      <c r="D124" s="2734"/>
      <c r="E124" s="2477"/>
      <c r="F124" s="2643"/>
      <c r="G124" s="761"/>
      <c r="H124" s="1866"/>
      <c r="I124" s="1012"/>
      <c r="J124" s="932"/>
      <c r="K124" s="1866"/>
      <c r="L124" s="575"/>
      <c r="M124" s="702"/>
      <c r="N124" s="695"/>
      <c r="O124" s="1990"/>
      <c r="P124" s="1990"/>
    </row>
    <row s="19274" customFormat="1" customHeight="1" ht="18.75" hidden="1">
      <c r="A125" s="2146" t="s">
        <v>247</v>
      </c>
      <c r="B125" s="2146" t="s">
        <v>248</v>
      </c>
      <c r="C125" s="730"/>
      <c r="D125" s="2734"/>
      <c r="E125" s="2477"/>
      <c r="F125" s="2643" t="str">
        <f>INDEX(PT_DIFFERENTIATION_VTAR,MATCH(A125,PT_DIFFERENTIATION_VTAR_ID,0))</f>
        <v>Тариф на горячую воду (горячее водоснабжение)</v>
      </c>
      <c r="G125" s="2689" t="str">
        <f>INDEX(PT_DIFFERENTIATION_NTAR,MATCH(B125,PT_DIFFERENTIATION_NTAR_ID,0))</f>
        <v>Тарифы на горячую воду в закрытых системах горячего водоснабжения</v>
      </c>
      <c r="H125" s="2229"/>
      <c r="I125" s="2105"/>
      <c r="J125" s="2139"/>
      <c r="K125" s="2144"/>
      <c r="L125" s="2229" t="s">
        <v>306</v>
      </c>
      <c r="M125" s="702"/>
      <c r="N125" s="695"/>
      <c r="O125" s="1990"/>
      <c r="P125" s="1990"/>
    </row>
    <row s="19274" customFormat="1" customHeight="1" ht="18.75" hidden="1">
      <c r="A126" s="2146"/>
      <c r="B126" s="2146"/>
      <c r="C126" s="730" t="s">
        <v>1074</v>
      </c>
      <c r="D126" s="2734"/>
      <c r="E126" s="2477"/>
      <c r="F126" s="2643"/>
      <c r="G126" s="2689"/>
      <c r="H126" s="1866"/>
      <c r="I126" s="1012" t="s">
        <v>1073</v>
      </c>
      <c r="J126" s="932"/>
      <c r="K126" s="1866"/>
      <c r="L126" s="575"/>
      <c r="M126" s="702"/>
      <c r="N126" s="695"/>
      <c r="O126" s="1990"/>
      <c r="P126" s="1990"/>
    </row>
    <row s="19274" customFormat="1" customHeight="1" ht="0.75" hidden="1">
      <c r="A127" s="2146"/>
      <c r="B127" s="2146"/>
      <c r="C127" s="730" t="s">
        <v>1082</v>
      </c>
      <c r="D127" s="2734"/>
      <c r="E127" s="2477"/>
      <c r="F127" s="2643"/>
      <c r="G127" s="761"/>
      <c r="H127" s="1866"/>
      <c r="I127" s="1012"/>
      <c r="J127" s="932"/>
      <c r="K127" s="1866"/>
      <c r="L127" s="575"/>
      <c r="M127" s="702"/>
      <c r="N127" s="695"/>
      <c r="O127" s="1990"/>
      <c r="P127" s="1990"/>
    </row>
    <row s="19274" customFormat="1" customHeight="1" ht="18.75" hidden="1">
      <c r="A128" s="2146" t="s">
        <v>255</v>
      </c>
      <c r="B128" s="2146" t="s">
        <v>256</v>
      </c>
      <c r="C128" s="730"/>
      <c r="D128" s="2734"/>
      <c r="E128" s="2477"/>
      <c r="F128" s="2643" t="str">
        <f>INDEX(PT_DIFFERENTIATION_VTAR,MATCH(A128,PT_DIFFERENTIATION_VTAR_ID,0))</f>
        <v>Тариф на транспортировку горячей воды</v>
      </c>
      <c r="G128" s="2689" t="str">
        <f>INDEX(PT_DIFFERENTIATION_NTAR,MATCH(B128,PT_DIFFERENTIATION_NTAR_ID,0))</f>
        <v/>
      </c>
      <c r="H128" s="2229"/>
      <c r="I128" s="2105"/>
      <c r="J128" s="2139"/>
      <c r="K128" s="2144"/>
      <c r="L128" s="2229" t="s">
        <v>306</v>
      </c>
      <c r="M128" s="702"/>
      <c r="N128" s="695"/>
      <c r="O128" s="1990"/>
      <c r="P128" s="1990"/>
    </row>
    <row s="19274" customFormat="1" customHeight="1" ht="18.75" hidden="1">
      <c r="A129" s="2146"/>
      <c r="B129" s="2146"/>
      <c r="C129" s="730" t="s">
        <v>1074</v>
      </c>
      <c r="D129" s="2734"/>
      <c r="E129" s="2477"/>
      <c r="F129" s="2643"/>
      <c r="G129" s="2689"/>
      <c r="H129" s="1866"/>
      <c r="I129" s="1012" t="s">
        <v>1073</v>
      </c>
      <c r="J129" s="932"/>
      <c r="K129" s="1866"/>
      <c r="L129" s="575"/>
      <c r="M129" s="702"/>
      <c r="N129" s="695"/>
      <c r="O129" s="1990"/>
      <c r="P129" s="1990"/>
    </row>
    <row s="19274" customFormat="1" customHeight="1" ht="0.75" hidden="1">
      <c r="A130" s="2146"/>
      <c r="B130" s="2146"/>
      <c r="C130" s="730" t="s">
        <v>1082</v>
      </c>
      <c r="D130" s="2734"/>
      <c r="E130" s="2477"/>
      <c r="F130" s="2643"/>
      <c r="G130" s="761"/>
      <c r="H130" s="1866"/>
      <c r="I130" s="1012"/>
      <c r="J130" s="932"/>
      <c r="K130" s="1866"/>
      <c r="L130" s="575"/>
      <c r="M130" s="702"/>
      <c r="N130" s="695"/>
      <c r="O130" s="1990"/>
      <c r="P130" s="1990"/>
    </row>
    <row s="19274" customFormat="1" customHeight="1" ht="18.75" hidden="1">
      <c r="A131" s="2146" t="s">
        <v>260</v>
      </c>
      <c r="B131" s="2146" t="s">
        <v>261</v>
      </c>
      <c r="C131" s="730"/>
      <c r="D131" s="2734"/>
      <c r="E131" s="2477"/>
      <c r="F131" s="2643" t="str">
        <f>INDEX(PT_DIFFERENTIATION_VTAR,MATCH(A131,PT_DIFFERENTIATION_VTAR_ID,0))</f>
        <v>Тариф на подключение (технологическое присоединение) к централизованной системе горячего водоснабжения</v>
      </c>
      <c r="G131" s="2689" t="str">
        <f>INDEX(PT_DIFFERENTIATION_NTAR,MATCH(B131,PT_DIFFERENTIATION_NTAR_ID,0))</f>
        <v/>
      </c>
      <c r="H131" s="2229"/>
      <c r="I131" s="2105"/>
      <c r="J131" s="2139"/>
      <c r="K131" s="2144"/>
      <c r="L131" s="2229" t="s">
        <v>306</v>
      </c>
      <c r="M131" s="702"/>
      <c r="N131" s="695"/>
      <c r="O131" s="1990"/>
      <c r="P131" s="1990"/>
    </row>
    <row s="19274" customFormat="1" customHeight="1" ht="18.75" hidden="1">
      <c r="A132" s="2146"/>
      <c r="B132" s="2146"/>
      <c r="C132" s="730" t="s">
        <v>1074</v>
      </c>
      <c r="D132" s="2734"/>
      <c r="E132" s="2477"/>
      <c r="F132" s="2643"/>
      <c r="G132" s="2689"/>
      <c r="H132" s="1866"/>
      <c r="I132" s="1012" t="s">
        <v>1073</v>
      </c>
      <c r="J132" s="932"/>
      <c r="K132" s="1866"/>
      <c r="L132" s="575"/>
      <c r="M132" s="702"/>
      <c r="N132" s="695"/>
      <c r="O132" s="1990"/>
      <c r="P132" s="1990"/>
    </row>
    <row s="20290" customFormat="1" customHeight="1" ht="18.75">
      <c r="A133" s="7923" t="s">
        <v>260</v>
      </c>
      <c r="B133" s="7923" t="s">
        <v>1079</v>
      </c>
      <c r="C133" s="7924"/>
      <c r="D133" s="7925"/>
      <c r="E133" s="7926"/>
      <c r="F133" s="7926"/>
      <c r="G133" s="7927">
        <f>INDEX(PT_DIFFERENTIATION_NTAR,MATCH(B133,PT_DIFFERENTIATION_NTAR_ID,0))</f>
      </c>
      <c r="H133" s="7928"/>
      <c r="I133" s="7929"/>
      <c r="J133" s="7930"/>
      <c r="K133" s="7943"/>
      <c r="L133" s="7928" t="s">
        <v>306</v>
      </c>
      <c r="M133" s="7932"/>
      <c r="N133" s="7933"/>
      <c r="O133" s="6613"/>
      <c r="P133" s="6613"/>
      <c r="Q133" s="7934"/>
      <c r="R133" s="7934"/>
      <c r="S133" s="7934"/>
      <c r="T133" s="7934"/>
      <c r="U133" s="7934"/>
      <c r="V133" s="7934"/>
      <c r="W133" s="7934"/>
      <c r="X133" s="7934"/>
      <c r="Y133" s="7934"/>
      <c r="Z133" s="7934"/>
      <c r="AA133" s="7934"/>
      <c r="AB133" s="7934"/>
      <c r="AC133" s="7934"/>
      <c r="AD133" s="7934"/>
      <c r="AE133" s="7934"/>
      <c r="AF133" s="7934"/>
      <c r="AG133" s="7934"/>
    </row>
    <row s="20290" customFormat="1" customHeight="1" ht="18.75">
      <c r="A134" s="7923"/>
      <c r="B134" s="7923"/>
      <c r="C134" s="7924" t="s">
        <v>1074</v>
      </c>
      <c r="D134" s="7925"/>
      <c r="E134" s="7926"/>
      <c r="F134" s="7926"/>
      <c r="G134" s="7927"/>
      <c r="H134" s="7944"/>
      <c r="I134" s="7945" t="s">
        <v>1073</v>
      </c>
      <c r="J134" s="7946"/>
      <c r="K134" s="7947"/>
      <c r="L134" s="7948"/>
      <c r="M134" s="7932"/>
      <c r="N134" s="7933"/>
      <c r="O134" s="6613"/>
      <c r="P134" s="6613"/>
      <c r="Q134" s="7934"/>
      <c r="R134" s="7934"/>
      <c r="S134" s="7934"/>
      <c r="T134" s="7934"/>
      <c r="U134" s="7934"/>
      <c r="V134" s="7934"/>
      <c r="W134" s="7934"/>
      <c r="X134" s="7934"/>
      <c r="Y134" s="7934"/>
      <c r="Z134" s="7934"/>
      <c r="AA134" s="7934"/>
      <c r="AB134" s="7934"/>
      <c r="AC134" s="7934"/>
      <c r="AD134" s="7934"/>
      <c r="AE134" s="7934"/>
      <c r="AF134" s="7934"/>
      <c r="AG134" s="7934"/>
    </row>
    <row s="19274" customFormat="1" customHeight="1" ht="0.75" hidden="1">
      <c r="A135" s="2146"/>
      <c r="B135" s="2146"/>
      <c r="C135" s="730" t="s">
        <v>1082</v>
      </c>
      <c r="D135" s="2734"/>
      <c r="E135" s="2477"/>
      <c r="F135" s="2643"/>
      <c r="G135" s="761"/>
      <c r="H135" s="1866"/>
      <c r="I135" s="1012"/>
      <c r="J135" s="932"/>
      <c r="K135" s="1866"/>
      <c r="L135" s="575"/>
      <c r="M135" s="702"/>
      <c r="N135" s="695"/>
      <c r="O135" s="1990"/>
      <c r="P135" s="1990"/>
    </row>
    <row s="19274" customFormat="1" customHeight="1" ht="18.75" hidden="1">
      <c r="A136" s="2146" t="s">
        <v>265</v>
      </c>
      <c r="B136" s="2146" t="s">
        <v>266</v>
      </c>
      <c r="C136" s="730"/>
      <c r="D136" s="2734"/>
      <c r="E136" s="2477"/>
      <c r="F136" s="2643" t="str">
        <f>INDEX(PT_DIFFERENTIATION_VTAR,MATCH(A136,PT_DIFFERENTIATION_VTAR_ID,0))</f>
        <v>Тариф на водоотведение</v>
      </c>
      <c r="G136" s="2689" t="str">
        <f>INDEX(PT_DIFFERENTIATION_NTAR,MATCH(B136,PT_DIFFERENTIATION_NTAR_ID,0))</f>
        <v/>
      </c>
      <c r="H136" s="2229"/>
      <c r="I136" s="2105"/>
      <c r="J136" s="2139"/>
      <c r="K136" s="2144"/>
      <c r="L136" s="2229" t="s">
        <v>306</v>
      </c>
      <c r="M136" s="702"/>
      <c r="N136" s="695"/>
      <c r="O136" s="1990"/>
      <c r="P136" s="1990"/>
    </row>
    <row s="19274" customFormat="1" customHeight="1" ht="18.75" hidden="1">
      <c r="A137" s="2146"/>
      <c r="B137" s="2146"/>
      <c r="C137" s="730" t="s">
        <v>1074</v>
      </c>
      <c r="D137" s="2734"/>
      <c r="E137" s="2477"/>
      <c r="F137" s="2643"/>
      <c r="G137" s="2689"/>
      <c r="H137" s="1866"/>
      <c r="I137" s="1012" t="s">
        <v>1073</v>
      </c>
      <c r="J137" s="932"/>
      <c r="K137" s="1866"/>
      <c r="L137" s="575"/>
      <c r="M137" s="702"/>
      <c r="N137" s="695"/>
      <c r="O137" s="1990"/>
      <c r="P137" s="1990"/>
    </row>
    <row s="19274" customFormat="1" customHeight="1" ht="0.75" hidden="1">
      <c r="A138" s="2146"/>
      <c r="B138" s="2146"/>
      <c r="C138" s="730" t="s">
        <v>1082</v>
      </c>
      <c r="D138" s="2734"/>
      <c r="E138" s="2477"/>
      <c r="F138" s="2643"/>
      <c r="G138" s="761"/>
      <c r="H138" s="1866"/>
      <c r="I138" s="1012"/>
      <c r="J138" s="932"/>
      <c r="K138" s="1866"/>
      <c r="L138" s="575"/>
      <c r="M138" s="702"/>
      <c r="N138" s="695"/>
      <c r="O138" s="1990"/>
      <c r="P138" s="1990"/>
    </row>
    <row s="19274" customFormat="1" customHeight="1" ht="18.75" hidden="1">
      <c r="A139" s="2146" t="s">
        <v>270</v>
      </c>
      <c r="B139" s="2146" t="s">
        <v>271</v>
      </c>
      <c r="C139" s="730"/>
      <c r="D139" s="2734"/>
      <c r="E139" s="2477"/>
      <c r="F139" s="2643" t="str">
        <f>INDEX(PT_DIFFERENTIATION_VTAR,MATCH(A139,PT_DIFFERENTIATION_VTAR_ID,0))</f>
        <v>Тариф на транспортировку сточных вод</v>
      </c>
      <c r="G139" s="2689" t="str">
        <f>INDEX(PT_DIFFERENTIATION_NTAR,MATCH(B139,PT_DIFFERENTIATION_NTAR_ID,0))</f>
        <v/>
      </c>
      <c r="H139" s="2229"/>
      <c r="I139" s="2105"/>
      <c r="J139" s="2139"/>
      <c r="K139" s="2144"/>
      <c r="L139" s="2229" t="s">
        <v>306</v>
      </c>
      <c r="M139" s="702"/>
      <c r="N139" s="695"/>
      <c r="O139" s="1990"/>
      <c r="P139" s="1990"/>
    </row>
    <row s="19274" customFormat="1" customHeight="1" ht="18.75" hidden="1">
      <c r="A140" s="2146"/>
      <c r="B140" s="2146"/>
      <c r="C140" s="730" t="s">
        <v>1074</v>
      </c>
      <c r="D140" s="2734"/>
      <c r="E140" s="2477"/>
      <c r="F140" s="2643"/>
      <c r="G140" s="2689"/>
      <c r="H140" s="1866"/>
      <c r="I140" s="1012" t="s">
        <v>1073</v>
      </c>
      <c r="J140" s="932"/>
      <c r="K140" s="1866"/>
      <c r="L140" s="575"/>
      <c r="M140" s="702"/>
      <c r="N140" s="695"/>
      <c r="O140" s="1990"/>
      <c r="P140" s="1990"/>
    </row>
    <row s="19274" customFormat="1" customHeight="1" ht="0.75" hidden="1">
      <c r="A141" s="2146"/>
      <c r="B141" s="2146"/>
      <c r="C141" s="730" t="s">
        <v>1082</v>
      </c>
      <c r="D141" s="2734"/>
      <c r="E141" s="2477"/>
      <c r="F141" s="2643"/>
      <c r="G141" s="761"/>
      <c r="H141" s="1866"/>
      <c r="I141" s="1012"/>
      <c r="J141" s="932"/>
      <c r="K141" s="1866"/>
      <c r="L141" s="575"/>
      <c r="M141" s="702"/>
      <c r="N141" s="695"/>
      <c r="O141" s="1990"/>
      <c r="P141" s="1990"/>
    </row>
    <row s="19274" customFormat="1" customHeight="1" ht="18.75" hidden="1">
      <c r="A142" s="2146" t="s">
        <v>275</v>
      </c>
      <c r="B142" s="2146" t="s">
        <v>276</v>
      </c>
      <c r="C142" s="730"/>
      <c r="D142" s="2734"/>
      <c r="E142" s="2477"/>
      <c r="F142" s="2643" t="str">
        <f>INDEX(PT_DIFFERENTIATION_VTAR,MATCH(A142,PT_DIFFERENTIATION_VTAR_ID,0))</f>
        <v>Тариф на подключение (технологическое присоединение) к централизованной системе водоотведения</v>
      </c>
      <c r="G142" s="2689" t="str">
        <f>INDEX(PT_DIFFERENTIATION_NTAR,MATCH(B142,PT_DIFFERENTIATION_NTAR_ID,0))</f>
        <v/>
      </c>
      <c r="H142" s="2229"/>
      <c r="I142" s="2105"/>
      <c r="J142" s="2139"/>
      <c r="K142" s="2144"/>
      <c r="L142" s="2229" t="s">
        <v>306</v>
      </c>
      <c r="M142" s="702"/>
      <c r="N142" s="695"/>
      <c r="O142" s="1990"/>
      <c r="P142" s="1990"/>
    </row>
    <row s="19274" customFormat="1" customHeight="1" ht="18.75" hidden="1">
      <c r="A143" s="2146"/>
      <c r="B143" s="2146"/>
      <c r="C143" s="730" t="s">
        <v>1074</v>
      </c>
      <c r="D143" s="2734"/>
      <c r="E143" s="2477"/>
      <c r="F143" s="2643"/>
      <c r="G143" s="2689"/>
      <c r="H143" s="1866"/>
      <c r="I143" s="1012" t="s">
        <v>1073</v>
      </c>
      <c r="J143" s="932"/>
      <c r="K143" s="1866"/>
      <c r="L143" s="575"/>
      <c r="M143" s="702"/>
      <c r="N143" s="695"/>
      <c r="O143" s="1990"/>
      <c r="P143" s="1990"/>
    </row>
    <row s="19274" customFormat="1" customHeight="1" ht="0.75">
      <c r="A144" s="2146"/>
      <c r="B144" s="2146"/>
      <c r="C144" s="730" t="s">
        <v>1082</v>
      </c>
      <c r="D144" s="2734"/>
      <c r="E144" s="2477"/>
      <c r="F144" s="2643"/>
      <c r="G144" s="761"/>
      <c r="H144" s="1866"/>
      <c r="I144" s="1012"/>
      <c r="J144" s="932"/>
      <c r="K144" s="1866"/>
      <c r="L144" s="575"/>
      <c r="M144" s="702"/>
      <c r="N144" s="695"/>
      <c r="O144" s="1990"/>
      <c r="P144" s="1990"/>
    </row>
    <row customHeight="1" ht="18.75">
      <c r="A145" s="2146"/>
      <c r="B145" s="2146"/>
      <c r="D145" s="737"/>
      <c r="E145" s="509" t="s">
        <v>88</v>
      </c>
      <c r="F145" s="272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5" s="2726"/>
      <c r="H145" s="2726"/>
      <c r="I145" s="2726"/>
      <c r="J145" s="2726"/>
      <c r="K145" s="2726"/>
      <c r="L145" s="2726"/>
      <c r="M145" s="658"/>
      <c r="N145" s="695"/>
    </row>
    <row s="19274" customFormat="1" customHeight="1" ht="60.75" hidden="1">
      <c r="A146" s="2146" t="s">
        <v>152</v>
      </c>
      <c r="B146" s="2146" t="s">
        <v>153</v>
      </c>
      <c r="C146" s="730"/>
      <c r="D146" s="2734"/>
      <c r="E146" s="2477"/>
      <c r="F146" s="2643" t="str">
        <f>INDEX(PT_DIFFERENTIATION_VTAR,MATCH(A146,PT_DIFFERENTIATION_VTAR_ID,0))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6" s="2689" t="str">
        <f>INDEX(PT_DIFFERENTIATION_NTAR,MATCH(B146,PT_DIFFERENTIATION_NTAR_ID,0))</f>
        <v/>
      </c>
      <c r="H146" s="2229"/>
      <c r="I146" s="2105"/>
      <c r="J146" s="2139"/>
      <c r="K146" s="2144"/>
      <c r="L146" s="2229" t="s">
        <v>306</v>
      </c>
      <c r="M146" s="243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6" s="695"/>
      <c r="O146" s="1990"/>
      <c r="P146" s="1990"/>
    </row>
    <row s="19274" customFormat="1" customHeight="1" ht="18.75" hidden="1">
      <c r="A147" s="2146"/>
      <c r="B147" s="2146"/>
      <c r="C147" s="730" t="s">
        <v>1074</v>
      </c>
      <c r="D147" s="2734"/>
      <c r="E147" s="2477"/>
      <c r="F147" s="2643"/>
      <c r="G147" s="2689"/>
      <c r="H147" s="1866"/>
      <c r="I147" s="1012" t="s">
        <v>1073</v>
      </c>
      <c r="J147" s="932"/>
      <c r="K147" s="1866"/>
      <c r="L147" s="575"/>
      <c r="M147" s="2437"/>
      <c r="N147" s="695"/>
      <c r="O147" s="1990"/>
      <c r="P147" s="1990"/>
    </row>
    <row s="19274" customFormat="1" customHeight="1" ht="0.75" hidden="1">
      <c r="A148" s="2146"/>
      <c r="B148" s="2146"/>
      <c r="C148" s="730" t="s">
        <v>1082</v>
      </c>
      <c r="D148" s="2734"/>
      <c r="E148" s="2477"/>
      <c r="F148" s="2643"/>
      <c r="G148" s="761"/>
      <c r="H148" s="1866"/>
      <c r="I148" s="1012"/>
      <c r="J148" s="932"/>
      <c r="K148" s="1866"/>
      <c r="L148" s="575"/>
      <c r="M148" s="2437"/>
      <c r="N148" s="695"/>
      <c r="O148" s="1990"/>
      <c r="P148" s="1990"/>
    </row>
    <row s="19274" customFormat="1" customHeight="1" ht="45" hidden="1">
      <c r="A149" s="2146" t="s">
        <v>158</v>
      </c>
      <c r="B149" s="2146" t="s">
        <v>159</v>
      </c>
      <c r="C149" s="730"/>
      <c r="D149" s="2734"/>
      <c r="E149" s="2477"/>
      <c r="F149" s="2643" t="str">
        <f>INDEX(PT_DIFFERENTIATION_VTAR,MATCH(A149,PT_DIFFERENTIATION_VTAR_ID,0))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9" s="2689" t="str">
        <f>INDEX(PT_DIFFERENTIATION_NTAR,MATCH(B149,PT_DIFFERENTIATION_NTAR_ID,0))</f>
        <v/>
      </c>
      <c r="H149" s="2229"/>
      <c r="I149" s="2105"/>
      <c r="J149" s="2139"/>
      <c r="K149" s="2144"/>
      <c r="L149" s="2229" t="s">
        <v>306</v>
      </c>
      <c r="M149" s="2438"/>
      <c r="N149" s="695"/>
      <c r="O149" s="1990"/>
      <c r="P149" s="1990"/>
    </row>
    <row s="19274" customFormat="1" customHeight="1" ht="18.75" hidden="1">
      <c r="A150" s="2146"/>
      <c r="B150" s="2146"/>
      <c r="C150" s="730" t="s">
        <v>1074</v>
      </c>
      <c r="D150" s="2734"/>
      <c r="E150" s="2477"/>
      <c r="F150" s="2643"/>
      <c r="G150" s="2689"/>
      <c r="H150" s="1866"/>
      <c r="I150" s="1012" t="s">
        <v>1073</v>
      </c>
      <c r="J150" s="932"/>
      <c r="K150" s="1866"/>
      <c r="L150" s="575"/>
      <c r="M150" s="2228"/>
      <c r="N150" s="695"/>
      <c r="O150" s="1990"/>
      <c r="P150" s="1990"/>
    </row>
    <row s="19274" customFormat="1" customHeight="1" ht="0.75" hidden="1">
      <c r="A151" s="2146"/>
      <c r="B151" s="2146"/>
      <c r="C151" s="730" t="s">
        <v>1082</v>
      </c>
      <c r="D151" s="2734"/>
      <c r="E151" s="2477"/>
      <c r="F151" s="2643"/>
      <c r="G151" s="761"/>
      <c r="H151" s="1866"/>
      <c r="I151" s="1012"/>
      <c r="J151" s="932"/>
      <c r="K151" s="1866"/>
      <c r="L151" s="575"/>
      <c r="M151" s="702"/>
      <c r="N151" s="695"/>
      <c r="O151" s="1990"/>
      <c r="P151" s="1990"/>
    </row>
    <row s="19274" customFormat="1" customHeight="1" ht="45" hidden="1">
      <c r="A152" s="2146" t="s">
        <v>164</v>
      </c>
      <c r="B152" s="2146" t="s">
        <v>165</v>
      </c>
      <c r="C152" s="730"/>
      <c r="D152" s="2734"/>
      <c r="E152" s="2477"/>
      <c r="F152" s="2643" t="str">
        <f>INDEX(PT_DIFFERENTIATION_VTAR,MATCH(A152,PT_DIFFERENTIATION_VTAR_ID,0))</f>
        <v>Тарифы на теплоноситель, поставляемый теплоснабжающими организациями потребителям, другим теплоснабжающим организациям</v>
      </c>
      <c r="G152" s="2689" t="str">
        <f>INDEX(PT_DIFFERENTIATION_NTAR,MATCH(B152,PT_DIFFERENTIATION_NTAR_ID,0))</f>
        <v/>
      </c>
      <c r="H152" s="2229"/>
      <c r="I152" s="2105"/>
      <c r="J152" s="2139"/>
      <c r="K152" s="2144"/>
      <c r="L152" s="2229" t="s">
        <v>306</v>
      </c>
      <c r="M152" s="702"/>
      <c r="N152" s="695"/>
      <c r="O152" s="1990"/>
      <c r="P152" s="1990"/>
    </row>
    <row s="19274" customFormat="1" customHeight="1" ht="18.75" hidden="1">
      <c r="A153" s="2146"/>
      <c r="B153" s="2146"/>
      <c r="C153" s="730" t="s">
        <v>1074</v>
      </c>
      <c r="D153" s="2734"/>
      <c r="E153" s="2477"/>
      <c r="F153" s="2643"/>
      <c r="G153" s="2689"/>
      <c r="H153" s="1866"/>
      <c r="I153" s="1012" t="s">
        <v>1073</v>
      </c>
      <c r="J153" s="932"/>
      <c r="K153" s="1866"/>
      <c r="L153" s="575"/>
      <c r="M153" s="702"/>
      <c r="N153" s="695"/>
      <c r="O153" s="1990"/>
      <c r="P153" s="1990"/>
    </row>
    <row s="19274" customFormat="1" customHeight="1" ht="0.75" hidden="1">
      <c r="A154" s="2146"/>
      <c r="B154" s="2146"/>
      <c r="C154" s="730" t="s">
        <v>1082</v>
      </c>
      <c r="D154" s="2734"/>
      <c r="E154" s="2477"/>
      <c r="F154" s="2643"/>
      <c r="G154" s="761"/>
      <c r="H154" s="1866"/>
      <c r="I154" s="1012"/>
      <c r="J154" s="932"/>
      <c r="K154" s="1866"/>
      <c r="L154" s="575"/>
      <c r="M154" s="702"/>
      <c r="N154" s="695"/>
      <c r="O154" s="1990"/>
      <c r="P154" s="1990"/>
    </row>
    <row s="19274" customFormat="1" customHeight="1" ht="45" hidden="1">
      <c r="A155" s="2146" t="s">
        <v>170</v>
      </c>
      <c r="B155" s="2146" t="s">
        <v>171</v>
      </c>
      <c r="C155" s="730"/>
      <c r="D155" s="2734"/>
      <c r="E155" s="2477"/>
      <c r="F155" s="2643" t="str">
        <f>INDEX(PT_DIFFERENTIATION_VTAR,MATCH(A155,PT_DIFFERENTIATION_VTAR_ID,0))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5" s="2689" t="str">
        <f>INDEX(PT_DIFFERENTIATION_NTAR,MATCH(B155,PT_DIFFERENTIATION_NTAR_ID,0))</f>
        <v/>
      </c>
      <c r="H155" s="2229"/>
      <c r="I155" s="2105"/>
      <c r="J155" s="2139"/>
      <c r="K155" s="2144"/>
      <c r="L155" s="2229" t="s">
        <v>306</v>
      </c>
      <c r="M155" s="702"/>
      <c r="N155" s="695"/>
      <c r="O155" s="1990"/>
      <c r="P155" s="1990"/>
    </row>
    <row s="19274" customFormat="1" customHeight="1" ht="18.75" hidden="1">
      <c r="A156" s="2146"/>
      <c r="B156" s="2146"/>
      <c r="C156" s="730" t="s">
        <v>1074</v>
      </c>
      <c r="D156" s="2734"/>
      <c r="E156" s="2477"/>
      <c r="F156" s="2643"/>
      <c r="G156" s="2689"/>
      <c r="H156" s="1866"/>
      <c r="I156" s="1012" t="s">
        <v>1073</v>
      </c>
      <c r="J156" s="932"/>
      <c r="K156" s="1866"/>
      <c r="L156" s="575"/>
      <c r="M156" s="702"/>
      <c r="N156" s="695"/>
      <c r="O156" s="1990"/>
      <c r="P156" s="1990"/>
    </row>
    <row s="19274" customFormat="1" customHeight="1" ht="0.75" hidden="1">
      <c r="A157" s="2146"/>
      <c r="B157" s="2146"/>
      <c r="C157" s="730" t="s">
        <v>1082</v>
      </c>
      <c r="D157" s="2734"/>
      <c r="E157" s="2477"/>
      <c r="F157" s="2643"/>
      <c r="G157" s="761"/>
      <c r="H157" s="1866"/>
      <c r="I157" s="1012"/>
      <c r="J157" s="932"/>
      <c r="K157" s="1866"/>
      <c r="L157" s="575"/>
      <c r="M157" s="702"/>
      <c r="N157" s="695"/>
      <c r="O157" s="1990"/>
      <c r="P157" s="1990"/>
    </row>
    <row s="19274" customFormat="1" customHeight="1" ht="18.75" hidden="1">
      <c r="A158" s="2146" t="s">
        <v>176</v>
      </c>
      <c r="B158" s="2146" t="s">
        <v>177</v>
      </c>
      <c r="C158" s="730"/>
      <c r="D158" s="2734"/>
      <c r="E158" s="2477"/>
      <c r="F158" s="2643" t="str">
        <f>INDEX(PT_DIFFERENTIATION_VTAR,MATCH(A158,PT_DIFFERENTIATION_VTAR_ID,0))</f>
        <v>Тарифы на услуги по передаче тепловой энергии</v>
      </c>
      <c r="G158" s="2689" t="str">
        <f>INDEX(PT_DIFFERENTIATION_NTAR,MATCH(B158,PT_DIFFERENTIATION_NTAR_ID,0))</f>
        <v/>
      </c>
      <c r="H158" s="2229"/>
      <c r="I158" s="2105"/>
      <c r="J158" s="2139"/>
      <c r="K158" s="2144"/>
      <c r="L158" s="2229" t="s">
        <v>306</v>
      </c>
      <c r="M158" s="702"/>
      <c r="N158" s="695"/>
      <c r="O158" s="1990"/>
      <c r="P158" s="1990"/>
    </row>
    <row s="19274" customFormat="1" customHeight="1" ht="18.75" hidden="1">
      <c r="A159" s="2146"/>
      <c r="B159" s="2146"/>
      <c r="C159" s="730" t="s">
        <v>1074</v>
      </c>
      <c r="D159" s="2734"/>
      <c r="E159" s="2477"/>
      <c r="F159" s="2643"/>
      <c r="G159" s="2689"/>
      <c r="H159" s="1866"/>
      <c r="I159" s="1012" t="s">
        <v>1073</v>
      </c>
      <c r="J159" s="932"/>
      <c r="K159" s="1866"/>
      <c r="L159" s="575"/>
      <c r="M159" s="702"/>
      <c r="N159" s="695"/>
      <c r="O159" s="1990"/>
      <c r="P159" s="1990"/>
    </row>
    <row s="19274" customFormat="1" customHeight="1" ht="0.75" hidden="1">
      <c r="A160" s="2146"/>
      <c r="B160" s="2146"/>
      <c r="C160" s="730" t="s">
        <v>1082</v>
      </c>
      <c r="D160" s="2734"/>
      <c r="E160" s="2477"/>
      <c r="F160" s="2643"/>
      <c r="G160" s="761"/>
      <c r="H160" s="1866"/>
      <c r="I160" s="1012"/>
      <c r="J160" s="932"/>
      <c r="K160" s="1866"/>
      <c r="L160" s="575"/>
      <c r="M160" s="702"/>
      <c r="N160" s="695"/>
      <c r="O160" s="1990"/>
      <c r="P160" s="1990"/>
    </row>
    <row s="19274" customFormat="1" customHeight="1" ht="18.75" hidden="1">
      <c r="A161" s="2146" t="s">
        <v>182</v>
      </c>
      <c r="B161" s="2146" t="s">
        <v>183</v>
      </c>
      <c r="C161" s="730"/>
      <c r="D161" s="2734"/>
      <c r="E161" s="2477"/>
      <c r="F161" s="2643" t="str">
        <f>INDEX(PT_DIFFERENTIATION_VTAR,MATCH(A161,PT_DIFFERENTIATION_VTAR_ID,0))</f>
        <v>Тарифы на услуги по передаче теплоносителя</v>
      </c>
      <c r="G161" s="2689" t="str">
        <f>INDEX(PT_DIFFERENTIATION_NTAR,MATCH(B161,PT_DIFFERENTIATION_NTAR_ID,0))</f>
        <v/>
      </c>
      <c r="H161" s="2229"/>
      <c r="I161" s="2105"/>
      <c r="J161" s="2139"/>
      <c r="K161" s="2144"/>
      <c r="L161" s="2229" t="s">
        <v>306</v>
      </c>
      <c r="M161" s="702"/>
      <c r="N161" s="695"/>
      <c r="O161" s="1990"/>
      <c r="P161" s="1990"/>
    </row>
    <row s="19274" customFormat="1" customHeight="1" ht="18.75" hidden="1">
      <c r="A162" s="2146"/>
      <c r="B162" s="2146"/>
      <c r="C162" s="730" t="s">
        <v>1074</v>
      </c>
      <c r="D162" s="2734"/>
      <c r="E162" s="2477"/>
      <c r="F162" s="2643"/>
      <c r="G162" s="2689"/>
      <c r="H162" s="1866"/>
      <c r="I162" s="1012" t="s">
        <v>1073</v>
      </c>
      <c r="J162" s="932"/>
      <c r="K162" s="1866"/>
      <c r="L162" s="575"/>
      <c r="M162" s="702"/>
      <c r="N162" s="695"/>
      <c r="O162" s="1990"/>
      <c r="P162" s="1990"/>
    </row>
    <row s="19274" customFormat="1" customHeight="1" ht="0.75" hidden="1">
      <c r="A163" s="2146"/>
      <c r="B163" s="2146"/>
      <c r="C163" s="730" t="s">
        <v>1082</v>
      </c>
      <c r="D163" s="2734"/>
      <c r="E163" s="2477"/>
      <c r="F163" s="2643"/>
      <c r="G163" s="761"/>
      <c r="H163" s="1866"/>
      <c r="I163" s="1012"/>
      <c r="J163" s="932"/>
      <c r="K163" s="1866"/>
      <c r="L163" s="575"/>
      <c r="M163" s="702"/>
      <c r="N163" s="695"/>
      <c r="O163" s="1990"/>
      <c r="P163" s="1990"/>
    </row>
    <row s="19274" customFormat="1" customHeight="1" ht="18.75" hidden="1">
      <c r="A164" s="2146" t="s">
        <v>188</v>
      </c>
      <c r="B164" s="2146" t="s">
        <v>189</v>
      </c>
      <c r="C164" s="730"/>
      <c r="D164" s="2734"/>
      <c r="E164" s="2477"/>
      <c r="F164" s="2643" t="str">
        <f>INDEX(PT_DIFFERENTIATION_VTAR,MATCH(A164,PT_DIFFERENTIATION_VTAR_ID,0))</f>
        <v>Плата за услуги по поддержанию резервной тепловой мощности при отсутствии потребления тепловой энергии</v>
      </c>
      <c r="G164" s="2689" t="str">
        <f>INDEX(PT_DIFFERENTIATION_NTAR,MATCH(B164,PT_DIFFERENTIATION_NTAR_ID,0))</f>
        <v/>
      </c>
      <c r="H164" s="2229"/>
      <c r="I164" s="2105"/>
      <c r="J164" s="2139"/>
      <c r="K164" s="2144"/>
      <c r="L164" s="2229" t="s">
        <v>306</v>
      </c>
      <c r="M164" s="702"/>
      <c r="N164" s="695"/>
      <c r="O164" s="1990"/>
      <c r="P164" s="1990"/>
    </row>
    <row s="19274" customFormat="1" customHeight="1" ht="18.75" hidden="1">
      <c r="A165" s="2146"/>
      <c r="B165" s="2146"/>
      <c r="C165" s="730" t="s">
        <v>1074</v>
      </c>
      <c r="D165" s="2734"/>
      <c r="E165" s="2477"/>
      <c r="F165" s="2643"/>
      <c r="G165" s="2689"/>
      <c r="H165" s="1866"/>
      <c r="I165" s="1012" t="s">
        <v>1073</v>
      </c>
      <c r="J165" s="932"/>
      <c r="K165" s="1866"/>
      <c r="L165" s="575"/>
      <c r="M165" s="702"/>
      <c r="N165" s="695"/>
      <c r="O165" s="1990"/>
      <c r="P165" s="1990"/>
    </row>
    <row s="19274" customFormat="1" customHeight="1" ht="0.75" hidden="1">
      <c r="A166" s="2146"/>
      <c r="B166" s="2146"/>
      <c r="C166" s="730" t="s">
        <v>1082</v>
      </c>
      <c r="D166" s="2734"/>
      <c r="E166" s="2477"/>
      <c r="F166" s="2643"/>
      <c r="G166" s="761"/>
      <c r="H166" s="1866"/>
      <c r="I166" s="1012"/>
      <c r="J166" s="932"/>
      <c r="K166" s="1866"/>
      <c r="L166" s="575"/>
      <c r="M166" s="702"/>
      <c r="N166" s="695"/>
      <c r="O166" s="1990"/>
      <c r="P166" s="1990"/>
    </row>
    <row s="19274" customFormat="1" customHeight="1" ht="18.75" hidden="1">
      <c r="A167" s="2146" t="s">
        <v>194</v>
      </c>
      <c r="B167" s="2146" t="s">
        <v>195</v>
      </c>
      <c r="C167" s="730"/>
      <c r="D167" s="2734"/>
      <c r="E167" s="2477"/>
      <c r="F167" s="2643" t="str">
        <f>INDEX(PT_DIFFERENTIATION_VTAR,MATCH(A167,PT_DIFFERENTIATION_VTAR_ID,0))</f>
        <v>Плата за подключение (технологическое присоединение) к системе теплоснабжения</v>
      </c>
      <c r="G167" s="2689" t="str">
        <f>INDEX(PT_DIFFERENTIATION_NTAR,MATCH(B167,PT_DIFFERENTIATION_NTAR_ID,0))</f>
        <v/>
      </c>
      <c r="H167" s="2229"/>
      <c r="I167" s="2105"/>
      <c r="J167" s="2139"/>
      <c r="K167" s="2144"/>
      <c r="L167" s="2229" t="s">
        <v>306</v>
      </c>
      <c r="M167" s="702"/>
      <c r="N167" s="695"/>
      <c r="O167" s="1990"/>
      <c r="P167" s="1990"/>
    </row>
    <row s="19274" customFormat="1" customHeight="1" ht="18.75" hidden="1">
      <c r="A168" s="2146"/>
      <c r="B168" s="2146"/>
      <c r="C168" s="730" t="s">
        <v>1074</v>
      </c>
      <c r="D168" s="2734"/>
      <c r="E168" s="2477"/>
      <c r="F168" s="2643"/>
      <c r="G168" s="2689"/>
      <c r="H168" s="1866"/>
      <c r="I168" s="1012" t="s">
        <v>1073</v>
      </c>
      <c r="J168" s="932"/>
      <c r="K168" s="1866"/>
      <c r="L168" s="575"/>
      <c r="M168" s="702"/>
      <c r="N168" s="695"/>
      <c r="O168" s="1990"/>
      <c r="P168" s="1990"/>
    </row>
    <row s="19274" customFormat="1" customHeight="1" ht="0.75" hidden="1">
      <c r="A169" s="2146"/>
      <c r="B169" s="2146"/>
      <c r="C169" s="730" t="s">
        <v>1082</v>
      </c>
      <c r="D169" s="2734"/>
      <c r="E169" s="2477"/>
      <c r="F169" s="2643"/>
      <c r="G169" s="761"/>
      <c r="H169" s="1866"/>
      <c r="I169" s="1012"/>
      <c r="J169" s="932"/>
      <c r="K169" s="1866"/>
      <c r="L169" s="575"/>
      <c r="M169" s="702"/>
      <c r="N169" s="695"/>
      <c r="O169" s="1990"/>
      <c r="P169" s="1990"/>
    </row>
    <row s="19274" customFormat="1" customHeight="1" ht="18.75" hidden="1">
      <c r="A170" s="2146" t="s">
        <v>220</v>
      </c>
      <c r="B170" s="2146" t="s">
        <v>221</v>
      </c>
      <c r="C170" s="730"/>
      <c r="D170" s="2734"/>
      <c r="E170" s="2477"/>
      <c r="F170" s="2643" t="str">
        <f>INDEX(PT_DIFFERENTIATION_VTAR,MATCH(A170,PT_DIFFERENTIATION_VTAR_ID,0))</f>
        <v>Тариф на питьевую воду (питьевое водоснабжение)</v>
      </c>
      <c r="G170" s="2689" t="str">
        <f>INDEX(PT_DIFFERENTIATION_NTAR,MATCH(B170,PT_DIFFERENTIATION_NTAR_ID,0))</f>
        <v/>
      </c>
      <c r="H170" s="2229"/>
      <c r="I170" s="2105"/>
      <c r="J170" s="2139"/>
      <c r="K170" s="2144"/>
      <c r="L170" s="2229" t="s">
        <v>306</v>
      </c>
      <c r="M170" s="702"/>
      <c r="N170" s="695"/>
      <c r="O170" s="1990"/>
      <c r="P170" s="1990"/>
    </row>
    <row s="19274" customFormat="1" customHeight="1" ht="18.75" hidden="1">
      <c r="A171" s="2146"/>
      <c r="B171" s="2146"/>
      <c r="C171" s="730" t="s">
        <v>1074</v>
      </c>
      <c r="D171" s="2734"/>
      <c r="E171" s="2477"/>
      <c r="F171" s="2643"/>
      <c r="G171" s="2689"/>
      <c r="H171" s="1866"/>
      <c r="I171" s="1012" t="s">
        <v>1073</v>
      </c>
      <c r="J171" s="932"/>
      <c r="K171" s="1866"/>
      <c r="L171" s="575"/>
      <c r="M171" s="702"/>
      <c r="N171" s="695"/>
      <c r="O171" s="1990"/>
      <c r="P171" s="1990"/>
    </row>
    <row s="19274" customFormat="1" customHeight="1" ht="0.75" hidden="1">
      <c r="A172" s="2146"/>
      <c r="B172" s="2146"/>
      <c r="C172" s="730" t="s">
        <v>1082</v>
      </c>
      <c r="D172" s="2734"/>
      <c r="E172" s="2477"/>
      <c r="F172" s="2643"/>
      <c r="G172" s="761"/>
      <c r="H172" s="1866"/>
      <c r="I172" s="1012"/>
      <c r="J172" s="932"/>
      <c r="K172" s="1866"/>
      <c r="L172" s="575"/>
      <c r="M172" s="702"/>
      <c r="N172" s="695"/>
      <c r="O172" s="1990"/>
      <c r="P172" s="1990"/>
    </row>
    <row s="19274" customFormat="1" customHeight="1" ht="18.75" hidden="1">
      <c r="A173" s="2146" t="s">
        <v>225</v>
      </c>
      <c r="B173" s="2146" t="s">
        <v>226</v>
      </c>
      <c r="C173" s="730"/>
      <c r="D173" s="2734"/>
      <c r="E173" s="2477"/>
      <c r="F173" s="2643" t="str">
        <f>INDEX(PT_DIFFERENTIATION_VTAR,MATCH(A173,PT_DIFFERENTIATION_VTAR_ID,0))</f>
        <v>Тариф на техническую воду</v>
      </c>
      <c r="G173" s="2689" t="str">
        <f>INDEX(PT_DIFFERENTIATION_NTAR,MATCH(B173,PT_DIFFERENTIATION_NTAR_ID,0))</f>
        <v/>
      </c>
      <c r="H173" s="2229"/>
      <c r="I173" s="2105"/>
      <c r="J173" s="2139"/>
      <c r="K173" s="2144"/>
      <c r="L173" s="2229" t="s">
        <v>306</v>
      </c>
      <c r="M173" s="702"/>
      <c r="N173" s="695"/>
      <c r="O173" s="1990"/>
      <c r="P173" s="1990"/>
    </row>
    <row s="19274" customFormat="1" customHeight="1" ht="18.75" hidden="1">
      <c r="A174" s="2146"/>
      <c r="B174" s="2146"/>
      <c r="C174" s="730" t="s">
        <v>1074</v>
      </c>
      <c r="D174" s="2734"/>
      <c r="E174" s="2477"/>
      <c r="F174" s="2643"/>
      <c r="G174" s="2689"/>
      <c r="H174" s="1866"/>
      <c r="I174" s="1012" t="s">
        <v>1073</v>
      </c>
      <c r="J174" s="932"/>
      <c r="K174" s="1866"/>
      <c r="L174" s="575"/>
      <c r="M174" s="702"/>
      <c r="N174" s="695"/>
      <c r="O174" s="1990"/>
      <c r="P174" s="1990"/>
    </row>
    <row s="19274" customFormat="1" customHeight="1" ht="0.75" hidden="1">
      <c r="A175" s="2146"/>
      <c r="B175" s="2146"/>
      <c r="C175" s="730" t="s">
        <v>1082</v>
      </c>
      <c r="D175" s="2734"/>
      <c r="E175" s="2477"/>
      <c r="F175" s="2643"/>
      <c r="G175" s="761"/>
      <c r="H175" s="1866"/>
      <c r="I175" s="1012"/>
      <c r="J175" s="932"/>
      <c r="K175" s="1866"/>
      <c r="L175" s="575"/>
      <c r="M175" s="702"/>
      <c r="N175" s="695"/>
      <c r="O175" s="1990"/>
      <c r="P175" s="1990"/>
    </row>
    <row s="19274" customFormat="1" customHeight="1" ht="18.75" hidden="1">
      <c r="A176" s="2146" t="s">
        <v>230</v>
      </c>
      <c r="B176" s="2146" t="s">
        <v>231</v>
      </c>
      <c r="C176" s="730"/>
      <c r="D176" s="2734"/>
      <c r="E176" s="2477"/>
      <c r="F176" s="2643" t="str">
        <f>INDEX(PT_DIFFERENTIATION_VTAR,MATCH(A176,PT_DIFFERENTIATION_VTAR_ID,0))</f>
        <v>Тариф на транспортировку воды</v>
      </c>
      <c r="G176" s="2689" t="str">
        <f>INDEX(PT_DIFFERENTIATION_NTAR,MATCH(B176,PT_DIFFERENTIATION_NTAR_ID,0))</f>
        <v/>
      </c>
      <c r="H176" s="2229"/>
      <c r="I176" s="2105"/>
      <c r="J176" s="2139"/>
      <c r="K176" s="2144"/>
      <c r="L176" s="2229" t="s">
        <v>306</v>
      </c>
      <c r="M176" s="702"/>
      <c r="N176" s="695"/>
      <c r="O176" s="1990"/>
      <c r="P176" s="1990"/>
    </row>
    <row s="19274" customFormat="1" customHeight="1" ht="18.75" hidden="1">
      <c r="A177" s="2146"/>
      <c r="B177" s="2146"/>
      <c r="C177" s="730" t="s">
        <v>1074</v>
      </c>
      <c r="D177" s="2734"/>
      <c r="E177" s="2477"/>
      <c r="F177" s="2643"/>
      <c r="G177" s="2689"/>
      <c r="H177" s="1866"/>
      <c r="I177" s="1012" t="s">
        <v>1073</v>
      </c>
      <c r="J177" s="932"/>
      <c r="K177" s="1866"/>
      <c r="L177" s="575"/>
      <c r="M177" s="702"/>
      <c r="N177" s="695"/>
      <c r="O177" s="1990"/>
      <c r="P177" s="1990"/>
    </row>
    <row s="19274" customFormat="1" customHeight="1" ht="0.75" hidden="1">
      <c r="A178" s="2146"/>
      <c r="B178" s="2146"/>
      <c r="C178" s="730" t="s">
        <v>1082</v>
      </c>
      <c r="D178" s="2734"/>
      <c r="E178" s="2477"/>
      <c r="F178" s="2643"/>
      <c r="G178" s="761"/>
      <c r="H178" s="1866"/>
      <c r="I178" s="1012"/>
      <c r="J178" s="932"/>
      <c r="K178" s="1866"/>
      <c r="L178" s="575"/>
      <c r="M178" s="702"/>
      <c r="N178" s="695"/>
      <c r="O178" s="1990"/>
      <c r="P178" s="1990"/>
    </row>
    <row s="19274" customFormat="1" customHeight="1" ht="18.75" hidden="1">
      <c r="A179" s="2146" t="s">
        <v>235</v>
      </c>
      <c r="B179" s="2146" t="s">
        <v>236</v>
      </c>
      <c r="C179" s="730"/>
      <c r="D179" s="2734"/>
      <c r="E179" s="2477"/>
      <c r="F179" s="2643" t="str">
        <f>INDEX(PT_DIFFERENTIATION_VTAR,MATCH(A179,PT_DIFFERENTIATION_VTAR_ID,0))</f>
        <v>Тариф на подвоз воды</v>
      </c>
      <c r="G179" s="2689" t="str">
        <f>INDEX(PT_DIFFERENTIATION_NTAR,MATCH(B179,PT_DIFFERENTIATION_NTAR_ID,0))</f>
        <v/>
      </c>
      <c r="H179" s="2229"/>
      <c r="I179" s="2105"/>
      <c r="J179" s="2139"/>
      <c r="K179" s="2144"/>
      <c r="L179" s="2229" t="s">
        <v>306</v>
      </c>
      <c r="M179" s="702"/>
      <c r="N179" s="695"/>
      <c r="O179" s="1990"/>
      <c r="P179" s="1990"/>
    </row>
    <row s="19274" customFormat="1" customHeight="1" ht="18.75" hidden="1">
      <c r="A180" s="2146"/>
      <c r="B180" s="2146"/>
      <c r="C180" s="730" t="s">
        <v>1074</v>
      </c>
      <c r="D180" s="2734"/>
      <c r="E180" s="2477"/>
      <c r="F180" s="2643"/>
      <c r="G180" s="2689"/>
      <c r="H180" s="1866"/>
      <c r="I180" s="1012" t="s">
        <v>1073</v>
      </c>
      <c r="J180" s="932"/>
      <c r="K180" s="1866"/>
      <c r="L180" s="575"/>
      <c r="M180" s="702"/>
      <c r="N180" s="695"/>
      <c r="O180" s="1990"/>
      <c r="P180" s="1990"/>
    </row>
    <row s="19274" customFormat="1" customHeight="1" ht="0.75" hidden="1">
      <c r="A181" s="2146"/>
      <c r="B181" s="2146"/>
      <c r="C181" s="730" t="s">
        <v>1082</v>
      </c>
      <c r="D181" s="2734"/>
      <c r="E181" s="2477"/>
      <c r="F181" s="2643"/>
      <c r="G181" s="761"/>
      <c r="H181" s="1866"/>
      <c r="I181" s="1012"/>
      <c r="J181" s="932"/>
      <c r="K181" s="1866"/>
      <c r="L181" s="575"/>
      <c r="M181" s="702"/>
      <c r="N181" s="695"/>
      <c r="O181" s="1990"/>
      <c r="P181" s="1990"/>
    </row>
    <row s="19274" customFormat="1" customHeight="1" ht="18.75" hidden="1">
      <c r="A182" s="2146" t="s">
        <v>240</v>
      </c>
      <c r="B182" s="2146" t="s">
        <v>241</v>
      </c>
      <c r="C182" s="730"/>
      <c r="D182" s="2734"/>
      <c r="E182" s="2477"/>
      <c r="F182" s="2643" t="str">
        <f>INDEX(PT_DIFFERENTIATION_VTAR,MATCH(A182,PT_DIFFERENTIATION_VTAR_ID,0))</f>
        <v>Тариф на подключение (технологическое присоединение) к централизованной системе холодного водоснабжения</v>
      </c>
      <c r="G182" s="2689" t="str">
        <f>INDEX(PT_DIFFERENTIATION_NTAR,MATCH(B182,PT_DIFFERENTIATION_NTAR_ID,0))</f>
        <v/>
      </c>
      <c r="H182" s="2229"/>
      <c r="I182" s="2105"/>
      <c r="J182" s="2139"/>
      <c r="K182" s="2144"/>
      <c r="L182" s="2229" t="s">
        <v>306</v>
      </c>
      <c r="M182" s="702"/>
      <c r="N182" s="695"/>
      <c r="O182" s="1990"/>
      <c r="P182" s="1990"/>
    </row>
    <row s="19274" customFormat="1" customHeight="1" ht="18.75" hidden="1">
      <c r="A183" s="2146"/>
      <c r="B183" s="2146"/>
      <c r="C183" s="730" t="s">
        <v>1074</v>
      </c>
      <c r="D183" s="2734"/>
      <c r="E183" s="2477"/>
      <c r="F183" s="2643"/>
      <c r="G183" s="2689"/>
      <c r="H183" s="1866"/>
      <c r="I183" s="1012" t="s">
        <v>1073</v>
      </c>
      <c r="J183" s="932"/>
      <c r="K183" s="1866"/>
      <c r="L183" s="575"/>
      <c r="M183" s="702"/>
      <c r="N183" s="695"/>
      <c r="O183" s="1990"/>
      <c r="P183" s="1990"/>
    </row>
    <row s="19274" customFormat="1" customHeight="1" ht="0.75" hidden="1">
      <c r="A184" s="2146"/>
      <c r="B184" s="2146"/>
      <c r="C184" s="730" t="s">
        <v>1082</v>
      </c>
      <c r="D184" s="2734"/>
      <c r="E184" s="2477"/>
      <c r="F184" s="2643"/>
      <c r="G184" s="761"/>
      <c r="H184" s="1866"/>
      <c r="I184" s="1012"/>
      <c r="J184" s="932"/>
      <c r="K184" s="1866"/>
      <c r="L184" s="575"/>
      <c r="M184" s="702"/>
      <c r="N184" s="695"/>
      <c r="O184" s="1990"/>
      <c r="P184" s="1990"/>
    </row>
    <row s="19274" customFormat="1" customHeight="1" ht="18.75" hidden="1">
      <c r="A185" s="2146" t="s">
        <v>247</v>
      </c>
      <c r="B185" s="2146" t="s">
        <v>248</v>
      </c>
      <c r="C185" s="730"/>
      <c r="D185" s="2734"/>
      <c r="E185" s="2477"/>
      <c r="F185" s="2643" t="str">
        <f>INDEX(PT_DIFFERENTIATION_VTAR,MATCH(A185,PT_DIFFERENTIATION_VTAR_ID,0))</f>
        <v>Тариф на горячую воду (горячее водоснабжение)</v>
      </c>
      <c r="G185" s="2689" t="str">
        <f>INDEX(PT_DIFFERENTIATION_NTAR,MATCH(B185,PT_DIFFERENTIATION_NTAR_ID,0))</f>
        <v>Тарифы на горячую воду в закрытых системах горячего водоснабжения</v>
      </c>
      <c r="H185" s="2229"/>
      <c r="I185" s="2105"/>
      <c r="J185" s="2139"/>
      <c r="K185" s="2144"/>
      <c r="L185" s="2229" t="s">
        <v>306</v>
      </c>
      <c r="M185" s="702"/>
      <c r="N185" s="695"/>
      <c r="O185" s="1990"/>
      <c r="P185" s="1990"/>
    </row>
    <row s="19274" customFormat="1" customHeight="1" ht="18.75" hidden="1">
      <c r="A186" s="2146"/>
      <c r="B186" s="2146"/>
      <c r="C186" s="730" t="s">
        <v>1074</v>
      </c>
      <c r="D186" s="2734"/>
      <c r="E186" s="2477"/>
      <c r="F186" s="2643"/>
      <c r="G186" s="2689"/>
      <c r="H186" s="1866"/>
      <c r="I186" s="1012" t="s">
        <v>1073</v>
      </c>
      <c r="J186" s="932"/>
      <c r="K186" s="1866"/>
      <c r="L186" s="575"/>
      <c r="M186" s="702"/>
      <c r="N186" s="695"/>
      <c r="O186" s="1990"/>
      <c r="P186" s="1990"/>
    </row>
    <row s="19274" customFormat="1" customHeight="1" ht="0.75" hidden="1">
      <c r="A187" s="2146"/>
      <c r="B187" s="2146"/>
      <c r="C187" s="730" t="s">
        <v>1082</v>
      </c>
      <c r="D187" s="2734"/>
      <c r="E187" s="2477"/>
      <c r="F187" s="2643"/>
      <c r="G187" s="761"/>
      <c r="H187" s="1866"/>
      <c r="I187" s="1012"/>
      <c r="J187" s="932"/>
      <c r="K187" s="1866"/>
      <c r="L187" s="575"/>
      <c r="M187" s="702"/>
      <c r="N187" s="695"/>
      <c r="O187" s="1990"/>
      <c r="P187" s="1990"/>
    </row>
    <row s="19274" customFormat="1" customHeight="1" ht="18.75" hidden="1">
      <c r="A188" s="2146" t="s">
        <v>255</v>
      </c>
      <c r="B188" s="2146" t="s">
        <v>256</v>
      </c>
      <c r="C188" s="730"/>
      <c r="D188" s="2734"/>
      <c r="E188" s="2477"/>
      <c r="F188" s="2643" t="str">
        <f>INDEX(PT_DIFFERENTIATION_VTAR,MATCH(A188,PT_DIFFERENTIATION_VTAR_ID,0))</f>
        <v>Тариф на транспортировку горячей воды</v>
      </c>
      <c r="G188" s="2689" t="str">
        <f>INDEX(PT_DIFFERENTIATION_NTAR,MATCH(B188,PT_DIFFERENTIATION_NTAR_ID,0))</f>
        <v/>
      </c>
      <c r="H188" s="2229"/>
      <c r="I188" s="2105"/>
      <c r="J188" s="2139"/>
      <c r="K188" s="2144"/>
      <c r="L188" s="2229" t="s">
        <v>306</v>
      </c>
      <c r="M188" s="702"/>
      <c r="N188" s="695"/>
      <c r="O188" s="1990"/>
      <c r="P188" s="1990"/>
    </row>
    <row s="19274" customFormat="1" customHeight="1" ht="18.75" hidden="1">
      <c r="A189" s="2146"/>
      <c r="B189" s="2146"/>
      <c r="C189" s="730" t="s">
        <v>1074</v>
      </c>
      <c r="D189" s="2734"/>
      <c r="E189" s="2477"/>
      <c r="F189" s="2643"/>
      <c r="G189" s="2689"/>
      <c r="H189" s="1866"/>
      <c r="I189" s="1012" t="s">
        <v>1073</v>
      </c>
      <c r="J189" s="932"/>
      <c r="K189" s="1866"/>
      <c r="L189" s="575"/>
      <c r="M189" s="702"/>
      <c r="N189" s="695"/>
      <c r="O189" s="1990"/>
      <c r="P189" s="1990"/>
    </row>
    <row s="19274" customFormat="1" customHeight="1" ht="0.75" hidden="1">
      <c r="A190" s="2146"/>
      <c r="B190" s="2146"/>
      <c r="C190" s="730" t="s">
        <v>1082</v>
      </c>
      <c r="D190" s="2734"/>
      <c r="E190" s="2477"/>
      <c r="F190" s="2643"/>
      <c r="G190" s="761"/>
      <c r="H190" s="1866"/>
      <c r="I190" s="1012"/>
      <c r="J190" s="932"/>
      <c r="K190" s="1866"/>
      <c r="L190" s="575"/>
      <c r="M190" s="702"/>
      <c r="N190" s="695"/>
      <c r="O190" s="1990"/>
      <c r="P190" s="1990"/>
    </row>
    <row s="19274" customFormat="1" customHeight="1" ht="18.75" hidden="1">
      <c r="A191" s="2146" t="s">
        <v>260</v>
      </c>
      <c r="B191" s="2146" t="s">
        <v>261</v>
      </c>
      <c r="C191" s="730"/>
      <c r="D191" s="2734"/>
      <c r="E191" s="2477"/>
      <c r="F191" s="2643" t="str">
        <f>INDEX(PT_DIFFERENTIATION_VTAR,MATCH(A191,PT_DIFFERENTIATION_VTAR_ID,0))</f>
        <v>Тариф на подключение (технологическое присоединение) к централизованной системе горячего водоснабжения</v>
      </c>
      <c r="G191" s="2689" t="str">
        <f>INDEX(PT_DIFFERENTIATION_NTAR,MATCH(B191,PT_DIFFERENTIATION_NTAR_ID,0))</f>
        <v/>
      </c>
      <c r="H191" s="2229"/>
      <c r="I191" s="2105"/>
      <c r="J191" s="2139"/>
      <c r="K191" s="2144"/>
      <c r="L191" s="2229" t="s">
        <v>306</v>
      </c>
      <c r="M191" s="702"/>
      <c r="N191" s="695"/>
      <c r="O191" s="1990"/>
      <c r="P191" s="1990"/>
    </row>
    <row s="19274" customFormat="1" customHeight="1" ht="18.75" hidden="1">
      <c r="A192" s="2146"/>
      <c r="B192" s="2146"/>
      <c r="C192" s="730" t="s">
        <v>1074</v>
      </c>
      <c r="D192" s="2734"/>
      <c r="E192" s="2477"/>
      <c r="F192" s="2643"/>
      <c r="G192" s="2689"/>
      <c r="H192" s="1866"/>
      <c r="I192" s="1012" t="s">
        <v>1073</v>
      </c>
      <c r="J192" s="932"/>
      <c r="K192" s="1866"/>
      <c r="L192" s="575"/>
      <c r="M192" s="702"/>
      <c r="N192" s="695"/>
      <c r="O192" s="1990"/>
      <c r="P192" s="1990"/>
    </row>
    <row s="20290" customFormat="1" customHeight="1" ht="18.75">
      <c r="A193" s="7923" t="s">
        <v>260</v>
      </c>
      <c r="B193" s="7923" t="s">
        <v>1079</v>
      </c>
      <c r="C193" s="7924"/>
      <c r="D193" s="7925"/>
      <c r="E193" s="7926"/>
      <c r="F193" s="7926"/>
      <c r="G193" s="7927">
        <f>INDEX(PT_DIFFERENTIATION_NTAR,MATCH(B193,PT_DIFFERENTIATION_NTAR_ID,0))</f>
      </c>
      <c r="H193" s="7928"/>
      <c r="I193" s="7929"/>
      <c r="J193" s="7930"/>
      <c r="K193" s="7943"/>
      <c r="L193" s="7928" t="s">
        <v>306</v>
      </c>
      <c r="M193" s="7932"/>
      <c r="N193" s="7933"/>
      <c r="O193" s="6613"/>
      <c r="P193" s="6613"/>
      <c r="Q193" s="7934"/>
      <c r="R193" s="7934"/>
      <c r="S193" s="7934"/>
      <c r="T193" s="7934"/>
      <c r="U193" s="7934"/>
      <c r="V193" s="7934"/>
      <c r="W193" s="7934"/>
      <c r="X193" s="7934"/>
      <c r="Y193" s="7934"/>
      <c r="Z193" s="7934"/>
      <c r="AA193" s="7934"/>
      <c r="AB193" s="7934"/>
      <c r="AC193" s="7934"/>
      <c r="AD193" s="7934"/>
      <c r="AE193" s="7934"/>
      <c r="AF193" s="7934"/>
      <c r="AG193" s="7934"/>
    </row>
    <row s="20290" customFormat="1" customHeight="1" ht="18.75">
      <c r="A194" s="7923"/>
      <c r="B194" s="7923"/>
      <c r="C194" s="7924" t="s">
        <v>1074</v>
      </c>
      <c r="D194" s="7925"/>
      <c r="E194" s="7926"/>
      <c r="F194" s="7926"/>
      <c r="G194" s="7927"/>
      <c r="H194" s="7949"/>
      <c r="I194" s="7950" t="s">
        <v>1073</v>
      </c>
      <c r="J194" s="7951"/>
      <c r="K194" s="7952"/>
      <c r="L194" s="7953"/>
      <c r="M194" s="7932"/>
      <c r="N194" s="7933"/>
      <c r="O194" s="6613"/>
      <c r="P194" s="6613"/>
      <c r="Q194" s="7934"/>
      <c r="R194" s="7934"/>
      <c r="S194" s="7934"/>
      <c r="T194" s="7934"/>
      <c r="U194" s="7934"/>
      <c r="V194" s="7934"/>
      <c r="W194" s="7934"/>
      <c r="X194" s="7934"/>
      <c r="Y194" s="7934"/>
      <c r="Z194" s="7934"/>
      <c r="AA194" s="7934"/>
      <c r="AB194" s="7934"/>
      <c r="AC194" s="7934"/>
      <c r="AD194" s="7934"/>
      <c r="AE194" s="7934"/>
      <c r="AF194" s="7934"/>
      <c r="AG194" s="7934"/>
    </row>
    <row s="19274" customFormat="1" customHeight="1" ht="0.75" hidden="1">
      <c r="A195" s="2146"/>
      <c r="B195" s="2146"/>
      <c r="C195" s="730" t="s">
        <v>1082</v>
      </c>
      <c r="D195" s="2734"/>
      <c r="E195" s="2477"/>
      <c r="F195" s="2643"/>
      <c r="G195" s="761"/>
      <c r="H195" s="1866"/>
      <c r="I195" s="1012"/>
      <c r="J195" s="932"/>
      <c r="K195" s="1866"/>
      <c r="L195" s="575"/>
      <c r="M195" s="702"/>
      <c r="N195" s="695"/>
      <c r="O195" s="1990"/>
      <c r="P195" s="1990"/>
    </row>
    <row s="19274" customFormat="1" customHeight="1" ht="18.75" hidden="1">
      <c r="A196" s="2146" t="s">
        <v>265</v>
      </c>
      <c r="B196" s="2146" t="s">
        <v>266</v>
      </c>
      <c r="C196" s="730"/>
      <c r="D196" s="2734"/>
      <c r="E196" s="2477"/>
      <c r="F196" s="2643" t="str">
        <f>INDEX(PT_DIFFERENTIATION_VTAR,MATCH(A196,PT_DIFFERENTIATION_VTAR_ID,0))</f>
        <v>Тариф на водоотведение</v>
      </c>
      <c r="G196" s="2689" t="str">
        <f>INDEX(PT_DIFFERENTIATION_NTAR,MATCH(B196,PT_DIFFERENTIATION_NTAR_ID,0))</f>
        <v/>
      </c>
      <c r="H196" s="2229"/>
      <c r="I196" s="2105"/>
      <c r="J196" s="2139"/>
      <c r="K196" s="2144"/>
      <c r="L196" s="2229" t="s">
        <v>306</v>
      </c>
      <c r="M196" s="702"/>
      <c r="N196" s="695"/>
      <c r="O196" s="1990"/>
      <c r="P196" s="1990"/>
    </row>
    <row s="19274" customFormat="1" customHeight="1" ht="18.75" hidden="1">
      <c r="A197" s="2146"/>
      <c r="B197" s="2146"/>
      <c r="C197" s="730" t="s">
        <v>1074</v>
      </c>
      <c r="D197" s="2734"/>
      <c r="E197" s="2477"/>
      <c r="F197" s="2643"/>
      <c r="G197" s="2689"/>
      <c r="H197" s="1866"/>
      <c r="I197" s="1012" t="s">
        <v>1073</v>
      </c>
      <c r="J197" s="932"/>
      <c r="K197" s="1866"/>
      <c r="L197" s="575"/>
      <c r="M197" s="702"/>
      <c r="N197" s="695"/>
      <c r="O197" s="1990"/>
      <c r="P197" s="1990"/>
    </row>
    <row s="19274" customFormat="1" customHeight="1" ht="0.75" hidden="1">
      <c r="A198" s="2146"/>
      <c r="B198" s="2146"/>
      <c r="C198" s="730" t="s">
        <v>1082</v>
      </c>
      <c r="D198" s="2734"/>
      <c r="E198" s="2477"/>
      <c r="F198" s="2643"/>
      <c r="G198" s="761"/>
      <c r="H198" s="1866"/>
      <c r="I198" s="1012"/>
      <c r="J198" s="932"/>
      <c r="K198" s="1866"/>
      <c r="L198" s="575"/>
      <c r="M198" s="702"/>
      <c r="N198" s="695"/>
      <c r="O198" s="1990"/>
      <c r="P198" s="1990"/>
    </row>
    <row s="19274" customFormat="1" customHeight="1" ht="18.75" hidden="1">
      <c r="A199" s="2146" t="s">
        <v>270</v>
      </c>
      <c r="B199" s="2146" t="s">
        <v>271</v>
      </c>
      <c r="C199" s="730"/>
      <c r="D199" s="2734"/>
      <c r="E199" s="2477"/>
      <c r="F199" s="2643" t="str">
        <f>INDEX(PT_DIFFERENTIATION_VTAR,MATCH(A199,PT_DIFFERENTIATION_VTAR_ID,0))</f>
        <v>Тариф на транспортировку сточных вод</v>
      </c>
      <c r="G199" s="2689" t="str">
        <f>INDEX(PT_DIFFERENTIATION_NTAR,MATCH(B199,PT_DIFFERENTIATION_NTAR_ID,0))</f>
        <v/>
      </c>
      <c r="H199" s="2229"/>
      <c r="I199" s="2105"/>
      <c r="J199" s="2139"/>
      <c r="K199" s="2144"/>
      <c r="L199" s="2229" t="s">
        <v>306</v>
      </c>
      <c r="M199" s="702"/>
      <c r="N199" s="695"/>
      <c r="O199" s="1990"/>
      <c r="P199" s="1990"/>
    </row>
    <row s="19274" customFormat="1" customHeight="1" ht="18.75" hidden="1">
      <c r="A200" s="2146"/>
      <c r="B200" s="2146"/>
      <c r="C200" s="730" t="s">
        <v>1074</v>
      </c>
      <c r="D200" s="2734"/>
      <c r="E200" s="2477"/>
      <c r="F200" s="2643"/>
      <c r="G200" s="2689"/>
      <c r="H200" s="1866"/>
      <c r="I200" s="1012" t="s">
        <v>1073</v>
      </c>
      <c r="J200" s="932"/>
      <c r="K200" s="1866"/>
      <c r="L200" s="575"/>
      <c r="M200" s="702"/>
      <c r="N200" s="695"/>
      <c r="O200" s="1990"/>
      <c r="P200" s="1990"/>
    </row>
    <row s="19274" customFormat="1" customHeight="1" ht="0.75" hidden="1">
      <c r="A201" s="2146"/>
      <c r="B201" s="2146"/>
      <c r="C201" s="730" t="s">
        <v>1082</v>
      </c>
      <c r="D201" s="2734"/>
      <c r="E201" s="2477"/>
      <c r="F201" s="2643"/>
      <c r="G201" s="761"/>
      <c r="H201" s="1866"/>
      <c r="I201" s="1012"/>
      <c r="J201" s="932"/>
      <c r="K201" s="1866"/>
      <c r="L201" s="575"/>
      <c r="M201" s="702"/>
      <c r="N201" s="695"/>
      <c r="O201" s="1990"/>
      <c r="P201" s="1990"/>
    </row>
    <row s="19274" customFormat="1" customHeight="1" ht="18.75" hidden="1">
      <c r="A202" s="2146" t="s">
        <v>275</v>
      </c>
      <c r="B202" s="2146" t="s">
        <v>276</v>
      </c>
      <c r="C202" s="730"/>
      <c r="D202" s="2734"/>
      <c r="E202" s="2477"/>
      <c r="F202" s="2643" t="str">
        <f>INDEX(PT_DIFFERENTIATION_VTAR,MATCH(A202,PT_DIFFERENTIATION_VTAR_ID,0))</f>
        <v>Тариф на подключение (технологическое присоединение) к централизованной системе водоотведения</v>
      </c>
      <c r="G202" s="2689" t="str">
        <f>INDEX(PT_DIFFERENTIATION_NTAR,MATCH(B202,PT_DIFFERENTIATION_NTAR_ID,0))</f>
        <v/>
      </c>
      <c r="H202" s="2229"/>
      <c r="I202" s="2105"/>
      <c r="J202" s="2139"/>
      <c r="K202" s="2144"/>
      <c r="L202" s="2229" t="s">
        <v>306</v>
      </c>
      <c r="M202" s="702"/>
      <c r="N202" s="695"/>
      <c r="O202" s="1990"/>
      <c r="P202" s="1990"/>
    </row>
    <row s="19274" customFormat="1" customHeight="1" ht="18.75" hidden="1">
      <c r="A203" s="2146"/>
      <c r="B203" s="2146"/>
      <c r="C203" s="730" t="s">
        <v>1074</v>
      </c>
      <c r="D203" s="2734"/>
      <c r="E203" s="2477"/>
      <c r="F203" s="2643"/>
      <c r="G203" s="2689"/>
      <c r="H203" s="1866"/>
      <c r="I203" s="1012" t="s">
        <v>1073</v>
      </c>
      <c r="J203" s="932"/>
      <c r="K203" s="1866"/>
      <c r="L203" s="575"/>
      <c r="M203" s="702"/>
      <c r="N203" s="695"/>
      <c r="O203" s="1990"/>
      <c r="P203" s="1990"/>
    </row>
    <row s="19274" customFormat="1" customHeight="1" ht="0.75">
      <c r="A204" s="2146"/>
      <c r="B204" s="2146"/>
      <c r="C204" s="730" t="s">
        <v>1082</v>
      </c>
      <c r="D204" s="2734"/>
      <c r="E204" s="2477"/>
      <c r="F204" s="2643"/>
      <c r="G204" s="761"/>
      <c r="H204" s="1866"/>
      <c r="I204" s="1012"/>
      <c r="J204" s="932"/>
      <c r="K204" s="1866"/>
      <c r="L204" s="575"/>
      <c r="M204" s="702"/>
      <c r="N204" s="695"/>
      <c r="O204" s="1990"/>
      <c r="P204" s="1990"/>
    </row>
    <row customHeight="1" ht="26.25">
      <c r="A205" s="2146"/>
      <c r="B205" s="2146"/>
      <c r="D205" s="737"/>
      <c r="E205" s="509" t="s">
        <v>108</v>
      </c>
      <c r="F205" s="272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5" s="2726"/>
      <c r="H205" s="2726"/>
      <c r="I205" s="2726"/>
      <c r="J205" s="2726"/>
      <c r="K205" s="2726"/>
      <c r="L205" s="2726"/>
      <c r="M205" s="658"/>
      <c r="N205" s="695"/>
    </row>
    <row s="19274" customFormat="1" customHeight="1" ht="60.75" hidden="1">
      <c r="A206" s="2146" t="s">
        <v>152</v>
      </c>
      <c r="B206" s="2146" t="s">
        <v>153</v>
      </c>
      <c r="C206" s="730"/>
      <c r="D206" s="2734"/>
      <c r="E206" s="2477"/>
      <c r="F206" s="2643" t="str">
        <f>INDEX(PT_DIFFERENTIATION_VTAR,MATCH(A206,PT_DIFFERENTIATION_VTAR_ID,0))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6" s="2689" t="str">
        <f>INDEX(PT_DIFFERENTIATION_NTAR,MATCH(B206,PT_DIFFERENTIATION_NTAR_ID,0))</f>
        <v/>
      </c>
      <c r="H206" s="2229"/>
      <c r="I206" s="2105"/>
      <c r="J206" s="2139"/>
      <c r="K206" s="2144"/>
      <c r="L206" s="2229" t="s">
        <v>306</v>
      </c>
      <c r="M206" s="243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6" s="695"/>
      <c r="O206" s="1990"/>
      <c r="P206" s="1990"/>
    </row>
    <row s="19274" customFormat="1" customHeight="1" ht="18.75" hidden="1">
      <c r="A207" s="2146"/>
      <c r="B207" s="2146"/>
      <c r="C207" s="730" t="s">
        <v>1074</v>
      </c>
      <c r="D207" s="2734"/>
      <c r="E207" s="2477"/>
      <c r="F207" s="2643"/>
      <c r="G207" s="2689"/>
      <c r="H207" s="1866"/>
      <c r="I207" s="1012" t="s">
        <v>1073</v>
      </c>
      <c r="J207" s="932"/>
      <c r="K207" s="1866"/>
      <c r="L207" s="575"/>
      <c r="M207" s="2437"/>
      <c r="N207" s="695"/>
      <c r="O207" s="1990"/>
      <c r="P207" s="1990"/>
    </row>
    <row s="19274" customFormat="1" customHeight="1" ht="0.75" hidden="1">
      <c r="A208" s="2146"/>
      <c r="B208" s="2146"/>
      <c r="C208" s="730" t="s">
        <v>1082</v>
      </c>
      <c r="D208" s="2734"/>
      <c r="E208" s="2477"/>
      <c r="F208" s="2643"/>
      <c r="G208" s="761"/>
      <c r="H208" s="1866"/>
      <c r="I208" s="1012"/>
      <c r="J208" s="932"/>
      <c r="K208" s="1866"/>
      <c r="L208" s="575"/>
      <c r="M208" s="2437"/>
      <c r="N208" s="695"/>
      <c r="O208" s="1990"/>
      <c r="P208" s="1990"/>
    </row>
    <row s="19274" customFormat="1" customHeight="1" ht="45" hidden="1">
      <c r="A209" s="2146" t="s">
        <v>158</v>
      </c>
      <c r="B209" s="2146" t="s">
        <v>159</v>
      </c>
      <c r="C209" s="730"/>
      <c r="D209" s="2734"/>
      <c r="E209" s="2477"/>
      <c r="F209" s="2643" t="str">
        <f>INDEX(PT_DIFFERENTIATION_VTAR,MATCH(A209,PT_DIFFERENTIATION_VTAR_ID,0))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9" s="2689" t="str">
        <f>INDEX(PT_DIFFERENTIATION_NTAR,MATCH(B209,PT_DIFFERENTIATION_NTAR_ID,0))</f>
        <v/>
      </c>
      <c r="H209" s="2229"/>
      <c r="I209" s="2105"/>
      <c r="J209" s="2139"/>
      <c r="K209" s="2144"/>
      <c r="L209" s="2229" t="s">
        <v>306</v>
      </c>
      <c r="M209" s="2438"/>
      <c r="N209" s="695"/>
      <c r="O209" s="1990"/>
      <c r="P209" s="1990"/>
    </row>
    <row s="19274" customFormat="1" customHeight="1" ht="18.75" hidden="1">
      <c r="A210" s="2146"/>
      <c r="B210" s="2146"/>
      <c r="C210" s="730" t="s">
        <v>1074</v>
      </c>
      <c r="D210" s="2734"/>
      <c r="E210" s="2477"/>
      <c r="F210" s="2643"/>
      <c r="G210" s="2689"/>
      <c r="H210" s="1866"/>
      <c r="I210" s="1012" t="s">
        <v>1073</v>
      </c>
      <c r="J210" s="932"/>
      <c r="K210" s="1866"/>
      <c r="L210" s="575"/>
      <c r="M210" s="2228"/>
      <c r="N210" s="695"/>
      <c r="O210" s="1990"/>
      <c r="P210" s="1990"/>
    </row>
    <row s="19274" customFormat="1" customHeight="1" ht="0.75" hidden="1">
      <c r="A211" s="2146"/>
      <c r="B211" s="2146"/>
      <c r="C211" s="730" t="s">
        <v>1082</v>
      </c>
      <c r="D211" s="2734"/>
      <c r="E211" s="2477"/>
      <c r="F211" s="2643"/>
      <c r="G211" s="761"/>
      <c r="H211" s="1866"/>
      <c r="I211" s="1012"/>
      <c r="J211" s="932"/>
      <c r="K211" s="1866"/>
      <c r="L211" s="575"/>
      <c r="M211" s="702"/>
      <c r="N211" s="695"/>
      <c r="O211" s="1990"/>
      <c r="P211" s="1990"/>
    </row>
    <row s="19274" customFormat="1" customHeight="1" ht="45" hidden="1">
      <c r="A212" s="2146" t="s">
        <v>164</v>
      </c>
      <c r="B212" s="2146" t="s">
        <v>165</v>
      </c>
      <c r="C212" s="730"/>
      <c r="D212" s="2734"/>
      <c r="E212" s="2477"/>
      <c r="F212" s="2643" t="str">
        <f>INDEX(PT_DIFFERENTIATION_VTAR,MATCH(A212,PT_DIFFERENTIATION_VTAR_ID,0))</f>
        <v>Тарифы на теплоноситель, поставляемый теплоснабжающими организациями потребителям, другим теплоснабжающим организациям</v>
      </c>
      <c r="G212" s="2689" t="str">
        <f>INDEX(PT_DIFFERENTIATION_NTAR,MATCH(B212,PT_DIFFERENTIATION_NTAR_ID,0))</f>
        <v/>
      </c>
      <c r="H212" s="2229"/>
      <c r="I212" s="2105"/>
      <c r="J212" s="2139"/>
      <c r="K212" s="2144"/>
      <c r="L212" s="2229" t="s">
        <v>306</v>
      </c>
      <c r="M212" s="702"/>
      <c r="N212" s="695"/>
      <c r="O212" s="1990"/>
      <c r="P212" s="1990"/>
    </row>
    <row s="19274" customFormat="1" customHeight="1" ht="18.75" hidden="1">
      <c r="A213" s="2146"/>
      <c r="B213" s="2146"/>
      <c r="C213" s="730" t="s">
        <v>1074</v>
      </c>
      <c r="D213" s="2734"/>
      <c r="E213" s="2477"/>
      <c r="F213" s="2643"/>
      <c r="G213" s="2689"/>
      <c r="H213" s="1866"/>
      <c r="I213" s="1012" t="s">
        <v>1073</v>
      </c>
      <c r="J213" s="932"/>
      <c r="K213" s="1866"/>
      <c r="L213" s="575"/>
      <c r="M213" s="702"/>
      <c r="N213" s="695"/>
      <c r="O213" s="1990"/>
      <c r="P213" s="1990"/>
    </row>
    <row s="19274" customFormat="1" customHeight="1" ht="0.75" hidden="1">
      <c r="A214" s="2146"/>
      <c r="B214" s="2146"/>
      <c r="C214" s="730" t="s">
        <v>1082</v>
      </c>
      <c r="D214" s="2734"/>
      <c r="E214" s="2477"/>
      <c r="F214" s="2643"/>
      <c r="G214" s="761"/>
      <c r="H214" s="1866"/>
      <c r="I214" s="1012"/>
      <c r="J214" s="932"/>
      <c r="K214" s="1866"/>
      <c r="L214" s="575"/>
      <c r="M214" s="702"/>
      <c r="N214" s="695"/>
      <c r="O214" s="1990"/>
      <c r="P214" s="1990"/>
    </row>
    <row s="19274" customFormat="1" customHeight="1" ht="45" hidden="1">
      <c r="A215" s="2146" t="s">
        <v>170</v>
      </c>
      <c r="B215" s="2146" t="s">
        <v>171</v>
      </c>
      <c r="C215" s="730"/>
      <c r="D215" s="2734"/>
      <c r="E215" s="2477"/>
      <c r="F215" s="2643" t="str">
        <f>INDEX(PT_DIFFERENTIATION_VTAR,MATCH(A215,PT_DIFFERENTIATION_VTAR_ID,0))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5" s="2689" t="str">
        <f>INDEX(PT_DIFFERENTIATION_NTAR,MATCH(B215,PT_DIFFERENTIATION_NTAR_ID,0))</f>
        <v/>
      </c>
      <c r="H215" s="2229"/>
      <c r="I215" s="2105"/>
      <c r="J215" s="2139"/>
      <c r="K215" s="2144"/>
      <c r="L215" s="2229" t="s">
        <v>306</v>
      </c>
      <c r="M215" s="702"/>
      <c r="N215" s="695"/>
      <c r="O215" s="1990"/>
      <c r="P215" s="1990"/>
    </row>
    <row s="19274" customFormat="1" customHeight="1" ht="18.75" hidden="1">
      <c r="A216" s="2146"/>
      <c r="B216" s="2146"/>
      <c r="C216" s="730" t="s">
        <v>1074</v>
      </c>
      <c r="D216" s="2734"/>
      <c r="E216" s="2477"/>
      <c r="F216" s="2643"/>
      <c r="G216" s="2689"/>
      <c r="H216" s="1866"/>
      <c r="I216" s="1012" t="s">
        <v>1073</v>
      </c>
      <c r="J216" s="932"/>
      <c r="K216" s="1866"/>
      <c r="L216" s="575"/>
      <c r="M216" s="702"/>
      <c r="N216" s="695"/>
      <c r="O216" s="1990"/>
      <c r="P216" s="1990"/>
    </row>
    <row s="19274" customFormat="1" customHeight="1" ht="0.75" hidden="1">
      <c r="A217" s="2146"/>
      <c r="B217" s="2146"/>
      <c r="C217" s="730" t="s">
        <v>1082</v>
      </c>
      <c r="D217" s="2734"/>
      <c r="E217" s="2477"/>
      <c r="F217" s="2643"/>
      <c r="G217" s="761"/>
      <c r="H217" s="1866"/>
      <c r="I217" s="1012"/>
      <c r="J217" s="932"/>
      <c r="K217" s="1866"/>
      <c r="L217" s="575"/>
      <c r="M217" s="702"/>
      <c r="N217" s="695"/>
      <c r="O217" s="1990"/>
      <c r="P217" s="1990"/>
    </row>
    <row s="19274" customFormat="1" customHeight="1" ht="18.75" hidden="1">
      <c r="A218" s="2146" t="s">
        <v>176</v>
      </c>
      <c r="B218" s="2146" t="s">
        <v>177</v>
      </c>
      <c r="C218" s="730"/>
      <c r="D218" s="2734"/>
      <c r="E218" s="2477"/>
      <c r="F218" s="2643" t="str">
        <f>INDEX(PT_DIFFERENTIATION_VTAR,MATCH(A218,PT_DIFFERENTIATION_VTAR_ID,0))</f>
        <v>Тарифы на услуги по передаче тепловой энергии</v>
      </c>
      <c r="G218" s="2689" t="str">
        <f>INDEX(PT_DIFFERENTIATION_NTAR,MATCH(B218,PT_DIFFERENTIATION_NTAR_ID,0))</f>
        <v/>
      </c>
      <c r="H218" s="2229"/>
      <c r="I218" s="2105"/>
      <c r="J218" s="2139"/>
      <c r="K218" s="2144"/>
      <c r="L218" s="2229" t="s">
        <v>306</v>
      </c>
      <c r="M218" s="702"/>
      <c r="N218" s="695"/>
      <c r="O218" s="1990"/>
      <c r="P218" s="1990"/>
    </row>
    <row s="19274" customFormat="1" customHeight="1" ht="18.75" hidden="1">
      <c r="A219" s="2146"/>
      <c r="B219" s="2146"/>
      <c r="C219" s="730" t="s">
        <v>1074</v>
      </c>
      <c r="D219" s="2734"/>
      <c r="E219" s="2477"/>
      <c r="F219" s="2643"/>
      <c r="G219" s="2689"/>
      <c r="H219" s="1866"/>
      <c r="I219" s="1012" t="s">
        <v>1073</v>
      </c>
      <c r="J219" s="932"/>
      <c r="K219" s="1866"/>
      <c r="L219" s="575"/>
      <c r="M219" s="702"/>
      <c r="N219" s="695"/>
      <c r="O219" s="1990"/>
      <c r="P219" s="1990"/>
    </row>
    <row s="19274" customFormat="1" customHeight="1" ht="0.75" hidden="1">
      <c r="A220" s="2146"/>
      <c r="B220" s="2146"/>
      <c r="C220" s="730" t="s">
        <v>1082</v>
      </c>
      <c r="D220" s="2734"/>
      <c r="E220" s="2477"/>
      <c r="F220" s="2643"/>
      <c r="G220" s="761"/>
      <c r="H220" s="1866"/>
      <c r="I220" s="1012"/>
      <c r="J220" s="932"/>
      <c r="K220" s="1866"/>
      <c r="L220" s="575"/>
      <c r="M220" s="702"/>
      <c r="N220" s="695"/>
      <c r="O220" s="1990"/>
      <c r="P220" s="1990"/>
    </row>
    <row s="19274" customFormat="1" customHeight="1" ht="18.75" hidden="1">
      <c r="A221" s="2146" t="s">
        <v>182</v>
      </c>
      <c r="B221" s="2146" t="s">
        <v>183</v>
      </c>
      <c r="C221" s="730"/>
      <c r="D221" s="2734"/>
      <c r="E221" s="2477"/>
      <c r="F221" s="2643" t="str">
        <f>INDEX(PT_DIFFERENTIATION_VTAR,MATCH(A221,PT_DIFFERENTIATION_VTAR_ID,0))</f>
        <v>Тарифы на услуги по передаче теплоносителя</v>
      </c>
      <c r="G221" s="2689" t="str">
        <f>INDEX(PT_DIFFERENTIATION_NTAR,MATCH(B221,PT_DIFFERENTIATION_NTAR_ID,0))</f>
        <v/>
      </c>
      <c r="H221" s="2229"/>
      <c r="I221" s="2105"/>
      <c r="J221" s="2139"/>
      <c r="K221" s="2144"/>
      <c r="L221" s="2229" t="s">
        <v>306</v>
      </c>
      <c r="M221" s="702"/>
      <c r="N221" s="695"/>
      <c r="O221" s="1990"/>
      <c r="P221" s="1990"/>
    </row>
    <row s="19274" customFormat="1" customHeight="1" ht="18.75" hidden="1">
      <c r="A222" s="2146"/>
      <c r="B222" s="2146"/>
      <c r="C222" s="730" t="s">
        <v>1074</v>
      </c>
      <c r="D222" s="2734"/>
      <c r="E222" s="2477"/>
      <c r="F222" s="2643"/>
      <c r="G222" s="2689"/>
      <c r="H222" s="1866"/>
      <c r="I222" s="1012" t="s">
        <v>1073</v>
      </c>
      <c r="J222" s="932"/>
      <c r="K222" s="1866"/>
      <c r="L222" s="575"/>
      <c r="M222" s="702"/>
      <c r="N222" s="695"/>
      <c r="O222" s="1990"/>
      <c r="P222" s="1990"/>
    </row>
    <row s="19274" customFormat="1" customHeight="1" ht="0.75" hidden="1">
      <c r="A223" s="2146"/>
      <c r="B223" s="2146"/>
      <c r="C223" s="730" t="s">
        <v>1082</v>
      </c>
      <c r="D223" s="2734"/>
      <c r="E223" s="2477"/>
      <c r="F223" s="2643"/>
      <c r="G223" s="761"/>
      <c r="H223" s="1866"/>
      <c r="I223" s="1012"/>
      <c r="J223" s="932"/>
      <c r="K223" s="1866"/>
      <c r="L223" s="575"/>
      <c r="M223" s="702"/>
      <c r="N223" s="695"/>
      <c r="O223" s="1990"/>
      <c r="P223" s="1990"/>
    </row>
    <row s="19274" customFormat="1" customHeight="1" ht="18.75" hidden="1">
      <c r="A224" s="2146" t="s">
        <v>188</v>
      </c>
      <c r="B224" s="2146" t="s">
        <v>189</v>
      </c>
      <c r="C224" s="730"/>
      <c r="D224" s="2734"/>
      <c r="E224" s="2477"/>
      <c r="F224" s="2643" t="str">
        <f>INDEX(PT_DIFFERENTIATION_VTAR,MATCH(A224,PT_DIFFERENTIATION_VTAR_ID,0))</f>
        <v>Плата за услуги по поддержанию резервной тепловой мощности при отсутствии потребления тепловой энергии</v>
      </c>
      <c r="G224" s="2689" t="str">
        <f>INDEX(PT_DIFFERENTIATION_NTAR,MATCH(B224,PT_DIFFERENTIATION_NTAR_ID,0))</f>
        <v/>
      </c>
      <c r="H224" s="2229"/>
      <c r="I224" s="2105"/>
      <c r="J224" s="2139"/>
      <c r="K224" s="2144"/>
      <c r="L224" s="2229" t="s">
        <v>306</v>
      </c>
      <c r="M224" s="702"/>
      <c r="N224" s="695"/>
      <c r="O224" s="1990"/>
      <c r="P224" s="1990"/>
    </row>
    <row s="19274" customFormat="1" customHeight="1" ht="18.75" hidden="1">
      <c r="A225" s="2146"/>
      <c r="B225" s="2146"/>
      <c r="C225" s="730" t="s">
        <v>1074</v>
      </c>
      <c r="D225" s="2734"/>
      <c r="E225" s="2477"/>
      <c r="F225" s="2643"/>
      <c r="G225" s="2689"/>
      <c r="H225" s="1866"/>
      <c r="I225" s="1012" t="s">
        <v>1073</v>
      </c>
      <c r="J225" s="932"/>
      <c r="K225" s="1866"/>
      <c r="L225" s="575"/>
      <c r="M225" s="702"/>
      <c r="N225" s="695"/>
      <c r="O225" s="1990"/>
      <c r="P225" s="1990"/>
    </row>
    <row s="19274" customFormat="1" customHeight="1" ht="0.75" hidden="1">
      <c r="A226" s="2146"/>
      <c r="B226" s="2146"/>
      <c r="C226" s="730" t="s">
        <v>1082</v>
      </c>
      <c r="D226" s="2734"/>
      <c r="E226" s="2477"/>
      <c r="F226" s="2643"/>
      <c r="G226" s="761"/>
      <c r="H226" s="1866"/>
      <c r="I226" s="1012"/>
      <c r="J226" s="932"/>
      <c r="K226" s="1866"/>
      <c r="L226" s="575"/>
      <c r="M226" s="702"/>
      <c r="N226" s="695"/>
      <c r="O226" s="1990"/>
      <c r="P226" s="1990"/>
    </row>
    <row s="19274" customFormat="1" customHeight="1" ht="18.75" hidden="1">
      <c r="A227" s="2146" t="s">
        <v>194</v>
      </c>
      <c r="B227" s="2146" t="s">
        <v>195</v>
      </c>
      <c r="C227" s="730"/>
      <c r="D227" s="2734"/>
      <c r="E227" s="2477"/>
      <c r="F227" s="2643" t="str">
        <f>INDEX(PT_DIFFERENTIATION_VTAR,MATCH(A227,PT_DIFFERENTIATION_VTAR_ID,0))</f>
        <v>Плата за подключение (технологическое присоединение) к системе теплоснабжения</v>
      </c>
      <c r="G227" s="2689" t="str">
        <f>INDEX(PT_DIFFERENTIATION_NTAR,MATCH(B227,PT_DIFFERENTIATION_NTAR_ID,0))</f>
        <v/>
      </c>
      <c r="H227" s="2229"/>
      <c r="I227" s="2105"/>
      <c r="J227" s="2139"/>
      <c r="K227" s="2144"/>
      <c r="L227" s="2229" t="s">
        <v>306</v>
      </c>
      <c r="M227" s="702"/>
      <c r="N227" s="695"/>
      <c r="O227" s="1990"/>
      <c r="P227" s="1990"/>
    </row>
    <row s="19274" customFormat="1" customHeight="1" ht="18.75" hidden="1">
      <c r="A228" s="2146"/>
      <c r="B228" s="2146"/>
      <c r="C228" s="730" t="s">
        <v>1074</v>
      </c>
      <c r="D228" s="2734"/>
      <c r="E228" s="2477"/>
      <c r="F228" s="2643"/>
      <c r="G228" s="2689"/>
      <c r="H228" s="1866"/>
      <c r="I228" s="1012" t="s">
        <v>1073</v>
      </c>
      <c r="J228" s="932"/>
      <c r="K228" s="1866"/>
      <c r="L228" s="575"/>
      <c r="M228" s="702"/>
      <c r="N228" s="695"/>
      <c r="O228" s="1990"/>
      <c r="P228" s="1990"/>
    </row>
    <row s="19274" customFormat="1" customHeight="1" ht="0.75" hidden="1">
      <c r="A229" s="2146"/>
      <c r="B229" s="2146"/>
      <c r="C229" s="730" t="s">
        <v>1082</v>
      </c>
      <c r="D229" s="2734"/>
      <c r="E229" s="2477"/>
      <c r="F229" s="2643"/>
      <c r="G229" s="761"/>
      <c r="H229" s="1866"/>
      <c r="I229" s="1012"/>
      <c r="J229" s="932"/>
      <c r="K229" s="1866"/>
      <c r="L229" s="575"/>
      <c r="M229" s="702"/>
      <c r="N229" s="695"/>
      <c r="O229" s="1990"/>
      <c r="P229" s="1990"/>
    </row>
    <row s="19274" customFormat="1" customHeight="1" ht="18.75" hidden="1">
      <c r="A230" s="2146" t="s">
        <v>220</v>
      </c>
      <c r="B230" s="2146" t="s">
        <v>221</v>
      </c>
      <c r="C230" s="730"/>
      <c r="D230" s="2734"/>
      <c r="E230" s="2477"/>
      <c r="F230" s="2643" t="str">
        <f>INDEX(PT_DIFFERENTIATION_VTAR,MATCH(A230,PT_DIFFERENTIATION_VTAR_ID,0))</f>
        <v>Тариф на питьевую воду (питьевое водоснабжение)</v>
      </c>
      <c r="G230" s="2689" t="str">
        <f>INDEX(PT_DIFFERENTIATION_NTAR,MATCH(B230,PT_DIFFERENTIATION_NTAR_ID,0))</f>
        <v/>
      </c>
      <c r="H230" s="2229"/>
      <c r="I230" s="2105"/>
      <c r="J230" s="2139"/>
      <c r="K230" s="2144"/>
      <c r="L230" s="2229" t="s">
        <v>306</v>
      </c>
      <c r="M230" s="702"/>
      <c r="N230" s="695"/>
      <c r="O230" s="1990"/>
      <c r="P230" s="1990"/>
    </row>
    <row s="19274" customFormat="1" customHeight="1" ht="18.75" hidden="1">
      <c r="A231" s="2146"/>
      <c r="B231" s="2146"/>
      <c r="C231" s="730" t="s">
        <v>1074</v>
      </c>
      <c r="D231" s="2734"/>
      <c r="E231" s="2477"/>
      <c r="F231" s="2643"/>
      <c r="G231" s="2689"/>
      <c r="H231" s="1866"/>
      <c r="I231" s="1012" t="s">
        <v>1073</v>
      </c>
      <c r="J231" s="932"/>
      <c r="K231" s="1866"/>
      <c r="L231" s="575"/>
      <c r="M231" s="702"/>
      <c r="N231" s="695"/>
      <c r="O231" s="1990"/>
      <c r="P231" s="1990"/>
    </row>
    <row s="19274" customFormat="1" customHeight="1" ht="0.75" hidden="1">
      <c r="A232" s="2146"/>
      <c r="B232" s="2146"/>
      <c r="C232" s="730" t="s">
        <v>1082</v>
      </c>
      <c r="D232" s="2734"/>
      <c r="E232" s="2477"/>
      <c r="F232" s="2643"/>
      <c r="G232" s="761"/>
      <c r="H232" s="1866"/>
      <c r="I232" s="1012"/>
      <c r="J232" s="932"/>
      <c r="K232" s="1866"/>
      <c r="L232" s="575"/>
      <c r="M232" s="702"/>
      <c r="N232" s="695"/>
      <c r="O232" s="1990"/>
      <c r="P232" s="1990"/>
    </row>
    <row s="19274" customFormat="1" customHeight="1" ht="18.75" hidden="1">
      <c r="A233" s="2146" t="s">
        <v>225</v>
      </c>
      <c r="B233" s="2146" t="s">
        <v>226</v>
      </c>
      <c r="C233" s="730"/>
      <c r="D233" s="2734"/>
      <c r="E233" s="2477"/>
      <c r="F233" s="2643" t="str">
        <f>INDEX(PT_DIFFERENTIATION_VTAR,MATCH(A233,PT_DIFFERENTIATION_VTAR_ID,0))</f>
        <v>Тариф на техническую воду</v>
      </c>
      <c r="G233" s="2689" t="str">
        <f>INDEX(PT_DIFFERENTIATION_NTAR,MATCH(B233,PT_DIFFERENTIATION_NTAR_ID,0))</f>
        <v/>
      </c>
      <c r="H233" s="2229"/>
      <c r="I233" s="2105"/>
      <c r="J233" s="2139"/>
      <c r="K233" s="2144"/>
      <c r="L233" s="2229" t="s">
        <v>306</v>
      </c>
      <c r="M233" s="702"/>
      <c r="N233" s="695"/>
      <c r="O233" s="1990"/>
      <c r="P233" s="1990"/>
    </row>
    <row s="19274" customFormat="1" customHeight="1" ht="18.75" hidden="1">
      <c r="A234" s="2146"/>
      <c r="B234" s="2146"/>
      <c r="C234" s="730" t="s">
        <v>1074</v>
      </c>
      <c r="D234" s="2734"/>
      <c r="E234" s="2477"/>
      <c r="F234" s="2643"/>
      <c r="G234" s="2689"/>
      <c r="H234" s="1866"/>
      <c r="I234" s="1012" t="s">
        <v>1073</v>
      </c>
      <c r="J234" s="932"/>
      <c r="K234" s="1866"/>
      <c r="L234" s="575"/>
      <c r="M234" s="702"/>
      <c r="N234" s="695"/>
      <c r="O234" s="1990"/>
      <c r="P234" s="1990"/>
    </row>
    <row s="19274" customFormat="1" customHeight="1" ht="0.75" hidden="1">
      <c r="A235" s="2146"/>
      <c r="B235" s="2146"/>
      <c r="C235" s="730" t="s">
        <v>1082</v>
      </c>
      <c r="D235" s="2734"/>
      <c r="E235" s="2477"/>
      <c r="F235" s="2643"/>
      <c r="G235" s="761"/>
      <c r="H235" s="1866"/>
      <c r="I235" s="1012"/>
      <c r="J235" s="932"/>
      <c r="K235" s="1866"/>
      <c r="L235" s="575"/>
      <c r="M235" s="702"/>
      <c r="N235" s="695"/>
      <c r="O235" s="1990"/>
      <c r="P235" s="1990"/>
    </row>
    <row s="19274" customFormat="1" customHeight="1" ht="18.75" hidden="1">
      <c r="A236" s="2146" t="s">
        <v>230</v>
      </c>
      <c r="B236" s="2146" t="s">
        <v>231</v>
      </c>
      <c r="C236" s="730"/>
      <c r="D236" s="2734"/>
      <c r="E236" s="2477"/>
      <c r="F236" s="2643" t="str">
        <f>INDEX(PT_DIFFERENTIATION_VTAR,MATCH(A236,PT_DIFFERENTIATION_VTAR_ID,0))</f>
        <v>Тариф на транспортировку воды</v>
      </c>
      <c r="G236" s="2689" t="str">
        <f>INDEX(PT_DIFFERENTIATION_NTAR,MATCH(B236,PT_DIFFERENTIATION_NTAR_ID,0))</f>
        <v/>
      </c>
      <c r="H236" s="2229"/>
      <c r="I236" s="2105"/>
      <c r="J236" s="2139"/>
      <c r="K236" s="2144"/>
      <c r="L236" s="2229" t="s">
        <v>306</v>
      </c>
      <c r="M236" s="702"/>
      <c r="N236" s="695"/>
      <c r="O236" s="1990"/>
      <c r="P236" s="1990"/>
    </row>
    <row s="19274" customFormat="1" customHeight="1" ht="18.75" hidden="1">
      <c r="A237" s="2146"/>
      <c r="B237" s="2146"/>
      <c r="C237" s="730" t="s">
        <v>1074</v>
      </c>
      <c r="D237" s="2734"/>
      <c r="E237" s="2477"/>
      <c r="F237" s="2643"/>
      <c r="G237" s="2689"/>
      <c r="H237" s="1866"/>
      <c r="I237" s="1012" t="s">
        <v>1073</v>
      </c>
      <c r="J237" s="932"/>
      <c r="K237" s="1866"/>
      <c r="L237" s="575"/>
      <c r="M237" s="702"/>
      <c r="N237" s="695"/>
      <c r="O237" s="1990"/>
      <c r="P237" s="1990"/>
    </row>
    <row s="19274" customFormat="1" customHeight="1" ht="0.75" hidden="1">
      <c r="A238" s="2146"/>
      <c r="B238" s="2146"/>
      <c r="C238" s="730" t="s">
        <v>1082</v>
      </c>
      <c r="D238" s="2734"/>
      <c r="E238" s="2477"/>
      <c r="F238" s="2643"/>
      <c r="G238" s="761"/>
      <c r="H238" s="1866"/>
      <c r="I238" s="1012"/>
      <c r="J238" s="932"/>
      <c r="K238" s="1866"/>
      <c r="L238" s="575"/>
      <c r="M238" s="702"/>
      <c r="N238" s="695"/>
      <c r="O238" s="1990"/>
      <c r="P238" s="1990"/>
    </row>
    <row s="19274" customFormat="1" customHeight="1" ht="18.75" hidden="1">
      <c r="A239" s="2146" t="s">
        <v>235</v>
      </c>
      <c r="B239" s="2146" t="s">
        <v>236</v>
      </c>
      <c r="C239" s="730"/>
      <c r="D239" s="2734"/>
      <c r="E239" s="2477"/>
      <c r="F239" s="2643" t="str">
        <f>INDEX(PT_DIFFERENTIATION_VTAR,MATCH(A239,PT_DIFFERENTIATION_VTAR_ID,0))</f>
        <v>Тариф на подвоз воды</v>
      </c>
      <c r="G239" s="2689" t="str">
        <f>INDEX(PT_DIFFERENTIATION_NTAR,MATCH(B239,PT_DIFFERENTIATION_NTAR_ID,0))</f>
        <v/>
      </c>
      <c r="H239" s="2229"/>
      <c r="I239" s="2105"/>
      <c r="J239" s="2139"/>
      <c r="K239" s="2144"/>
      <c r="L239" s="2229" t="s">
        <v>306</v>
      </c>
      <c r="M239" s="702"/>
      <c r="N239" s="695"/>
      <c r="O239" s="1990"/>
      <c r="P239" s="1990"/>
    </row>
    <row s="19274" customFormat="1" customHeight="1" ht="18.75" hidden="1">
      <c r="A240" s="2146"/>
      <c r="B240" s="2146"/>
      <c r="C240" s="730" t="s">
        <v>1074</v>
      </c>
      <c r="D240" s="2734"/>
      <c r="E240" s="2477"/>
      <c r="F240" s="2643"/>
      <c r="G240" s="2689"/>
      <c r="H240" s="1866"/>
      <c r="I240" s="1012" t="s">
        <v>1073</v>
      </c>
      <c r="J240" s="932"/>
      <c r="K240" s="1866"/>
      <c r="L240" s="575"/>
      <c r="M240" s="702"/>
      <c r="N240" s="695"/>
      <c r="O240" s="1990"/>
      <c r="P240" s="1990"/>
    </row>
    <row s="19274" customFormat="1" customHeight="1" ht="0.75" hidden="1">
      <c r="A241" s="2146"/>
      <c r="B241" s="2146"/>
      <c r="C241" s="730" t="s">
        <v>1082</v>
      </c>
      <c r="D241" s="2734"/>
      <c r="E241" s="2477"/>
      <c r="F241" s="2643"/>
      <c r="G241" s="761"/>
      <c r="H241" s="1866"/>
      <c r="I241" s="1012"/>
      <c r="J241" s="932"/>
      <c r="K241" s="1866"/>
      <c r="L241" s="575"/>
      <c r="M241" s="702"/>
      <c r="N241" s="695"/>
      <c r="O241" s="1990"/>
      <c r="P241" s="1990"/>
    </row>
    <row s="19274" customFormat="1" customHeight="1" ht="18.75" hidden="1">
      <c r="A242" s="2146" t="s">
        <v>240</v>
      </c>
      <c r="B242" s="2146" t="s">
        <v>241</v>
      </c>
      <c r="C242" s="730"/>
      <c r="D242" s="2734"/>
      <c r="E242" s="2477"/>
      <c r="F242" s="2643" t="str">
        <f>INDEX(PT_DIFFERENTIATION_VTAR,MATCH(A242,PT_DIFFERENTIATION_VTAR_ID,0))</f>
        <v>Тариф на подключение (технологическое присоединение) к централизованной системе холодного водоснабжения</v>
      </c>
      <c r="G242" s="2689" t="str">
        <f>INDEX(PT_DIFFERENTIATION_NTAR,MATCH(B242,PT_DIFFERENTIATION_NTAR_ID,0))</f>
        <v/>
      </c>
      <c r="H242" s="2229"/>
      <c r="I242" s="2105"/>
      <c r="J242" s="2139"/>
      <c r="K242" s="2144"/>
      <c r="L242" s="2229" t="s">
        <v>306</v>
      </c>
      <c r="M242" s="702"/>
      <c r="N242" s="695"/>
      <c r="O242" s="1990"/>
      <c r="P242" s="1990"/>
    </row>
    <row s="19274" customFormat="1" customHeight="1" ht="18.75" hidden="1">
      <c r="A243" s="2146"/>
      <c r="B243" s="2146"/>
      <c r="C243" s="730" t="s">
        <v>1074</v>
      </c>
      <c r="D243" s="2734"/>
      <c r="E243" s="2477"/>
      <c r="F243" s="2643"/>
      <c r="G243" s="2689"/>
      <c r="H243" s="1866"/>
      <c r="I243" s="1012" t="s">
        <v>1073</v>
      </c>
      <c r="J243" s="932"/>
      <c r="K243" s="1866"/>
      <c r="L243" s="575"/>
      <c r="M243" s="702"/>
      <c r="N243" s="695"/>
      <c r="O243" s="1990"/>
      <c r="P243" s="1990"/>
    </row>
    <row s="19274" customFormat="1" customHeight="1" ht="0.75" hidden="1">
      <c r="A244" s="2146"/>
      <c r="B244" s="2146"/>
      <c r="C244" s="730" t="s">
        <v>1082</v>
      </c>
      <c r="D244" s="2734"/>
      <c r="E244" s="2477"/>
      <c r="F244" s="2643"/>
      <c r="G244" s="761"/>
      <c r="H244" s="1866"/>
      <c r="I244" s="1012"/>
      <c r="J244" s="932"/>
      <c r="K244" s="1866"/>
      <c r="L244" s="575"/>
      <c r="M244" s="702"/>
      <c r="N244" s="695"/>
      <c r="O244" s="1990"/>
      <c r="P244" s="1990"/>
    </row>
    <row s="19274" customFormat="1" customHeight="1" ht="18.75" hidden="1">
      <c r="A245" s="2146" t="s">
        <v>247</v>
      </c>
      <c r="B245" s="2146" t="s">
        <v>248</v>
      </c>
      <c r="C245" s="730"/>
      <c r="D245" s="2734"/>
      <c r="E245" s="2477"/>
      <c r="F245" s="2643" t="str">
        <f>INDEX(PT_DIFFERENTIATION_VTAR,MATCH(A245,PT_DIFFERENTIATION_VTAR_ID,0))</f>
        <v>Тариф на горячую воду (горячее водоснабжение)</v>
      </c>
      <c r="G245" s="2689" t="str">
        <f>INDEX(PT_DIFFERENTIATION_NTAR,MATCH(B245,PT_DIFFERENTIATION_NTAR_ID,0))</f>
        <v>Тарифы на горячую воду в закрытых системах горячего водоснабжения</v>
      </c>
      <c r="H245" s="2229"/>
      <c r="I245" s="2105"/>
      <c r="J245" s="2139"/>
      <c r="K245" s="2144"/>
      <c r="L245" s="2229" t="s">
        <v>306</v>
      </c>
      <c r="M245" s="702"/>
      <c r="N245" s="695"/>
      <c r="O245" s="1990"/>
      <c r="P245" s="1990"/>
    </row>
    <row s="19274" customFormat="1" customHeight="1" ht="18.75" hidden="1">
      <c r="A246" s="2146"/>
      <c r="B246" s="2146"/>
      <c r="C246" s="730" t="s">
        <v>1074</v>
      </c>
      <c r="D246" s="2734"/>
      <c r="E246" s="2477"/>
      <c r="F246" s="2643"/>
      <c r="G246" s="2689"/>
      <c r="H246" s="1866"/>
      <c r="I246" s="1012" t="s">
        <v>1073</v>
      </c>
      <c r="J246" s="932"/>
      <c r="K246" s="1866"/>
      <c r="L246" s="575"/>
      <c r="M246" s="702"/>
      <c r="N246" s="695"/>
      <c r="O246" s="1990"/>
      <c r="P246" s="1990"/>
    </row>
    <row s="19274" customFormat="1" customHeight="1" ht="0.75" hidden="1">
      <c r="A247" s="2146"/>
      <c r="B247" s="2146"/>
      <c r="C247" s="730" t="s">
        <v>1082</v>
      </c>
      <c r="D247" s="2734"/>
      <c r="E247" s="2477"/>
      <c r="F247" s="2643"/>
      <c r="G247" s="761"/>
      <c r="H247" s="1866"/>
      <c r="I247" s="1012"/>
      <c r="J247" s="932"/>
      <c r="K247" s="1866"/>
      <c r="L247" s="575"/>
      <c r="M247" s="702"/>
      <c r="N247" s="695"/>
      <c r="O247" s="1990"/>
      <c r="P247" s="1990"/>
    </row>
    <row s="19274" customFormat="1" customHeight="1" ht="18.75" hidden="1">
      <c r="A248" s="2146" t="s">
        <v>255</v>
      </c>
      <c r="B248" s="2146" t="s">
        <v>256</v>
      </c>
      <c r="C248" s="730"/>
      <c r="D248" s="2734"/>
      <c r="E248" s="2477"/>
      <c r="F248" s="2643" t="str">
        <f>INDEX(PT_DIFFERENTIATION_VTAR,MATCH(A248,PT_DIFFERENTIATION_VTAR_ID,0))</f>
        <v>Тариф на транспортировку горячей воды</v>
      </c>
      <c r="G248" s="2689" t="str">
        <f>INDEX(PT_DIFFERENTIATION_NTAR,MATCH(B248,PT_DIFFERENTIATION_NTAR_ID,0))</f>
        <v/>
      </c>
      <c r="H248" s="2229"/>
      <c r="I248" s="2105"/>
      <c r="J248" s="2139"/>
      <c r="K248" s="2144"/>
      <c r="L248" s="2229" t="s">
        <v>306</v>
      </c>
      <c r="M248" s="702"/>
      <c r="N248" s="695"/>
      <c r="O248" s="1990"/>
      <c r="P248" s="1990"/>
    </row>
    <row s="19274" customFormat="1" customHeight="1" ht="18.75" hidden="1">
      <c r="A249" s="2146"/>
      <c r="B249" s="2146"/>
      <c r="C249" s="730" t="s">
        <v>1074</v>
      </c>
      <c r="D249" s="2734"/>
      <c r="E249" s="2477"/>
      <c r="F249" s="2643"/>
      <c r="G249" s="2689"/>
      <c r="H249" s="1866"/>
      <c r="I249" s="1012" t="s">
        <v>1073</v>
      </c>
      <c r="J249" s="932"/>
      <c r="K249" s="1866"/>
      <c r="L249" s="575"/>
      <c r="M249" s="702"/>
      <c r="N249" s="695"/>
      <c r="O249" s="1990"/>
      <c r="P249" s="1990"/>
    </row>
    <row s="19274" customFormat="1" customHeight="1" ht="0.75" hidden="1">
      <c r="A250" s="2146"/>
      <c r="B250" s="2146"/>
      <c r="C250" s="730" t="s">
        <v>1082</v>
      </c>
      <c r="D250" s="2734"/>
      <c r="E250" s="2477"/>
      <c r="F250" s="2643"/>
      <c r="G250" s="761"/>
      <c r="H250" s="1866"/>
      <c r="I250" s="1012"/>
      <c r="J250" s="932"/>
      <c r="K250" s="1866"/>
      <c r="L250" s="575"/>
      <c r="M250" s="702"/>
      <c r="N250" s="695"/>
      <c r="O250" s="1990"/>
      <c r="P250" s="1990"/>
    </row>
    <row s="19274" customFormat="1" customHeight="1" ht="18.75" hidden="1">
      <c r="A251" s="2146" t="s">
        <v>260</v>
      </c>
      <c r="B251" s="2146" t="s">
        <v>261</v>
      </c>
      <c r="C251" s="730"/>
      <c r="D251" s="2734"/>
      <c r="E251" s="2477"/>
      <c r="F251" s="2643" t="str">
        <f>INDEX(PT_DIFFERENTIATION_VTAR,MATCH(A251,PT_DIFFERENTIATION_VTAR_ID,0))</f>
        <v>Тариф на подключение (технологическое присоединение) к централизованной системе горячего водоснабжения</v>
      </c>
      <c r="G251" s="2689" t="str">
        <f>INDEX(PT_DIFFERENTIATION_NTAR,MATCH(B251,PT_DIFFERENTIATION_NTAR_ID,0))</f>
        <v/>
      </c>
      <c r="H251" s="2229"/>
      <c r="I251" s="2105"/>
      <c r="J251" s="2139"/>
      <c r="K251" s="2144"/>
      <c r="L251" s="2229" t="s">
        <v>306</v>
      </c>
      <c r="M251" s="702"/>
      <c r="N251" s="695"/>
      <c r="O251" s="1990"/>
      <c r="P251" s="1990"/>
    </row>
    <row s="19274" customFormat="1" customHeight="1" ht="18.75" hidden="1">
      <c r="A252" s="2146"/>
      <c r="B252" s="2146"/>
      <c r="C252" s="730" t="s">
        <v>1074</v>
      </c>
      <c r="D252" s="2734"/>
      <c r="E252" s="2477"/>
      <c r="F252" s="2643"/>
      <c r="G252" s="2689"/>
      <c r="H252" s="1866"/>
      <c r="I252" s="1012" t="s">
        <v>1073</v>
      </c>
      <c r="J252" s="932"/>
      <c r="K252" s="1866"/>
      <c r="L252" s="575"/>
      <c r="M252" s="702"/>
      <c r="N252" s="695"/>
      <c r="O252" s="1990"/>
      <c r="P252" s="1990"/>
    </row>
    <row s="20290" customFormat="1" customHeight="1" ht="18.75">
      <c r="A253" s="7923" t="s">
        <v>260</v>
      </c>
      <c r="B253" s="7923" t="s">
        <v>1079</v>
      </c>
      <c r="C253" s="7924"/>
      <c r="D253" s="7925"/>
      <c r="E253" s="7926"/>
      <c r="F253" s="7926"/>
      <c r="G253" s="7927">
        <f>INDEX(PT_DIFFERENTIATION_NTAR,MATCH(B253,PT_DIFFERENTIATION_NTAR_ID,0))</f>
      </c>
      <c r="H253" s="7928"/>
      <c r="I253" s="7929"/>
      <c r="J253" s="7930"/>
      <c r="K253" s="7943"/>
      <c r="L253" s="7928" t="s">
        <v>306</v>
      </c>
      <c r="M253" s="7932"/>
      <c r="N253" s="7933"/>
      <c r="O253" s="6613"/>
      <c r="P253" s="6613"/>
      <c r="Q253" s="7934"/>
      <c r="R253" s="7934"/>
      <c r="S253" s="7934"/>
      <c r="T253" s="7934"/>
      <c r="U253" s="7934"/>
      <c r="V253" s="7934"/>
      <c r="W253" s="7934"/>
      <c r="X253" s="7934"/>
      <c r="Y253" s="7934"/>
      <c r="Z253" s="7934"/>
      <c r="AA253" s="7934"/>
      <c r="AB253" s="7934"/>
      <c r="AC253" s="7934"/>
      <c r="AD253" s="7934"/>
      <c r="AE253" s="7934"/>
      <c r="AF253" s="7934"/>
      <c r="AG253" s="7934"/>
    </row>
    <row s="20290" customFormat="1" customHeight="1" ht="18.75">
      <c r="A254" s="7923"/>
      <c r="B254" s="7923"/>
      <c r="C254" s="7924" t="s">
        <v>1074</v>
      </c>
      <c r="D254" s="7925"/>
      <c r="E254" s="7926"/>
      <c r="F254" s="7926"/>
      <c r="G254" s="7927"/>
      <c r="H254" s="7954"/>
      <c r="I254" s="7955" t="s">
        <v>1073</v>
      </c>
      <c r="J254" s="7956"/>
      <c r="K254" s="7957"/>
      <c r="L254" s="7958"/>
      <c r="M254" s="7932"/>
      <c r="N254" s="7933"/>
      <c r="O254" s="6613"/>
      <c r="P254" s="6613"/>
      <c r="Q254" s="7934"/>
      <c r="R254" s="7934"/>
      <c r="S254" s="7934"/>
      <c r="T254" s="7934"/>
      <c r="U254" s="7934"/>
      <c r="V254" s="7934"/>
      <c r="W254" s="7934"/>
      <c r="X254" s="7934"/>
      <c r="Y254" s="7934"/>
      <c r="Z254" s="7934"/>
      <c r="AA254" s="7934"/>
      <c r="AB254" s="7934"/>
      <c r="AC254" s="7934"/>
      <c r="AD254" s="7934"/>
      <c r="AE254" s="7934"/>
      <c r="AF254" s="7934"/>
      <c r="AG254" s="7934"/>
    </row>
    <row s="19274" customFormat="1" customHeight="1" ht="0.75" hidden="1">
      <c r="A255" s="2146"/>
      <c r="B255" s="2146"/>
      <c r="C255" s="730" t="s">
        <v>1082</v>
      </c>
      <c r="D255" s="2734"/>
      <c r="E255" s="2477"/>
      <c r="F255" s="2643"/>
      <c r="G255" s="761"/>
      <c r="H255" s="1866"/>
      <c r="I255" s="1012"/>
      <c r="J255" s="932"/>
      <c r="K255" s="1866"/>
      <c r="L255" s="575"/>
      <c r="M255" s="702"/>
      <c r="N255" s="695"/>
      <c r="O255" s="1990"/>
      <c r="P255" s="1990"/>
    </row>
    <row s="19274" customFormat="1" customHeight="1" ht="18.75" hidden="1">
      <c r="A256" s="2146" t="s">
        <v>265</v>
      </c>
      <c r="B256" s="2146" t="s">
        <v>266</v>
      </c>
      <c r="C256" s="730"/>
      <c r="D256" s="2734"/>
      <c r="E256" s="2477"/>
      <c r="F256" s="2643" t="str">
        <f>INDEX(PT_DIFFERENTIATION_VTAR,MATCH(A256,PT_DIFFERENTIATION_VTAR_ID,0))</f>
        <v>Тариф на водоотведение</v>
      </c>
      <c r="G256" s="2689" t="str">
        <f>INDEX(PT_DIFFERENTIATION_NTAR,MATCH(B256,PT_DIFFERENTIATION_NTAR_ID,0))</f>
        <v/>
      </c>
      <c r="H256" s="2229"/>
      <c r="I256" s="2105"/>
      <c r="J256" s="2139"/>
      <c r="K256" s="2144"/>
      <c r="L256" s="2229" t="s">
        <v>306</v>
      </c>
      <c r="M256" s="702"/>
      <c r="N256" s="695"/>
      <c r="O256" s="1990"/>
      <c r="P256" s="1990"/>
    </row>
    <row s="19274" customFormat="1" customHeight="1" ht="18.75" hidden="1">
      <c r="A257" s="2146"/>
      <c r="B257" s="2146"/>
      <c r="C257" s="730" t="s">
        <v>1074</v>
      </c>
      <c r="D257" s="2734"/>
      <c r="E257" s="2477"/>
      <c r="F257" s="2643"/>
      <c r="G257" s="2689"/>
      <c r="H257" s="1866"/>
      <c r="I257" s="1012" t="s">
        <v>1073</v>
      </c>
      <c r="J257" s="932"/>
      <c r="K257" s="1866"/>
      <c r="L257" s="575"/>
      <c r="M257" s="702"/>
      <c r="N257" s="695"/>
      <c r="O257" s="1990"/>
      <c r="P257" s="1990"/>
    </row>
    <row s="19274" customFormat="1" customHeight="1" ht="0.75" hidden="1">
      <c r="A258" s="2146"/>
      <c r="B258" s="2146"/>
      <c r="C258" s="730" t="s">
        <v>1082</v>
      </c>
      <c r="D258" s="2734"/>
      <c r="E258" s="2477"/>
      <c r="F258" s="2643"/>
      <c r="G258" s="761"/>
      <c r="H258" s="1866"/>
      <c r="I258" s="1012"/>
      <c r="J258" s="932"/>
      <c r="K258" s="1866"/>
      <c r="L258" s="575"/>
      <c r="M258" s="702"/>
      <c r="N258" s="695"/>
      <c r="O258" s="1990"/>
      <c r="P258" s="1990"/>
    </row>
    <row s="19274" customFormat="1" customHeight="1" ht="18.75" hidden="1">
      <c r="A259" s="2146" t="s">
        <v>270</v>
      </c>
      <c r="B259" s="2146" t="s">
        <v>271</v>
      </c>
      <c r="C259" s="730"/>
      <c r="D259" s="2734"/>
      <c r="E259" s="2477"/>
      <c r="F259" s="2643" t="str">
        <f>INDEX(PT_DIFFERENTIATION_VTAR,MATCH(A259,PT_DIFFERENTIATION_VTAR_ID,0))</f>
        <v>Тариф на транспортировку сточных вод</v>
      </c>
      <c r="G259" s="2689" t="str">
        <f>INDEX(PT_DIFFERENTIATION_NTAR,MATCH(B259,PT_DIFFERENTIATION_NTAR_ID,0))</f>
        <v/>
      </c>
      <c r="H259" s="2229"/>
      <c r="I259" s="2105"/>
      <c r="J259" s="2139"/>
      <c r="K259" s="2144"/>
      <c r="L259" s="2229" t="s">
        <v>306</v>
      </c>
      <c r="M259" s="702"/>
      <c r="N259" s="695"/>
      <c r="O259" s="1990"/>
      <c r="P259" s="1990"/>
    </row>
    <row s="19274" customFormat="1" customHeight="1" ht="18.75" hidden="1">
      <c r="A260" s="2146"/>
      <c r="B260" s="2146"/>
      <c r="C260" s="730" t="s">
        <v>1074</v>
      </c>
      <c r="D260" s="2734"/>
      <c r="E260" s="2477"/>
      <c r="F260" s="2643"/>
      <c r="G260" s="2689"/>
      <c r="H260" s="1866"/>
      <c r="I260" s="1012" t="s">
        <v>1073</v>
      </c>
      <c r="J260" s="932"/>
      <c r="K260" s="1866"/>
      <c r="L260" s="575"/>
      <c r="M260" s="702"/>
      <c r="N260" s="695"/>
      <c r="O260" s="1990"/>
      <c r="P260" s="1990"/>
    </row>
    <row s="19274" customFormat="1" customHeight="1" ht="0.75" hidden="1">
      <c r="A261" s="2146"/>
      <c r="B261" s="2146"/>
      <c r="C261" s="730" t="s">
        <v>1082</v>
      </c>
      <c r="D261" s="2734"/>
      <c r="E261" s="2477"/>
      <c r="F261" s="2643"/>
      <c r="G261" s="761"/>
      <c r="H261" s="1866"/>
      <c r="I261" s="1012"/>
      <c r="J261" s="932"/>
      <c r="K261" s="1866"/>
      <c r="L261" s="575"/>
      <c r="M261" s="702"/>
      <c r="N261" s="695"/>
      <c r="O261" s="1990"/>
      <c r="P261" s="1990"/>
    </row>
    <row s="19274" customFormat="1" customHeight="1" ht="18.75" hidden="1">
      <c r="A262" s="2146" t="s">
        <v>275</v>
      </c>
      <c r="B262" s="2146" t="s">
        <v>276</v>
      </c>
      <c r="C262" s="730"/>
      <c r="D262" s="2734"/>
      <c r="E262" s="2477"/>
      <c r="F262" s="2643" t="str">
        <f>INDEX(PT_DIFFERENTIATION_VTAR,MATCH(A262,PT_DIFFERENTIATION_VTAR_ID,0))</f>
        <v>Тариф на подключение (технологическое присоединение) к централизованной системе водоотведения</v>
      </c>
      <c r="G262" s="2689" t="str">
        <f>INDEX(PT_DIFFERENTIATION_NTAR,MATCH(B262,PT_DIFFERENTIATION_NTAR_ID,0))</f>
        <v/>
      </c>
      <c r="H262" s="2229"/>
      <c r="I262" s="2105"/>
      <c r="J262" s="2139"/>
      <c r="K262" s="2144"/>
      <c r="L262" s="2229" t="s">
        <v>306</v>
      </c>
      <c r="M262" s="702"/>
      <c r="N262" s="695"/>
      <c r="O262" s="1990"/>
      <c r="P262" s="1990"/>
    </row>
    <row s="19274" customFormat="1" customHeight="1" ht="18.75" hidden="1">
      <c r="A263" s="2146"/>
      <c r="B263" s="2146"/>
      <c r="C263" s="730" t="s">
        <v>1074</v>
      </c>
      <c r="D263" s="2734"/>
      <c r="E263" s="2477"/>
      <c r="F263" s="2643"/>
      <c r="G263" s="2689"/>
      <c r="H263" s="1866"/>
      <c r="I263" s="1012" t="s">
        <v>1073</v>
      </c>
      <c r="J263" s="932"/>
      <c r="K263" s="1866"/>
      <c r="L263" s="575"/>
      <c r="M263" s="702"/>
      <c r="N263" s="695"/>
      <c r="O263" s="1990"/>
      <c r="P263" s="1990"/>
    </row>
    <row s="19274" customFormat="1" customHeight="1" ht="0.75">
      <c r="A264" s="2146"/>
      <c r="B264" s="2146"/>
      <c r="C264" s="730" t="s">
        <v>1082</v>
      </c>
      <c r="D264" s="2734"/>
      <c r="E264" s="2477"/>
      <c r="F264" s="2643"/>
      <c r="G264" s="761"/>
      <c r="H264" s="1866"/>
      <c r="I264" s="1012"/>
      <c r="J264" s="932"/>
      <c r="K264" s="1866"/>
      <c r="L264" s="575"/>
      <c r="M264" s="702"/>
      <c r="N264" s="695"/>
      <c r="O264" s="1990"/>
      <c r="P264" s="1990"/>
    </row>
    <row customHeight="1" ht="25.5">
      <c r="A265" s="2146"/>
      <c r="B265" s="2146"/>
      <c r="D265" s="737"/>
      <c r="E265" s="509" t="s">
        <v>89</v>
      </c>
      <c r="F265" s="272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5" s="2726"/>
      <c r="H265" s="2726"/>
      <c r="I265" s="2726"/>
      <c r="J265" s="2726"/>
      <c r="K265" s="2726"/>
      <c r="L265" s="2726"/>
      <c r="M265" s="658"/>
      <c r="N265" s="695"/>
    </row>
    <row s="19274" customFormat="1" customHeight="1" ht="60.75" hidden="1">
      <c r="A266" s="2146" t="s">
        <v>152</v>
      </c>
      <c r="B266" s="2146" t="s">
        <v>153</v>
      </c>
      <c r="C266" s="730"/>
      <c r="D266" s="2734"/>
      <c r="E266" s="2477"/>
      <c r="F266" s="2643" t="str">
        <f>INDEX(PT_DIFFERENTIATION_VTAR,MATCH(A266,PT_DIFFERENTIATION_VTAR_ID,0))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66" s="2689" t="str">
        <f>INDEX(PT_DIFFERENTIATION_NTAR,MATCH(B266,PT_DIFFERENTIATION_NTAR_ID,0))</f>
        <v/>
      </c>
      <c r="H266" s="2229"/>
      <c r="I266" s="2105"/>
      <c r="J266" s="2139"/>
      <c r="K266" s="2144"/>
      <c r="L266" s="2229" t="s">
        <v>306</v>
      </c>
      <c r="M266" s="243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66" s="695"/>
      <c r="O266" s="1990"/>
      <c r="P266" s="1990"/>
    </row>
    <row s="19274" customFormat="1" customHeight="1" ht="18.75" hidden="1">
      <c r="A267" s="2146"/>
      <c r="B267" s="2146"/>
      <c r="C267" s="730" t="s">
        <v>1074</v>
      </c>
      <c r="D267" s="2734"/>
      <c r="E267" s="2477"/>
      <c r="F267" s="2643"/>
      <c r="G267" s="2689"/>
      <c r="H267" s="1866"/>
      <c r="I267" s="1012" t="s">
        <v>1073</v>
      </c>
      <c r="J267" s="932"/>
      <c r="K267" s="1866"/>
      <c r="L267" s="575"/>
      <c r="M267" s="2437"/>
      <c r="N267" s="695"/>
      <c r="O267" s="1990"/>
      <c r="P267" s="1990"/>
    </row>
    <row s="19274" customFormat="1" customHeight="1" ht="0.75" hidden="1">
      <c r="A268" s="2146"/>
      <c r="B268" s="2146"/>
      <c r="C268" s="730" t="s">
        <v>1082</v>
      </c>
      <c r="D268" s="2734"/>
      <c r="E268" s="2477"/>
      <c r="F268" s="2643"/>
      <c r="G268" s="761"/>
      <c r="H268" s="1866"/>
      <c r="I268" s="1012"/>
      <c r="J268" s="932"/>
      <c r="K268" s="1866"/>
      <c r="L268" s="575"/>
      <c r="M268" s="2437"/>
      <c r="N268" s="695"/>
      <c r="O268" s="1990"/>
      <c r="P268" s="1990"/>
    </row>
    <row s="19274" customFormat="1" customHeight="1" ht="45" hidden="1">
      <c r="A269" s="2146" t="s">
        <v>158</v>
      </c>
      <c r="B269" s="2146" t="s">
        <v>159</v>
      </c>
      <c r="C269" s="730"/>
      <c r="D269" s="2734"/>
      <c r="E269" s="2477"/>
      <c r="F269" s="2643" t="str">
        <f>INDEX(PT_DIFFERENTIATION_VTAR,MATCH(A269,PT_DIFFERENTIATION_VTAR_ID,0))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9" s="2689" t="str">
        <f>INDEX(PT_DIFFERENTIATION_NTAR,MATCH(B269,PT_DIFFERENTIATION_NTAR_ID,0))</f>
        <v/>
      </c>
      <c r="H269" s="2229"/>
      <c r="I269" s="2105"/>
      <c r="J269" s="2139"/>
      <c r="K269" s="2144"/>
      <c r="L269" s="2229" t="s">
        <v>306</v>
      </c>
      <c r="M269" s="2438"/>
      <c r="N269" s="695"/>
      <c r="O269" s="1990"/>
      <c r="P269" s="1990"/>
    </row>
    <row s="19274" customFormat="1" customHeight="1" ht="18.75" hidden="1">
      <c r="A270" s="2146"/>
      <c r="B270" s="2146"/>
      <c r="C270" s="730" t="s">
        <v>1074</v>
      </c>
      <c r="D270" s="2734"/>
      <c r="E270" s="2477"/>
      <c r="F270" s="2643"/>
      <c r="G270" s="2689"/>
      <c r="H270" s="1866"/>
      <c r="I270" s="1012" t="s">
        <v>1073</v>
      </c>
      <c r="J270" s="932"/>
      <c r="K270" s="1866"/>
      <c r="L270" s="575"/>
      <c r="M270" s="2228"/>
      <c r="N270" s="695"/>
      <c r="O270" s="1990"/>
      <c r="P270" s="1990"/>
    </row>
    <row s="19274" customFormat="1" customHeight="1" ht="0.75" hidden="1">
      <c r="A271" s="2146"/>
      <c r="B271" s="2146"/>
      <c r="C271" s="730" t="s">
        <v>1082</v>
      </c>
      <c r="D271" s="2734"/>
      <c r="E271" s="2477"/>
      <c r="F271" s="2643"/>
      <c r="G271" s="761"/>
      <c r="H271" s="1866"/>
      <c r="I271" s="1012"/>
      <c r="J271" s="932"/>
      <c r="K271" s="1866"/>
      <c r="L271" s="575"/>
      <c r="M271" s="702"/>
      <c r="N271" s="695"/>
      <c r="O271" s="1990"/>
      <c r="P271" s="1990"/>
    </row>
    <row s="19274" customFormat="1" customHeight="1" ht="45" hidden="1">
      <c r="A272" s="2146" t="s">
        <v>164</v>
      </c>
      <c r="B272" s="2146" t="s">
        <v>165</v>
      </c>
      <c r="C272" s="730"/>
      <c r="D272" s="2734"/>
      <c r="E272" s="2477"/>
      <c r="F272" s="2643" t="str">
        <f>INDEX(PT_DIFFERENTIATION_VTAR,MATCH(A272,PT_DIFFERENTIATION_VTAR_ID,0))</f>
        <v>Тарифы на теплоноситель, поставляемый теплоснабжающими организациями потребителям, другим теплоснабжающим организациям</v>
      </c>
      <c r="G272" s="2689" t="str">
        <f>INDEX(PT_DIFFERENTIATION_NTAR,MATCH(B272,PT_DIFFERENTIATION_NTAR_ID,0))</f>
        <v/>
      </c>
      <c r="H272" s="2229"/>
      <c r="I272" s="2105"/>
      <c r="J272" s="2139"/>
      <c r="K272" s="2144"/>
      <c r="L272" s="2229" t="s">
        <v>306</v>
      </c>
      <c r="M272" s="702"/>
      <c r="N272" s="695"/>
      <c r="O272" s="1990"/>
      <c r="P272" s="1990"/>
    </row>
    <row s="19274" customFormat="1" customHeight="1" ht="18.75" hidden="1">
      <c r="A273" s="2146"/>
      <c r="B273" s="2146"/>
      <c r="C273" s="730" t="s">
        <v>1074</v>
      </c>
      <c r="D273" s="2734"/>
      <c r="E273" s="2477"/>
      <c r="F273" s="2643"/>
      <c r="G273" s="2689"/>
      <c r="H273" s="1866"/>
      <c r="I273" s="1012" t="s">
        <v>1073</v>
      </c>
      <c r="J273" s="932"/>
      <c r="K273" s="1866"/>
      <c r="L273" s="575"/>
      <c r="M273" s="702"/>
      <c r="N273" s="695"/>
      <c r="O273" s="1990"/>
      <c r="P273" s="1990"/>
    </row>
    <row s="19274" customFormat="1" customHeight="1" ht="0.75" hidden="1">
      <c r="A274" s="2146"/>
      <c r="B274" s="2146"/>
      <c r="C274" s="730" t="s">
        <v>1082</v>
      </c>
      <c r="D274" s="2734"/>
      <c r="E274" s="2477"/>
      <c r="F274" s="2643"/>
      <c r="G274" s="761"/>
      <c r="H274" s="1866"/>
      <c r="I274" s="1012"/>
      <c r="J274" s="932"/>
      <c r="K274" s="1866"/>
      <c r="L274" s="575"/>
      <c r="M274" s="702"/>
      <c r="N274" s="695"/>
      <c r="O274" s="1990"/>
      <c r="P274" s="1990"/>
    </row>
    <row s="19274" customFormat="1" customHeight="1" ht="45" hidden="1">
      <c r="A275" s="2146" t="s">
        <v>170</v>
      </c>
      <c r="B275" s="2146" t="s">
        <v>171</v>
      </c>
      <c r="C275" s="730"/>
      <c r="D275" s="2734"/>
      <c r="E275" s="2477"/>
      <c r="F275" s="2643" t="str">
        <f>INDEX(PT_DIFFERENTIATION_VTAR,MATCH(A275,PT_DIFFERENTIATION_VTAR_ID,0))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5" s="2689" t="str">
        <f>INDEX(PT_DIFFERENTIATION_NTAR,MATCH(B275,PT_DIFFERENTIATION_NTAR_ID,0))</f>
        <v/>
      </c>
      <c r="H275" s="2229"/>
      <c r="I275" s="2105"/>
      <c r="J275" s="2139"/>
      <c r="K275" s="2144"/>
      <c r="L275" s="2229" t="s">
        <v>306</v>
      </c>
      <c r="M275" s="702"/>
      <c r="N275" s="695"/>
      <c r="O275" s="1990"/>
      <c r="P275" s="1990"/>
    </row>
    <row s="19274" customFormat="1" customHeight="1" ht="18.75" hidden="1">
      <c r="A276" s="2146"/>
      <c r="B276" s="2146"/>
      <c r="C276" s="730" t="s">
        <v>1074</v>
      </c>
      <c r="D276" s="2734"/>
      <c r="E276" s="2477"/>
      <c r="F276" s="2643"/>
      <c r="G276" s="2689"/>
      <c r="H276" s="1866"/>
      <c r="I276" s="1012" t="s">
        <v>1073</v>
      </c>
      <c r="J276" s="932"/>
      <c r="K276" s="1866"/>
      <c r="L276" s="575"/>
      <c r="M276" s="702"/>
      <c r="N276" s="695"/>
      <c r="O276" s="1990"/>
      <c r="P276" s="1990"/>
    </row>
    <row s="19274" customFormat="1" customHeight="1" ht="0.75" hidden="1">
      <c r="A277" s="2146"/>
      <c r="B277" s="2146"/>
      <c r="C277" s="730" t="s">
        <v>1082</v>
      </c>
      <c r="D277" s="2734"/>
      <c r="E277" s="2477"/>
      <c r="F277" s="2643"/>
      <c r="G277" s="761"/>
      <c r="H277" s="1866"/>
      <c r="I277" s="1012"/>
      <c r="J277" s="932"/>
      <c r="K277" s="1866"/>
      <c r="L277" s="575"/>
      <c r="M277" s="702"/>
      <c r="N277" s="695"/>
      <c r="O277" s="1990"/>
      <c r="P277" s="1990"/>
    </row>
    <row s="19274" customFormat="1" customHeight="1" ht="18.75" hidden="1">
      <c r="A278" s="2146" t="s">
        <v>176</v>
      </c>
      <c r="B278" s="2146" t="s">
        <v>177</v>
      </c>
      <c r="C278" s="730"/>
      <c r="D278" s="2734"/>
      <c r="E278" s="2477"/>
      <c r="F278" s="2643" t="str">
        <f>INDEX(PT_DIFFERENTIATION_VTAR,MATCH(A278,PT_DIFFERENTIATION_VTAR_ID,0))</f>
        <v>Тарифы на услуги по передаче тепловой энергии</v>
      </c>
      <c r="G278" s="2689" t="str">
        <f>INDEX(PT_DIFFERENTIATION_NTAR,MATCH(B278,PT_DIFFERENTIATION_NTAR_ID,0))</f>
        <v/>
      </c>
      <c r="H278" s="2229"/>
      <c r="I278" s="2105"/>
      <c r="J278" s="2139"/>
      <c r="K278" s="2144"/>
      <c r="L278" s="2229" t="s">
        <v>306</v>
      </c>
      <c r="M278" s="702"/>
      <c r="N278" s="695"/>
      <c r="O278" s="1990"/>
      <c r="P278" s="1990"/>
    </row>
    <row s="19274" customFormat="1" customHeight="1" ht="18.75" hidden="1">
      <c r="A279" s="2146"/>
      <c r="B279" s="2146"/>
      <c r="C279" s="730" t="s">
        <v>1074</v>
      </c>
      <c r="D279" s="2734"/>
      <c r="E279" s="2477"/>
      <c r="F279" s="2643"/>
      <c r="G279" s="2689"/>
      <c r="H279" s="1866"/>
      <c r="I279" s="1012" t="s">
        <v>1073</v>
      </c>
      <c r="J279" s="932"/>
      <c r="K279" s="1866"/>
      <c r="L279" s="575"/>
      <c r="M279" s="702"/>
      <c r="N279" s="695"/>
      <c r="O279" s="1990"/>
      <c r="P279" s="1990"/>
    </row>
    <row s="19274" customFormat="1" customHeight="1" ht="0.75" hidden="1">
      <c r="A280" s="2146"/>
      <c r="B280" s="2146"/>
      <c r="C280" s="730" t="s">
        <v>1082</v>
      </c>
      <c r="D280" s="2734"/>
      <c r="E280" s="2477"/>
      <c r="F280" s="2643"/>
      <c r="G280" s="761"/>
      <c r="H280" s="1866"/>
      <c r="I280" s="1012"/>
      <c r="J280" s="932"/>
      <c r="K280" s="1866"/>
      <c r="L280" s="575"/>
      <c r="M280" s="702"/>
      <c r="N280" s="695"/>
      <c r="O280" s="1990"/>
      <c r="P280" s="1990"/>
    </row>
    <row s="19274" customFormat="1" customHeight="1" ht="18.75" hidden="1">
      <c r="A281" s="2146" t="s">
        <v>182</v>
      </c>
      <c r="B281" s="2146" t="s">
        <v>183</v>
      </c>
      <c r="C281" s="730"/>
      <c r="D281" s="2734"/>
      <c r="E281" s="2477"/>
      <c r="F281" s="2643" t="str">
        <f>INDEX(PT_DIFFERENTIATION_VTAR,MATCH(A281,PT_DIFFERENTIATION_VTAR_ID,0))</f>
        <v>Тарифы на услуги по передаче теплоносителя</v>
      </c>
      <c r="G281" s="2689" t="str">
        <f>INDEX(PT_DIFFERENTIATION_NTAR,MATCH(B281,PT_DIFFERENTIATION_NTAR_ID,0))</f>
        <v/>
      </c>
      <c r="H281" s="2229"/>
      <c r="I281" s="2105"/>
      <c r="J281" s="2139"/>
      <c r="K281" s="2144"/>
      <c r="L281" s="2229" t="s">
        <v>306</v>
      </c>
      <c r="M281" s="702"/>
      <c r="N281" s="695"/>
      <c r="O281" s="1990"/>
      <c r="P281" s="1990"/>
    </row>
    <row s="19274" customFormat="1" customHeight="1" ht="18.75" hidden="1">
      <c r="A282" s="2146"/>
      <c r="B282" s="2146"/>
      <c r="C282" s="730" t="s">
        <v>1074</v>
      </c>
      <c r="D282" s="2734"/>
      <c r="E282" s="2477"/>
      <c r="F282" s="2643"/>
      <c r="G282" s="2689"/>
      <c r="H282" s="1866"/>
      <c r="I282" s="1012" t="s">
        <v>1073</v>
      </c>
      <c r="J282" s="932"/>
      <c r="K282" s="1866"/>
      <c r="L282" s="575"/>
      <c r="M282" s="702"/>
      <c r="N282" s="695"/>
      <c r="O282" s="1990"/>
      <c r="P282" s="1990"/>
    </row>
    <row s="19274" customFormat="1" customHeight="1" ht="0.75" hidden="1">
      <c r="A283" s="2146"/>
      <c r="B283" s="2146"/>
      <c r="C283" s="730" t="s">
        <v>1082</v>
      </c>
      <c r="D283" s="2734"/>
      <c r="E283" s="2477"/>
      <c r="F283" s="2643"/>
      <c r="G283" s="761"/>
      <c r="H283" s="1866"/>
      <c r="I283" s="1012"/>
      <c r="J283" s="932"/>
      <c r="K283" s="1866"/>
      <c r="L283" s="575"/>
      <c r="M283" s="702"/>
      <c r="N283" s="695"/>
      <c r="O283" s="1990"/>
      <c r="P283" s="1990"/>
    </row>
    <row s="19274" customFormat="1" customHeight="1" ht="18.75" hidden="1">
      <c r="A284" s="2146" t="s">
        <v>188</v>
      </c>
      <c r="B284" s="2146" t="s">
        <v>189</v>
      </c>
      <c r="C284" s="730"/>
      <c r="D284" s="2734"/>
      <c r="E284" s="2477"/>
      <c r="F284" s="2643" t="str">
        <f>INDEX(PT_DIFFERENTIATION_VTAR,MATCH(A284,PT_DIFFERENTIATION_VTAR_ID,0))</f>
        <v>Плата за услуги по поддержанию резервной тепловой мощности при отсутствии потребления тепловой энергии</v>
      </c>
      <c r="G284" s="2689" t="str">
        <f>INDEX(PT_DIFFERENTIATION_NTAR,MATCH(B284,PT_DIFFERENTIATION_NTAR_ID,0))</f>
        <v/>
      </c>
      <c r="H284" s="2229"/>
      <c r="I284" s="2105"/>
      <c r="J284" s="2139"/>
      <c r="K284" s="2144"/>
      <c r="L284" s="2229" t="s">
        <v>306</v>
      </c>
      <c r="M284" s="702"/>
      <c r="N284" s="695"/>
      <c r="O284" s="1990"/>
      <c r="P284" s="1990"/>
    </row>
    <row s="19274" customFormat="1" customHeight="1" ht="18.75" hidden="1">
      <c r="A285" s="2146"/>
      <c r="B285" s="2146"/>
      <c r="C285" s="730" t="s">
        <v>1074</v>
      </c>
      <c r="D285" s="2734"/>
      <c r="E285" s="2477"/>
      <c r="F285" s="2643"/>
      <c r="G285" s="2689"/>
      <c r="H285" s="1866"/>
      <c r="I285" s="1012" t="s">
        <v>1073</v>
      </c>
      <c r="J285" s="932"/>
      <c r="K285" s="1866"/>
      <c r="L285" s="575"/>
      <c r="M285" s="702"/>
      <c r="N285" s="695"/>
      <c r="O285" s="1990"/>
      <c r="P285" s="1990"/>
    </row>
    <row s="19274" customFormat="1" customHeight="1" ht="0.75" hidden="1">
      <c r="A286" s="2146"/>
      <c r="B286" s="2146"/>
      <c r="C286" s="730" t="s">
        <v>1082</v>
      </c>
      <c r="D286" s="2734"/>
      <c r="E286" s="2477"/>
      <c r="F286" s="2643"/>
      <c r="G286" s="761"/>
      <c r="H286" s="1866"/>
      <c r="I286" s="1012"/>
      <c r="J286" s="932"/>
      <c r="K286" s="1866"/>
      <c r="L286" s="575"/>
      <c r="M286" s="702"/>
      <c r="N286" s="695"/>
      <c r="O286" s="1990"/>
      <c r="P286" s="1990"/>
    </row>
    <row s="19274" customFormat="1" customHeight="1" ht="18.75" hidden="1">
      <c r="A287" s="2146" t="s">
        <v>194</v>
      </c>
      <c r="B287" s="2146" t="s">
        <v>195</v>
      </c>
      <c r="C287" s="730"/>
      <c r="D287" s="2734"/>
      <c r="E287" s="2477"/>
      <c r="F287" s="2643" t="str">
        <f>INDEX(PT_DIFFERENTIATION_VTAR,MATCH(A287,PT_DIFFERENTIATION_VTAR_ID,0))</f>
        <v>Плата за подключение (технологическое присоединение) к системе теплоснабжения</v>
      </c>
      <c r="G287" s="2689" t="str">
        <f>INDEX(PT_DIFFERENTIATION_NTAR,MATCH(B287,PT_DIFFERENTIATION_NTAR_ID,0))</f>
        <v/>
      </c>
      <c r="H287" s="2229"/>
      <c r="I287" s="2105"/>
      <c r="J287" s="2139"/>
      <c r="K287" s="2144"/>
      <c r="L287" s="2229" t="s">
        <v>306</v>
      </c>
      <c r="M287" s="702"/>
      <c r="N287" s="695"/>
      <c r="O287" s="1990"/>
      <c r="P287" s="1990"/>
    </row>
    <row s="19274" customFormat="1" customHeight="1" ht="18.75" hidden="1">
      <c r="A288" s="2146"/>
      <c r="B288" s="2146"/>
      <c r="C288" s="730" t="s">
        <v>1074</v>
      </c>
      <c r="D288" s="2734"/>
      <c r="E288" s="2477"/>
      <c r="F288" s="2643"/>
      <c r="G288" s="2689"/>
      <c r="H288" s="1866"/>
      <c r="I288" s="1012" t="s">
        <v>1073</v>
      </c>
      <c r="J288" s="932"/>
      <c r="K288" s="1866"/>
      <c r="L288" s="575"/>
      <c r="M288" s="702"/>
      <c r="N288" s="695"/>
      <c r="O288" s="1990"/>
      <c r="P288" s="1990"/>
    </row>
    <row s="19274" customFormat="1" customHeight="1" ht="0.75" hidden="1">
      <c r="A289" s="2146"/>
      <c r="B289" s="2146"/>
      <c r="C289" s="730" t="s">
        <v>1082</v>
      </c>
      <c r="D289" s="2734"/>
      <c r="E289" s="2477"/>
      <c r="F289" s="2643"/>
      <c r="G289" s="761"/>
      <c r="H289" s="1866"/>
      <c r="I289" s="1012"/>
      <c r="J289" s="932"/>
      <c r="K289" s="1866"/>
      <c r="L289" s="575"/>
      <c r="M289" s="702"/>
      <c r="N289" s="695"/>
      <c r="O289" s="1990"/>
      <c r="P289" s="1990"/>
    </row>
    <row s="19274" customFormat="1" customHeight="1" ht="18.75" hidden="1">
      <c r="A290" s="2146" t="s">
        <v>220</v>
      </c>
      <c r="B290" s="2146" t="s">
        <v>221</v>
      </c>
      <c r="C290" s="730"/>
      <c r="D290" s="2734"/>
      <c r="E290" s="2477"/>
      <c r="F290" s="2643" t="str">
        <f>INDEX(PT_DIFFERENTIATION_VTAR,MATCH(A290,PT_DIFFERENTIATION_VTAR_ID,0))</f>
        <v>Тариф на питьевую воду (питьевое водоснабжение)</v>
      </c>
      <c r="G290" s="2689" t="str">
        <f>INDEX(PT_DIFFERENTIATION_NTAR,MATCH(B290,PT_DIFFERENTIATION_NTAR_ID,0))</f>
        <v/>
      </c>
      <c r="H290" s="2229"/>
      <c r="I290" s="2105"/>
      <c r="J290" s="2139"/>
      <c r="K290" s="2144"/>
      <c r="L290" s="2229" t="s">
        <v>306</v>
      </c>
      <c r="M290" s="702"/>
      <c r="N290" s="695"/>
      <c r="O290" s="1990"/>
      <c r="P290" s="1990"/>
    </row>
    <row s="19274" customFormat="1" customHeight="1" ht="18.75" hidden="1">
      <c r="A291" s="2146"/>
      <c r="B291" s="2146"/>
      <c r="C291" s="730" t="s">
        <v>1074</v>
      </c>
      <c r="D291" s="2734"/>
      <c r="E291" s="2477"/>
      <c r="F291" s="2643"/>
      <c r="G291" s="2689"/>
      <c r="H291" s="1866"/>
      <c r="I291" s="1012" t="s">
        <v>1073</v>
      </c>
      <c r="J291" s="932"/>
      <c r="K291" s="1866"/>
      <c r="L291" s="575"/>
      <c r="M291" s="702"/>
      <c r="N291" s="695"/>
      <c r="O291" s="1990"/>
      <c r="P291" s="1990"/>
    </row>
    <row s="19274" customFormat="1" customHeight="1" ht="0.75" hidden="1">
      <c r="A292" s="2146"/>
      <c r="B292" s="2146"/>
      <c r="C292" s="730" t="s">
        <v>1082</v>
      </c>
      <c r="D292" s="2734"/>
      <c r="E292" s="2477"/>
      <c r="F292" s="2643"/>
      <c r="G292" s="761"/>
      <c r="H292" s="1866"/>
      <c r="I292" s="1012"/>
      <c r="J292" s="932"/>
      <c r="K292" s="1866"/>
      <c r="L292" s="575"/>
      <c r="M292" s="702"/>
      <c r="N292" s="695"/>
      <c r="O292" s="1990"/>
      <c r="P292" s="1990"/>
    </row>
    <row s="19274" customFormat="1" customHeight="1" ht="18.75" hidden="1">
      <c r="A293" s="2146" t="s">
        <v>225</v>
      </c>
      <c r="B293" s="2146" t="s">
        <v>226</v>
      </c>
      <c r="C293" s="730"/>
      <c r="D293" s="2734"/>
      <c r="E293" s="2477"/>
      <c r="F293" s="2643" t="str">
        <f>INDEX(PT_DIFFERENTIATION_VTAR,MATCH(A293,PT_DIFFERENTIATION_VTAR_ID,0))</f>
        <v>Тариф на техническую воду</v>
      </c>
      <c r="G293" s="2689" t="str">
        <f>INDEX(PT_DIFFERENTIATION_NTAR,MATCH(B293,PT_DIFFERENTIATION_NTAR_ID,0))</f>
        <v/>
      </c>
      <c r="H293" s="2229"/>
      <c r="I293" s="2105"/>
      <c r="J293" s="2139"/>
      <c r="K293" s="2144"/>
      <c r="L293" s="2229" t="s">
        <v>306</v>
      </c>
      <c r="M293" s="702"/>
      <c r="N293" s="695"/>
      <c r="O293" s="1990"/>
      <c r="P293" s="1990"/>
    </row>
    <row s="19274" customFormat="1" customHeight="1" ht="18.75" hidden="1">
      <c r="A294" s="2146"/>
      <c r="B294" s="2146"/>
      <c r="C294" s="730" t="s">
        <v>1074</v>
      </c>
      <c r="D294" s="2734"/>
      <c r="E294" s="2477"/>
      <c r="F294" s="2643"/>
      <c r="G294" s="2689"/>
      <c r="H294" s="1866"/>
      <c r="I294" s="1012" t="s">
        <v>1073</v>
      </c>
      <c r="J294" s="932"/>
      <c r="K294" s="1866"/>
      <c r="L294" s="575"/>
      <c r="M294" s="702"/>
      <c r="N294" s="695"/>
      <c r="O294" s="1990"/>
      <c r="P294" s="1990"/>
    </row>
    <row s="19274" customFormat="1" customHeight="1" ht="0.75" hidden="1">
      <c r="A295" s="2146"/>
      <c r="B295" s="2146"/>
      <c r="C295" s="730" t="s">
        <v>1082</v>
      </c>
      <c r="D295" s="2734"/>
      <c r="E295" s="2477"/>
      <c r="F295" s="2643"/>
      <c r="G295" s="761"/>
      <c r="H295" s="1866"/>
      <c r="I295" s="1012"/>
      <c r="J295" s="932"/>
      <c r="K295" s="1866"/>
      <c r="L295" s="575"/>
      <c r="M295" s="702"/>
      <c r="N295" s="695"/>
      <c r="O295" s="1990"/>
      <c r="P295" s="1990"/>
    </row>
    <row s="19274" customFormat="1" customHeight="1" ht="18.75" hidden="1">
      <c r="A296" s="2146" t="s">
        <v>230</v>
      </c>
      <c r="B296" s="2146" t="s">
        <v>231</v>
      </c>
      <c r="C296" s="730"/>
      <c r="D296" s="2734"/>
      <c r="E296" s="2477"/>
      <c r="F296" s="2643" t="str">
        <f>INDEX(PT_DIFFERENTIATION_VTAR,MATCH(A296,PT_DIFFERENTIATION_VTAR_ID,0))</f>
        <v>Тариф на транспортировку воды</v>
      </c>
      <c r="G296" s="2689" t="str">
        <f>INDEX(PT_DIFFERENTIATION_NTAR,MATCH(B296,PT_DIFFERENTIATION_NTAR_ID,0))</f>
        <v/>
      </c>
      <c r="H296" s="2229"/>
      <c r="I296" s="2105"/>
      <c r="J296" s="2139"/>
      <c r="K296" s="2144"/>
      <c r="L296" s="2229" t="s">
        <v>306</v>
      </c>
      <c r="M296" s="702"/>
      <c r="N296" s="695"/>
      <c r="O296" s="1990"/>
      <c r="P296" s="1990"/>
    </row>
    <row s="19274" customFormat="1" customHeight="1" ht="18.75" hidden="1">
      <c r="A297" s="2146"/>
      <c r="B297" s="2146"/>
      <c r="C297" s="730" t="s">
        <v>1074</v>
      </c>
      <c r="D297" s="2734"/>
      <c r="E297" s="2477"/>
      <c r="F297" s="2643"/>
      <c r="G297" s="2689"/>
      <c r="H297" s="1866"/>
      <c r="I297" s="1012" t="s">
        <v>1073</v>
      </c>
      <c r="J297" s="932"/>
      <c r="K297" s="1866"/>
      <c r="L297" s="575"/>
      <c r="M297" s="702"/>
      <c r="N297" s="695"/>
      <c r="O297" s="1990"/>
      <c r="P297" s="1990"/>
    </row>
    <row s="19274" customFormat="1" customHeight="1" ht="0.75" hidden="1">
      <c r="A298" s="2146"/>
      <c r="B298" s="2146"/>
      <c r="C298" s="730" t="s">
        <v>1082</v>
      </c>
      <c r="D298" s="2734"/>
      <c r="E298" s="2477"/>
      <c r="F298" s="2643"/>
      <c r="G298" s="761"/>
      <c r="H298" s="1866"/>
      <c r="I298" s="1012"/>
      <c r="J298" s="932"/>
      <c r="K298" s="1866"/>
      <c r="L298" s="575"/>
      <c r="M298" s="702"/>
      <c r="N298" s="695"/>
      <c r="O298" s="1990"/>
      <c r="P298" s="1990"/>
    </row>
    <row s="19274" customFormat="1" customHeight="1" ht="18.75" hidden="1">
      <c r="A299" s="2146" t="s">
        <v>235</v>
      </c>
      <c r="B299" s="2146" t="s">
        <v>236</v>
      </c>
      <c r="C299" s="730"/>
      <c r="D299" s="2734"/>
      <c r="E299" s="2477"/>
      <c r="F299" s="2643" t="str">
        <f>INDEX(PT_DIFFERENTIATION_VTAR,MATCH(A299,PT_DIFFERENTIATION_VTAR_ID,0))</f>
        <v>Тариф на подвоз воды</v>
      </c>
      <c r="G299" s="2689" t="str">
        <f>INDEX(PT_DIFFERENTIATION_NTAR,MATCH(B299,PT_DIFFERENTIATION_NTAR_ID,0))</f>
        <v/>
      </c>
      <c r="H299" s="2229"/>
      <c r="I299" s="2105"/>
      <c r="J299" s="2139"/>
      <c r="K299" s="2144"/>
      <c r="L299" s="2229" t="s">
        <v>306</v>
      </c>
      <c r="M299" s="702"/>
      <c r="N299" s="695"/>
      <c r="O299" s="1990"/>
      <c r="P299" s="1990"/>
    </row>
    <row s="19274" customFormat="1" customHeight="1" ht="18.75" hidden="1">
      <c r="A300" s="2146"/>
      <c r="B300" s="2146"/>
      <c r="C300" s="730" t="s">
        <v>1074</v>
      </c>
      <c r="D300" s="2734"/>
      <c r="E300" s="2477"/>
      <c r="F300" s="2643"/>
      <c r="G300" s="2689"/>
      <c r="H300" s="1866"/>
      <c r="I300" s="1012" t="s">
        <v>1073</v>
      </c>
      <c r="J300" s="932"/>
      <c r="K300" s="1866"/>
      <c r="L300" s="575"/>
      <c r="M300" s="702"/>
      <c r="N300" s="695"/>
      <c r="O300" s="1990"/>
      <c r="P300" s="1990"/>
    </row>
    <row s="19274" customFormat="1" customHeight="1" ht="0.75" hidden="1">
      <c r="A301" s="2146"/>
      <c r="B301" s="2146"/>
      <c r="C301" s="730" t="s">
        <v>1082</v>
      </c>
      <c r="D301" s="2734"/>
      <c r="E301" s="2477"/>
      <c r="F301" s="2643"/>
      <c r="G301" s="761"/>
      <c r="H301" s="1866"/>
      <c r="I301" s="1012"/>
      <c r="J301" s="932"/>
      <c r="K301" s="1866"/>
      <c r="L301" s="575"/>
      <c r="M301" s="702"/>
      <c r="N301" s="695"/>
      <c r="O301" s="1990"/>
      <c r="P301" s="1990"/>
    </row>
    <row s="19274" customFormat="1" customHeight="1" ht="18.75" hidden="1">
      <c r="A302" s="2146" t="s">
        <v>240</v>
      </c>
      <c r="B302" s="2146" t="s">
        <v>241</v>
      </c>
      <c r="C302" s="730"/>
      <c r="D302" s="2734"/>
      <c r="E302" s="2477"/>
      <c r="F302" s="2643" t="str">
        <f>INDEX(PT_DIFFERENTIATION_VTAR,MATCH(A302,PT_DIFFERENTIATION_VTAR_ID,0))</f>
        <v>Тариф на подключение (технологическое присоединение) к централизованной системе холодного водоснабжения</v>
      </c>
      <c r="G302" s="2689" t="str">
        <f>INDEX(PT_DIFFERENTIATION_NTAR,MATCH(B302,PT_DIFFERENTIATION_NTAR_ID,0))</f>
        <v/>
      </c>
      <c r="H302" s="2229"/>
      <c r="I302" s="2105"/>
      <c r="J302" s="2139"/>
      <c r="K302" s="2144"/>
      <c r="L302" s="2229" t="s">
        <v>306</v>
      </c>
      <c r="M302" s="702"/>
      <c r="N302" s="695"/>
      <c r="O302" s="1990"/>
      <c r="P302" s="1990"/>
    </row>
    <row s="19274" customFormat="1" customHeight="1" ht="18.75" hidden="1">
      <c r="A303" s="2146"/>
      <c r="B303" s="2146"/>
      <c r="C303" s="730" t="s">
        <v>1074</v>
      </c>
      <c r="D303" s="2734"/>
      <c r="E303" s="2477"/>
      <c r="F303" s="2643"/>
      <c r="G303" s="2689"/>
      <c r="H303" s="1866"/>
      <c r="I303" s="1012" t="s">
        <v>1073</v>
      </c>
      <c r="J303" s="932"/>
      <c r="K303" s="1866"/>
      <c r="L303" s="575"/>
      <c r="M303" s="702"/>
      <c r="N303" s="695"/>
      <c r="O303" s="1990"/>
      <c r="P303" s="1990"/>
    </row>
    <row s="19274" customFormat="1" customHeight="1" ht="0.75" hidden="1">
      <c r="A304" s="2146"/>
      <c r="B304" s="2146"/>
      <c r="C304" s="730" t="s">
        <v>1082</v>
      </c>
      <c r="D304" s="2734"/>
      <c r="E304" s="2477"/>
      <c r="F304" s="2643"/>
      <c r="G304" s="761"/>
      <c r="H304" s="1866"/>
      <c r="I304" s="1012"/>
      <c r="J304" s="932"/>
      <c r="K304" s="1866"/>
      <c r="L304" s="575"/>
      <c r="M304" s="702"/>
      <c r="N304" s="695"/>
      <c r="O304" s="1990"/>
      <c r="P304" s="1990"/>
    </row>
    <row s="19274" customFormat="1" customHeight="1" ht="18.75" hidden="1">
      <c r="A305" s="2146" t="s">
        <v>247</v>
      </c>
      <c r="B305" s="2146" t="s">
        <v>248</v>
      </c>
      <c r="C305" s="730"/>
      <c r="D305" s="2734"/>
      <c r="E305" s="2477"/>
      <c r="F305" s="2643" t="str">
        <f>INDEX(PT_DIFFERENTIATION_VTAR,MATCH(A305,PT_DIFFERENTIATION_VTAR_ID,0))</f>
        <v>Тариф на горячую воду (горячее водоснабжение)</v>
      </c>
      <c r="G305" s="2689" t="str">
        <f>INDEX(PT_DIFFERENTIATION_NTAR,MATCH(B305,PT_DIFFERENTIATION_NTAR_ID,0))</f>
        <v>Тарифы на горячую воду в закрытых системах горячего водоснабжения</v>
      </c>
      <c r="H305" s="2229"/>
      <c r="I305" s="2105"/>
      <c r="J305" s="2139"/>
      <c r="K305" s="2144"/>
      <c r="L305" s="2229" t="s">
        <v>306</v>
      </c>
      <c r="M305" s="702"/>
      <c r="N305" s="695"/>
      <c r="O305" s="1990"/>
      <c r="P305" s="1990"/>
    </row>
    <row s="19274" customFormat="1" customHeight="1" ht="18.75" hidden="1">
      <c r="A306" s="2146"/>
      <c r="B306" s="2146"/>
      <c r="C306" s="730" t="s">
        <v>1074</v>
      </c>
      <c r="D306" s="2734"/>
      <c r="E306" s="2477"/>
      <c r="F306" s="2643"/>
      <c r="G306" s="2689"/>
      <c r="H306" s="1866"/>
      <c r="I306" s="1012" t="s">
        <v>1073</v>
      </c>
      <c r="J306" s="932"/>
      <c r="K306" s="1866"/>
      <c r="L306" s="575"/>
      <c r="M306" s="702"/>
      <c r="N306" s="695"/>
      <c r="O306" s="1990"/>
      <c r="P306" s="1990"/>
    </row>
    <row s="19274" customFormat="1" customHeight="1" ht="0.75" hidden="1">
      <c r="A307" s="2146"/>
      <c r="B307" s="2146"/>
      <c r="C307" s="730" t="s">
        <v>1082</v>
      </c>
      <c r="D307" s="2734"/>
      <c r="E307" s="2477"/>
      <c r="F307" s="2643"/>
      <c r="G307" s="761"/>
      <c r="H307" s="1866"/>
      <c r="I307" s="1012"/>
      <c r="J307" s="932"/>
      <c r="K307" s="1866"/>
      <c r="L307" s="575"/>
      <c r="M307" s="702"/>
      <c r="N307" s="695"/>
      <c r="O307" s="1990"/>
      <c r="P307" s="1990"/>
    </row>
    <row s="19274" customFormat="1" customHeight="1" ht="18.75" hidden="1">
      <c r="A308" s="2146" t="s">
        <v>255</v>
      </c>
      <c r="B308" s="2146" t="s">
        <v>256</v>
      </c>
      <c r="C308" s="730"/>
      <c r="D308" s="2734"/>
      <c r="E308" s="2477"/>
      <c r="F308" s="2643" t="str">
        <f>INDEX(PT_DIFFERENTIATION_VTAR,MATCH(A308,PT_DIFFERENTIATION_VTAR_ID,0))</f>
        <v>Тариф на транспортировку горячей воды</v>
      </c>
      <c r="G308" s="2689" t="str">
        <f>INDEX(PT_DIFFERENTIATION_NTAR,MATCH(B308,PT_DIFFERENTIATION_NTAR_ID,0))</f>
        <v/>
      </c>
      <c r="H308" s="2229"/>
      <c r="I308" s="2105"/>
      <c r="J308" s="2139"/>
      <c r="K308" s="2144"/>
      <c r="L308" s="2229" t="s">
        <v>306</v>
      </c>
      <c r="M308" s="702"/>
      <c r="N308" s="695"/>
      <c r="O308" s="1990"/>
      <c r="P308" s="1990"/>
    </row>
    <row s="19274" customFormat="1" customHeight="1" ht="18.75" hidden="1">
      <c r="A309" s="2146"/>
      <c r="B309" s="2146"/>
      <c r="C309" s="730" t="s">
        <v>1074</v>
      </c>
      <c r="D309" s="2734"/>
      <c r="E309" s="2477"/>
      <c r="F309" s="2643"/>
      <c r="G309" s="2689"/>
      <c r="H309" s="1866"/>
      <c r="I309" s="1012" t="s">
        <v>1073</v>
      </c>
      <c r="J309" s="932"/>
      <c r="K309" s="1866"/>
      <c r="L309" s="575"/>
      <c r="M309" s="702"/>
      <c r="N309" s="695"/>
      <c r="O309" s="1990"/>
      <c r="P309" s="1990"/>
    </row>
    <row s="19274" customFormat="1" customHeight="1" ht="0.75" hidden="1">
      <c r="A310" s="2146"/>
      <c r="B310" s="2146"/>
      <c r="C310" s="730" t="s">
        <v>1082</v>
      </c>
      <c r="D310" s="2734"/>
      <c r="E310" s="2477"/>
      <c r="F310" s="2643"/>
      <c r="G310" s="761"/>
      <c r="H310" s="1866"/>
      <c r="I310" s="1012"/>
      <c r="J310" s="932"/>
      <c r="K310" s="1866"/>
      <c r="L310" s="575"/>
      <c r="M310" s="702"/>
      <c r="N310" s="695"/>
      <c r="O310" s="1990"/>
      <c r="P310" s="1990"/>
    </row>
    <row s="19274" customFormat="1" customHeight="1" ht="18.75" hidden="1">
      <c r="A311" s="2146" t="s">
        <v>260</v>
      </c>
      <c r="B311" s="2146" t="s">
        <v>261</v>
      </c>
      <c r="C311" s="730"/>
      <c r="D311" s="2734"/>
      <c r="E311" s="2477"/>
      <c r="F311" s="2643" t="str">
        <f>INDEX(PT_DIFFERENTIATION_VTAR,MATCH(A311,PT_DIFFERENTIATION_VTAR_ID,0))</f>
        <v>Тариф на подключение (технологическое присоединение) к централизованной системе горячего водоснабжения</v>
      </c>
      <c r="G311" s="2689" t="str">
        <f>INDEX(PT_DIFFERENTIATION_NTAR,MATCH(B311,PT_DIFFERENTIATION_NTAR_ID,0))</f>
        <v/>
      </c>
      <c r="H311" s="2229"/>
      <c r="I311" s="2105"/>
      <c r="J311" s="2139"/>
      <c r="K311" s="2144"/>
      <c r="L311" s="2229" t="s">
        <v>306</v>
      </c>
      <c r="M311" s="702"/>
      <c r="N311" s="695"/>
      <c r="O311" s="1990"/>
      <c r="P311" s="1990"/>
    </row>
    <row s="19274" customFormat="1" customHeight="1" ht="18.75" hidden="1">
      <c r="A312" s="2146"/>
      <c r="B312" s="2146"/>
      <c r="C312" s="730" t="s">
        <v>1074</v>
      </c>
      <c r="D312" s="2734"/>
      <c r="E312" s="2477"/>
      <c r="F312" s="2643"/>
      <c r="G312" s="2689"/>
      <c r="H312" s="1866"/>
      <c r="I312" s="1012" t="s">
        <v>1073</v>
      </c>
      <c r="J312" s="932"/>
      <c r="K312" s="1866"/>
      <c r="L312" s="575"/>
      <c r="M312" s="702"/>
      <c r="N312" s="695"/>
      <c r="O312" s="1990"/>
      <c r="P312" s="1990"/>
    </row>
    <row s="20290" customFormat="1" customHeight="1" ht="18.75">
      <c r="A313" s="7923" t="s">
        <v>260</v>
      </c>
      <c r="B313" s="7923" t="s">
        <v>1079</v>
      </c>
      <c r="C313" s="7924"/>
      <c r="D313" s="7925"/>
      <c r="E313" s="7926"/>
      <c r="F313" s="7926"/>
      <c r="G313" s="7927">
        <f>INDEX(PT_DIFFERENTIATION_NTAR,MATCH(B313,PT_DIFFERENTIATION_NTAR_ID,0))</f>
      </c>
      <c r="H313" s="7928"/>
      <c r="I313" s="7929"/>
      <c r="J313" s="7930"/>
      <c r="K313" s="7943"/>
      <c r="L313" s="7928" t="s">
        <v>306</v>
      </c>
      <c r="M313" s="7932"/>
      <c r="N313" s="7933"/>
      <c r="O313" s="6613"/>
      <c r="P313" s="6613"/>
      <c r="Q313" s="7934"/>
      <c r="R313" s="7934"/>
      <c r="S313" s="7934"/>
      <c r="T313" s="7934"/>
      <c r="U313" s="7934"/>
      <c r="V313" s="7934"/>
      <c r="W313" s="7934"/>
      <c r="X313" s="7934"/>
      <c r="Y313" s="7934"/>
      <c r="Z313" s="7934"/>
      <c r="AA313" s="7934"/>
      <c r="AB313" s="7934"/>
      <c r="AC313" s="7934"/>
      <c r="AD313" s="7934"/>
      <c r="AE313" s="7934"/>
      <c r="AF313" s="7934"/>
      <c r="AG313" s="7934"/>
    </row>
    <row s="20290" customFormat="1" customHeight="1" ht="18.75">
      <c r="A314" s="7923"/>
      <c r="B314" s="7923"/>
      <c r="C314" s="7924" t="s">
        <v>1074</v>
      </c>
      <c r="D314" s="7925"/>
      <c r="E314" s="7926"/>
      <c r="F314" s="7926"/>
      <c r="G314" s="7927"/>
      <c r="H314" s="7959"/>
      <c r="I314" s="7960" t="s">
        <v>1073</v>
      </c>
      <c r="J314" s="7961"/>
      <c r="K314" s="7962"/>
      <c r="L314" s="7963"/>
      <c r="M314" s="7932"/>
      <c r="N314" s="7933"/>
      <c r="O314" s="6613"/>
      <c r="P314" s="6613"/>
      <c r="Q314" s="7934"/>
      <c r="R314" s="7934"/>
      <c r="S314" s="7934"/>
      <c r="T314" s="7934"/>
      <c r="U314" s="7934"/>
      <c r="V314" s="7934"/>
      <c r="W314" s="7934"/>
      <c r="X314" s="7934"/>
      <c r="Y314" s="7934"/>
      <c r="Z314" s="7934"/>
      <c r="AA314" s="7934"/>
      <c r="AB314" s="7934"/>
      <c r="AC314" s="7934"/>
      <c r="AD314" s="7934"/>
      <c r="AE314" s="7934"/>
      <c r="AF314" s="7934"/>
      <c r="AG314" s="7934"/>
    </row>
    <row s="19274" customFormat="1" customHeight="1" ht="0.75" hidden="1">
      <c r="A315" s="2146"/>
      <c r="B315" s="2146"/>
      <c r="C315" s="730" t="s">
        <v>1082</v>
      </c>
      <c r="D315" s="2734"/>
      <c r="E315" s="2477"/>
      <c r="F315" s="2643"/>
      <c r="G315" s="761"/>
      <c r="H315" s="1866"/>
      <c r="I315" s="1012"/>
      <c r="J315" s="932"/>
      <c r="K315" s="1866"/>
      <c r="L315" s="575"/>
      <c r="M315" s="702"/>
      <c r="N315" s="695"/>
      <c r="O315" s="1990"/>
      <c r="P315" s="1990"/>
    </row>
    <row s="19274" customFormat="1" customHeight="1" ht="18.75" hidden="1">
      <c r="A316" s="2146" t="s">
        <v>265</v>
      </c>
      <c r="B316" s="2146" t="s">
        <v>266</v>
      </c>
      <c r="C316" s="730"/>
      <c r="D316" s="2734"/>
      <c r="E316" s="2477"/>
      <c r="F316" s="2643" t="str">
        <f>INDEX(PT_DIFFERENTIATION_VTAR,MATCH(A316,PT_DIFFERENTIATION_VTAR_ID,0))</f>
        <v>Тариф на водоотведение</v>
      </c>
      <c r="G316" s="2689" t="str">
        <f>INDEX(PT_DIFFERENTIATION_NTAR,MATCH(B316,PT_DIFFERENTIATION_NTAR_ID,0))</f>
        <v/>
      </c>
      <c r="H316" s="2229"/>
      <c r="I316" s="2105"/>
      <c r="J316" s="2139"/>
      <c r="K316" s="2144"/>
      <c r="L316" s="2229" t="s">
        <v>306</v>
      </c>
      <c r="M316" s="702"/>
      <c r="N316" s="695"/>
      <c r="O316" s="1990"/>
      <c r="P316" s="1990"/>
    </row>
    <row s="19274" customFormat="1" customHeight="1" ht="18.75" hidden="1">
      <c r="A317" s="2146"/>
      <c r="B317" s="2146"/>
      <c r="C317" s="730" t="s">
        <v>1074</v>
      </c>
      <c r="D317" s="2734"/>
      <c r="E317" s="2477"/>
      <c r="F317" s="2643"/>
      <c r="G317" s="2689"/>
      <c r="H317" s="1866"/>
      <c r="I317" s="1012" t="s">
        <v>1073</v>
      </c>
      <c r="J317" s="932"/>
      <c r="K317" s="1866"/>
      <c r="L317" s="575"/>
      <c r="M317" s="702"/>
      <c r="N317" s="695"/>
      <c r="O317" s="1990"/>
      <c r="P317" s="1990"/>
    </row>
    <row s="19274" customFormat="1" customHeight="1" ht="0.75" hidden="1">
      <c r="A318" s="2146"/>
      <c r="B318" s="2146"/>
      <c r="C318" s="730" t="s">
        <v>1082</v>
      </c>
      <c r="D318" s="2734"/>
      <c r="E318" s="2477"/>
      <c r="F318" s="2643"/>
      <c r="G318" s="761"/>
      <c r="H318" s="1866"/>
      <c r="I318" s="1012"/>
      <c r="J318" s="932"/>
      <c r="K318" s="1866"/>
      <c r="L318" s="575"/>
      <c r="M318" s="702"/>
      <c r="N318" s="695"/>
      <c r="O318" s="1990"/>
      <c r="P318" s="1990"/>
    </row>
    <row s="19274" customFormat="1" customHeight="1" ht="18.75" hidden="1">
      <c r="A319" s="2146" t="s">
        <v>270</v>
      </c>
      <c r="B319" s="2146" t="s">
        <v>271</v>
      </c>
      <c r="C319" s="730"/>
      <c r="D319" s="2734"/>
      <c r="E319" s="2477"/>
      <c r="F319" s="2643" t="str">
        <f>INDEX(PT_DIFFERENTIATION_VTAR,MATCH(A319,PT_DIFFERENTIATION_VTAR_ID,0))</f>
        <v>Тариф на транспортировку сточных вод</v>
      </c>
      <c r="G319" s="2689" t="str">
        <f>INDEX(PT_DIFFERENTIATION_NTAR,MATCH(B319,PT_DIFFERENTIATION_NTAR_ID,0))</f>
        <v/>
      </c>
      <c r="H319" s="2229"/>
      <c r="I319" s="2105"/>
      <c r="J319" s="2139"/>
      <c r="K319" s="2144"/>
      <c r="L319" s="2229" t="s">
        <v>306</v>
      </c>
      <c r="M319" s="702"/>
      <c r="N319" s="695"/>
      <c r="O319" s="1990"/>
      <c r="P319" s="1990"/>
    </row>
    <row s="19274" customFormat="1" customHeight="1" ht="18.75" hidden="1">
      <c r="A320" s="2146"/>
      <c r="B320" s="2146"/>
      <c r="C320" s="730" t="s">
        <v>1074</v>
      </c>
      <c r="D320" s="2734"/>
      <c r="E320" s="2477"/>
      <c r="F320" s="2643"/>
      <c r="G320" s="2689"/>
      <c r="H320" s="1866"/>
      <c r="I320" s="1012" t="s">
        <v>1073</v>
      </c>
      <c r="J320" s="932"/>
      <c r="K320" s="1866"/>
      <c r="L320" s="575"/>
      <c r="M320" s="702"/>
      <c r="N320" s="695"/>
      <c r="O320" s="1990"/>
      <c r="P320" s="1990"/>
    </row>
    <row s="19274" customFormat="1" customHeight="1" ht="0.75" hidden="1">
      <c r="A321" s="2146"/>
      <c r="B321" s="2146"/>
      <c r="C321" s="730" t="s">
        <v>1082</v>
      </c>
      <c r="D321" s="2734"/>
      <c r="E321" s="2477"/>
      <c r="F321" s="2643"/>
      <c r="G321" s="761"/>
      <c r="H321" s="1866"/>
      <c r="I321" s="1012"/>
      <c r="J321" s="932"/>
      <c r="K321" s="1866"/>
      <c r="L321" s="575"/>
      <c r="M321" s="702"/>
      <c r="N321" s="695"/>
      <c r="O321" s="1990"/>
      <c r="P321" s="1990"/>
    </row>
    <row s="19274" customFormat="1" customHeight="1" ht="18.75" hidden="1">
      <c r="A322" s="2146" t="s">
        <v>275</v>
      </c>
      <c r="B322" s="2146" t="s">
        <v>276</v>
      </c>
      <c r="C322" s="730"/>
      <c r="D322" s="2734"/>
      <c r="E322" s="2477"/>
      <c r="F322" s="2643" t="str">
        <f>INDEX(PT_DIFFERENTIATION_VTAR,MATCH(A322,PT_DIFFERENTIATION_VTAR_ID,0))</f>
        <v>Тариф на подключение (технологическое присоединение) к централизованной системе водоотведения</v>
      </c>
      <c r="G322" s="2689" t="str">
        <f>INDEX(PT_DIFFERENTIATION_NTAR,MATCH(B322,PT_DIFFERENTIATION_NTAR_ID,0))</f>
        <v/>
      </c>
      <c r="H322" s="2229"/>
      <c r="I322" s="2105"/>
      <c r="J322" s="2139"/>
      <c r="K322" s="2144"/>
      <c r="L322" s="2229" t="s">
        <v>306</v>
      </c>
      <c r="M322" s="702"/>
      <c r="N322" s="695"/>
      <c r="O322" s="1990"/>
      <c r="P322" s="1990"/>
    </row>
    <row s="19274" customFormat="1" customHeight="1" ht="18.75" hidden="1">
      <c r="A323" s="2146"/>
      <c r="B323" s="2146"/>
      <c r="C323" s="730" t="s">
        <v>1074</v>
      </c>
      <c r="D323" s="2734"/>
      <c r="E323" s="2477"/>
      <c r="F323" s="2643"/>
      <c r="G323" s="2689"/>
      <c r="H323" s="1866"/>
      <c r="I323" s="1012" t="s">
        <v>1073</v>
      </c>
      <c r="J323" s="932"/>
      <c r="K323" s="1866"/>
      <c r="L323" s="575"/>
      <c r="M323" s="702"/>
      <c r="N323" s="695"/>
      <c r="O323" s="1990"/>
      <c r="P323" s="1990"/>
    </row>
    <row s="19274" customFormat="1" customHeight="1" ht="0.75">
      <c r="A324" s="2146"/>
      <c r="B324" s="2146"/>
      <c r="C324" s="730" t="s">
        <v>1082</v>
      </c>
      <c r="D324" s="2734"/>
      <c r="E324" s="2477"/>
      <c r="F324" s="2643"/>
      <c r="G324" s="761"/>
      <c r="H324" s="1866"/>
      <c r="I324" s="1012"/>
      <c r="J324" s="932"/>
      <c r="K324" s="1866"/>
      <c r="L324" s="575"/>
      <c r="M324" s="702"/>
      <c r="N324" s="695"/>
      <c r="O324" s="1990"/>
      <c r="P324" s="1990"/>
    </row>
    <row s="20243" customFormat="1" customHeight="1" ht="3">
      <c r="A325" s="2146"/>
      <c r="B325" s="2146"/>
      <c r="C325" s="2147"/>
      <c r="E325" s="763"/>
      <c r="F325" s="763"/>
      <c r="G325" s="763"/>
      <c r="H325" s="763"/>
      <c r="I325" s="763"/>
      <c r="J325" s="763"/>
      <c r="K325" s="763"/>
      <c r="L325" s="763"/>
      <c r="M325" s="763"/>
      <c r="O325" s="557"/>
      <c r="P325" s="557"/>
    </row>
    <row customHeight="1" ht="24.75">
      <c r="E326" s="563"/>
      <c r="F326" s="2526"/>
      <c r="G326" s="2526"/>
      <c r="H326" s="2526"/>
      <c r="I326" s="2526"/>
      <c r="J326" s="2526"/>
      <c r="K326" s="2526"/>
      <c r="L326" s="2526"/>
      <c r="M326" s="2526"/>
    </row>
  </sheetData>
  <sheetProtection formatColumns="0" formatRows="0" autoFilter="0" sort="0" insertRows="0" insertColumns="1" deleteRows="0" deleteColumns="0"/>
  <mergeCells count="413">
    <mergeCell ref="G308:G309"/>
    <mergeCell ref="G311:G312"/>
    <mergeCell ref="G316:G317"/>
    <mergeCell ref="G319:G320"/>
    <mergeCell ref="G322:G323"/>
    <mergeCell ref="G266:G267"/>
    <mergeCell ref="G269:G270"/>
    <mergeCell ref="G272:G273"/>
    <mergeCell ref="G275:G276"/>
    <mergeCell ref="G278:G279"/>
    <mergeCell ref="G281:G282"/>
    <mergeCell ref="G284:G285"/>
    <mergeCell ref="G287:G288"/>
    <mergeCell ref="G290:G291"/>
    <mergeCell ref="G89:G90"/>
    <mergeCell ref="G92:G93"/>
    <mergeCell ref="G95:G96"/>
    <mergeCell ref="G98:G99"/>
    <mergeCell ref="G101:G102"/>
    <mergeCell ref="G104:G105"/>
    <mergeCell ref="G107:G108"/>
    <mergeCell ref="G110:G111"/>
    <mergeCell ref="G113:G114"/>
    <mergeCell ref="G57:G58"/>
    <mergeCell ref="G60:G61"/>
    <mergeCell ref="G63:G64"/>
    <mergeCell ref="G66:G67"/>
    <mergeCell ref="G69:G70"/>
    <mergeCell ref="G74:G75"/>
    <mergeCell ref="G77:G78"/>
    <mergeCell ref="G80:G81"/>
    <mergeCell ref="G86:G87"/>
    <mergeCell ref="D322:D324"/>
    <mergeCell ref="E322:E324"/>
    <mergeCell ref="F322:F324"/>
    <mergeCell ref="M266:M269"/>
    <mergeCell ref="D316:D318"/>
    <mergeCell ref="E316:E318"/>
    <mergeCell ref="F316:F318"/>
    <mergeCell ref="D319:D321"/>
    <mergeCell ref="E319:E321"/>
    <mergeCell ref="F319:F321"/>
    <mergeCell ref="D308:D310"/>
    <mergeCell ref="E308:E310"/>
    <mergeCell ref="F308:F310"/>
    <mergeCell ref="D311:D315"/>
    <mergeCell ref="E311:E315"/>
    <mergeCell ref="F311:F315"/>
    <mergeCell ref="D302:D304"/>
    <mergeCell ref="E302:E304"/>
    <mergeCell ref="F302:F304"/>
    <mergeCell ref="D305:D307"/>
    <mergeCell ref="E305:E307"/>
    <mergeCell ref="F305:F307"/>
    <mergeCell ref="D296:D298"/>
    <mergeCell ref="E296:E298"/>
    <mergeCell ref="F296:F298"/>
    <mergeCell ref="D299:D301"/>
    <mergeCell ref="E299:E301"/>
    <mergeCell ref="F299:F301"/>
    <mergeCell ref="G296:G297"/>
    <mergeCell ref="G299:G300"/>
    <mergeCell ref="G302:G303"/>
    <mergeCell ref="G305:G306"/>
    <mergeCell ref="F275:F277"/>
    <mergeCell ref="D290:D292"/>
    <mergeCell ref="E290:E292"/>
    <mergeCell ref="F290:F292"/>
    <mergeCell ref="D293:D295"/>
    <mergeCell ref="E293:E295"/>
    <mergeCell ref="F293:F295"/>
    <mergeCell ref="D284:D286"/>
    <mergeCell ref="E284:E286"/>
    <mergeCell ref="F284:F286"/>
    <mergeCell ref="D287:D289"/>
    <mergeCell ref="E287:E289"/>
    <mergeCell ref="F287:F289"/>
    <mergeCell ref="G293:G294"/>
    <mergeCell ref="G251:G252"/>
    <mergeCell ref="G256:G257"/>
    <mergeCell ref="G259:G260"/>
    <mergeCell ref="G262:G263"/>
    <mergeCell ref="D245:D247"/>
    <mergeCell ref="E245:E247"/>
    <mergeCell ref="F245:F247"/>
    <mergeCell ref="D248:D250"/>
    <mergeCell ref="E248:E250"/>
    <mergeCell ref="F248:F250"/>
    <mergeCell ref="G248:G249"/>
    <mergeCell ref="D259:D261"/>
    <mergeCell ref="E259:E261"/>
    <mergeCell ref="F259:F261"/>
    <mergeCell ref="D262:D264"/>
    <mergeCell ref="E262:E264"/>
    <mergeCell ref="F262:F264"/>
    <mergeCell ref="D251:D255"/>
    <mergeCell ref="E251:E255"/>
    <mergeCell ref="F251:F255"/>
    <mergeCell ref="D256:D258"/>
    <mergeCell ref="E256:E258"/>
    <mergeCell ref="F256:F258"/>
    <mergeCell ref="D239:D241"/>
    <mergeCell ref="E239:E241"/>
    <mergeCell ref="F239:F241"/>
    <mergeCell ref="D242:D244"/>
    <mergeCell ref="E242:E244"/>
    <mergeCell ref="F242:F244"/>
    <mergeCell ref="G239:G240"/>
    <mergeCell ref="G242:G243"/>
    <mergeCell ref="G245:G246"/>
    <mergeCell ref="G227:G228"/>
    <mergeCell ref="G230:G231"/>
    <mergeCell ref="G233:G234"/>
    <mergeCell ref="G236:G237"/>
    <mergeCell ref="D221:D223"/>
    <mergeCell ref="E221:E223"/>
    <mergeCell ref="F221:F223"/>
    <mergeCell ref="D224:D226"/>
    <mergeCell ref="E224:E226"/>
    <mergeCell ref="F224:F226"/>
    <mergeCell ref="G224:G225"/>
    <mergeCell ref="D233:D235"/>
    <mergeCell ref="E233:E235"/>
    <mergeCell ref="F233:F235"/>
    <mergeCell ref="D236:D238"/>
    <mergeCell ref="E236:E238"/>
    <mergeCell ref="F236:F238"/>
    <mergeCell ref="D227:D229"/>
    <mergeCell ref="E227:E229"/>
    <mergeCell ref="F227:F229"/>
    <mergeCell ref="D230:D232"/>
    <mergeCell ref="E230:E232"/>
    <mergeCell ref="F230:F232"/>
    <mergeCell ref="D215:D217"/>
    <mergeCell ref="E215:E217"/>
    <mergeCell ref="F215:F217"/>
    <mergeCell ref="D218:D220"/>
    <mergeCell ref="E218:E220"/>
    <mergeCell ref="F218:F220"/>
    <mergeCell ref="G215:G216"/>
    <mergeCell ref="G218:G219"/>
    <mergeCell ref="G221:G222"/>
    <mergeCell ref="G196:G197"/>
    <mergeCell ref="G202:G203"/>
    <mergeCell ref="G206:G207"/>
    <mergeCell ref="G209:G210"/>
    <mergeCell ref="G212:G213"/>
    <mergeCell ref="D196:D198"/>
    <mergeCell ref="E196:E198"/>
    <mergeCell ref="F196:F198"/>
    <mergeCell ref="D199:D201"/>
    <mergeCell ref="E199:E201"/>
    <mergeCell ref="F199:F201"/>
    <mergeCell ref="G199:G200"/>
    <mergeCell ref="D209:D211"/>
    <mergeCell ref="E209:E211"/>
    <mergeCell ref="F209:F211"/>
    <mergeCell ref="D212:D214"/>
    <mergeCell ref="E212:E214"/>
    <mergeCell ref="F212:F214"/>
    <mergeCell ref="D202:D204"/>
    <mergeCell ref="E202:E204"/>
    <mergeCell ref="F202:F204"/>
    <mergeCell ref="D206:D208"/>
    <mergeCell ref="E206:E208"/>
    <mergeCell ref="F206:F208"/>
    <mergeCell ref="E179:E181"/>
    <mergeCell ref="F179:F181"/>
    <mergeCell ref="D188:D190"/>
    <mergeCell ref="E188:E190"/>
    <mergeCell ref="F188:F190"/>
    <mergeCell ref="D191:D195"/>
    <mergeCell ref="E191:E195"/>
    <mergeCell ref="F191:F195"/>
    <mergeCell ref="G188:G189"/>
    <mergeCell ref="G191:G192"/>
    <mergeCell ref="G164:G165"/>
    <mergeCell ref="G167:G168"/>
    <mergeCell ref="G170:G171"/>
    <mergeCell ref="G176:G177"/>
    <mergeCell ref="G179:G180"/>
    <mergeCell ref="G182:G183"/>
    <mergeCell ref="G185:G186"/>
    <mergeCell ref="D170:D172"/>
    <mergeCell ref="E170:E172"/>
    <mergeCell ref="F170:F172"/>
    <mergeCell ref="D173:D175"/>
    <mergeCell ref="E173:E175"/>
    <mergeCell ref="F173:F175"/>
    <mergeCell ref="G173:G174"/>
    <mergeCell ref="D182:D184"/>
    <mergeCell ref="E182:E184"/>
    <mergeCell ref="F182:F184"/>
    <mergeCell ref="D185:D187"/>
    <mergeCell ref="E185:E187"/>
    <mergeCell ref="F185:F187"/>
    <mergeCell ref="D176:D178"/>
    <mergeCell ref="E176:E178"/>
    <mergeCell ref="F176:F178"/>
    <mergeCell ref="D179:D181"/>
    <mergeCell ref="E152:E154"/>
    <mergeCell ref="F152:F154"/>
    <mergeCell ref="D155:D157"/>
    <mergeCell ref="E155:E157"/>
    <mergeCell ref="F155:F157"/>
    <mergeCell ref="D164:D166"/>
    <mergeCell ref="E164:E166"/>
    <mergeCell ref="F164:F166"/>
    <mergeCell ref="D167:D169"/>
    <mergeCell ref="E167:E169"/>
    <mergeCell ref="F167:F169"/>
    <mergeCell ref="G161:G162"/>
    <mergeCell ref="D149:D151"/>
    <mergeCell ref="E149:E151"/>
    <mergeCell ref="F149:F151"/>
    <mergeCell ref="D139:D141"/>
    <mergeCell ref="E139:E141"/>
    <mergeCell ref="F139:F141"/>
    <mergeCell ref="D142:D144"/>
    <mergeCell ref="E142:E144"/>
    <mergeCell ref="F142:F144"/>
    <mergeCell ref="D146:D148"/>
    <mergeCell ref="E146:E148"/>
    <mergeCell ref="F146:F148"/>
    <mergeCell ref="G139:G140"/>
    <mergeCell ref="G142:G143"/>
    <mergeCell ref="G146:G147"/>
    <mergeCell ref="G149:G150"/>
    <mergeCell ref="D158:D160"/>
    <mergeCell ref="E158:E160"/>
    <mergeCell ref="F158:F160"/>
    <mergeCell ref="D161:D163"/>
    <mergeCell ref="E161:E163"/>
    <mergeCell ref="F161:F163"/>
    <mergeCell ref="D152:D154"/>
    <mergeCell ref="D131:D135"/>
    <mergeCell ref="E131:E135"/>
    <mergeCell ref="F131:F135"/>
    <mergeCell ref="D136:D138"/>
    <mergeCell ref="E136:E138"/>
    <mergeCell ref="F136:F138"/>
    <mergeCell ref="D125:D127"/>
    <mergeCell ref="E125:E127"/>
    <mergeCell ref="F125:F127"/>
    <mergeCell ref="D128:D130"/>
    <mergeCell ref="E128:E130"/>
    <mergeCell ref="F128:F130"/>
    <mergeCell ref="D113:D115"/>
    <mergeCell ref="E113:E115"/>
    <mergeCell ref="F113:F115"/>
    <mergeCell ref="D116:D118"/>
    <mergeCell ref="E116:E118"/>
    <mergeCell ref="F116:F118"/>
    <mergeCell ref="G116:G117"/>
    <mergeCell ref="G119:G120"/>
    <mergeCell ref="G122:G123"/>
    <mergeCell ref="D119:D121"/>
    <mergeCell ref="E119:E121"/>
    <mergeCell ref="F119:F121"/>
    <mergeCell ref="D122:D124"/>
    <mergeCell ref="E122:E124"/>
    <mergeCell ref="F122:F124"/>
    <mergeCell ref="D107:D109"/>
    <mergeCell ref="E107:E109"/>
    <mergeCell ref="F107:F109"/>
    <mergeCell ref="D110:D112"/>
    <mergeCell ref="E110:E112"/>
    <mergeCell ref="F110:F112"/>
    <mergeCell ref="D101:D103"/>
    <mergeCell ref="E101:E103"/>
    <mergeCell ref="F101:F103"/>
    <mergeCell ref="D104:D106"/>
    <mergeCell ref="E104:E106"/>
    <mergeCell ref="F104:F106"/>
    <mergeCell ref="D69:D73"/>
    <mergeCell ref="E69:E73"/>
    <mergeCell ref="F69:F73"/>
    <mergeCell ref="F95:F97"/>
    <mergeCell ref="D98:D100"/>
    <mergeCell ref="E98:E100"/>
    <mergeCell ref="F98:F100"/>
    <mergeCell ref="D80:D82"/>
    <mergeCell ref="E80:E82"/>
    <mergeCell ref="F80:F82"/>
    <mergeCell ref="D86:D88"/>
    <mergeCell ref="E86:E88"/>
    <mergeCell ref="F86:F88"/>
    <mergeCell ref="D95:D97"/>
    <mergeCell ref="E95:E97"/>
    <mergeCell ref="F83:L83"/>
    <mergeCell ref="H84:I84"/>
    <mergeCell ref="F85:L85"/>
    <mergeCell ref="D74:D76"/>
    <mergeCell ref="E74:E76"/>
    <mergeCell ref="D77:D79"/>
    <mergeCell ref="E77:E79"/>
    <mergeCell ref="D92:D94"/>
    <mergeCell ref="E92:E94"/>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6:M209"/>
    <mergeCell ref="M86:M89"/>
    <mergeCell ref="F145:L145"/>
    <mergeCell ref="M146:M149"/>
    <mergeCell ref="F205:L205"/>
    <mergeCell ref="F48:F50"/>
    <mergeCell ref="F51:F53"/>
    <mergeCell ref="F74:F76"/>
    <mergeCell ref="F77:F79"/>
    <mergeCell ref="F89:F91"/>
    <mergeCell ref="F92:F94"/>
    <mergeCell ref="M24:M82"/>
    <mergeCell ref="G42:G43"/>
    <mergeCell ref="G125:G126"/>
    <mergeCell ref="G128:G129"/>
    <mergeCell ref="G131:G132"/>
    <mergeCell ref="G136:G137"/>
    <mergeCell ref="G152:G153"/>
    <mergeCell ref="G155:G156"/>
    <mergeCell ref="G158:G159"/>
    <mergeCell ref="D66:D68"/>
    <mergeCell ref="E66:E68"/>
    <mergeCell ref="F66:F68"/>
    <mergeCell ref="F326:M326"/>
    <mergeCell ref="F265:L265"/>
    <mergeCell ref="D266:D268"/>
    <mergeCell ref="E266:E268"/>
    <mergeCell ref="F266:F268"/>
    <mergeCell ref="D269:D271"/>
    <mergeCell ref="E269:E271"/>
    <mergeCell ref="F269:F271"/>
    <mergeCell ref="D272:D274"/>
    <mergeCell ref="D278:D280"/>
    <mergeCell ref="E278:E280"/>
    <mergeCell ref="F278:F280"/>
    <mergeCell ref="D281:D283"/>
    <mergeCell ref="E281:E283"/>
    <mergeCell ref="F281:F283"/>
    <mergeCell ref="E272:E274"/>
    <mergeCell ref="F272:F274"/>
    <mergeCell ref="D275:D277"/>
    <mergeCell ref="E275:E277"/>
    <mergeCell ref="D89:D91"/>
    <mergeCell ref="E89:E91"/>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71:G72"/>
    <mergeCell ref="G133:G134"/>
    <mergeCell ref="G193:G194"/>
    <mergeCell ref="G253:G254"/>
    <mergeCell ref="G313:G31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4:J74 I77:J77 I206:J206 I209:J209 I212:J212 I215:J215 I218:J218 I221:J221 I224:J224 I227:J227 I230:J230 I233:J233 I236:J236 I239:J239 I242:J242 I245:J245 I248:J248 I251:J251 I256:J256 I8:J8 I80:J80 I142:J142 I89:J89 I92:J92 I95:J95 I98:J98 I101:J101 I104:J104 I107:J107 I110:J110 I113:J113 I116:J116 I119:J119 I122:J122 I125:J125 I128:J128 I131:J131 I136:J136 I139:J139 I146:J146 I86:J86 I149:J149 I152:J152 I155:J155 I158:J158 I161:J161 I164:J164 I167:J167 I170:J170 I173:J173 I176:J176 I179:J179 I182:J182 I188:J188 I191:J191 I196:J196 I199:J199 I202:J202 I185:J185 I259:J259 I262:J262 I266:J266 I269:J269 I272:J272 I275:J275 I278:J278 I281:J281 I284:J284 I287:J287 I290:J290 I293:J293 I296:J296 I299:J299 I302:J302 I305:J305 I308:J308 I311:J311 I316:J316 I319:J319 I322:J322 I2:J2 I5:J5 I71 J71 I133 J133 I193 J193 I253 J253 I313 J31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4">
      <formula1>900</formula1>
    </dataValidation>
    <dataValidation type="textLength" operator="lessThanOrEqual" allowBlank="1" showInputMessage="1" showErrorMessage="1" errorTitle="Ошибка" error="Допускается ввод не более 900 символов!" sqref="M146:M147 M206:M207 M23 M86:M87 M266:M267">
      <formula1>900</formula1>
    </dataValidation>
    <dataValidation type="decimal" allowBlank="1" showErrorMessage="1" errorTitle="Ошибка" error="Допускается ввод только действительных чисел!" sqref="K206 K209 K212 K215 K218 K221 K224 K227 K230 K233 K236 K239 K242 K245 K248 K251 K256 K259 K10 K86 K139 K136 K131 K128 K125 K122 K119 K116 K113 K110 K107 K104 K101 K98 K95 K92 K89 K146 K142 K149 K152 K155 K158 K161 K164 K167 K170 K173 K176 K179 K182 K188 K191 K196 K199 K202 K185 K262 K266 K269 K272 K275 K278 K281 K284 K287 K290 K293 K296 K299 K302 K305 K308 K311 K316 K319 K322 K5 K133 K193 K253 K313">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E60066-3536-905E-1304-F3A2A635647E}"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20340" width="9.140625" hidden="1" customWidth="1"/>
    <col min="2" max="2" style="20208" width="9.140625" hidden="1" customWidth="1"/>
    <col min="3" max="3" style="19230" width="3.7109375" customWidth="1"/>
    <col min="4" max="4" style="20325" width="6.28125" customWidth="1"/>
    <col min="5" max="5" style="20325" width="53.8515625" customWidth="1"/>
    <col min="6" max="7" style="20325" width="35.7109375" customWidth="1"/>
    <col min="8" max="8" style="20325" width="89.57421875" customWidth="1"/>
    <col min="9" max="9" style="20325" width="10.57421875"/>
    <col min="10" max="11" style="20326" width="10.57421875"/>
    <col min="12" max="17" style="20325" width="10.57421875"/>
  </cols>
  <sheetData>
    <row customHeight="1" ht="14.25" hidden="1">
      <c r="N1" s="616"/>
      <c r="O1" s="616"/>
      <c r="Q1" s="616"/>
    </row>
    <row s="19274" customFormat="1" customHeight="1" ht="18.75" hidden="1">
      <c r="A2" s="464"/>
      <c r="B2" s="1523"/>
      <c r="C2" s="2096" t="s">
        <v>530</v>
      </c>
      <c r="D2" s="2039"/>
      <c r="E2" s="2048"/>
      <c r="F2" s="618"/>
      <c r="G2" s="1524"/>
      <c r="H2" s="735"/>
      <c r="I2" s="1990"/>
      <c r="J2" s="1990"/>
    </row>
    <row customHeight="1" ht="14.25" hidden="1"/>
    <row customHeight="1" ht="6">
      <c r="C4" s="737"/>
      <c r="D4" s="724"/>
      <c r="E4" s="724"/>
      <c r="F4" s="724"/>
      <c r="G4" s="446"/>
      <c r="H4" s="446"/>
    </row>
    <row customHeight="1" ht="33">
      <c r="C5" s="737"/>
      <c r="D5" s="2719"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720"/>
      <c r="F5" s="2720"/>
      <c r="G5" s="2721"/>
      <c r="H5" s="627"/>
    </row>
    <row s="19274" customFormat="1" customHeight="1" ht="17.25">
      <c r="A6" s="2035"/>
      <c r="B6" s="1523"/>
      <c r="C6" s="737"/>
      <c r="D6" s="2722" t="str">
        <f>IF(org=0,"Не определено",org)</f>
        <v>Филиал "Шатурская ГРЭС" ПАО "Юнипро"</v>
      </c>
      <c r="E6" s="2723"/>
      <c r="F6" s="2723"/>
      <c r="G6" s="2724"/>
      <c r="H6" s="627"/>
      <c r="J6" s="1990"/>
      <c r="K6" s="1990"/>
    </row>
    <row customHeight="1" ht="14.25">
      <c r="C7" s="737"/>
      <c r="D7" s="724"/>
      <c r="E7" s="750"/>
      <c r="F7" s="750"/>
      <c r="G7" s="1113"/>
      <c r="H7" s="554"/>
    </row>
    <row customHeight="1" ht="14.25">
      <c r="C8" s="737"/>
      <c r="D8" s="2482" t="s">
        <v>300</v>
      </c>
      <c r="E8" s="2482"/>
      <c r="F8" s="2482"/>
      <c r="G8" s="2482"/>
      <c r="H8" s="2725" t="s">
        <v>301</v>
      </c>
    </row>
    <row customHeight="1" ht="14.25">
      <c r="C9" s="737"/>
      <c r="D9" s="747" t="s">
        <v>85</v>
      </c>
      <c r="E9" s="470" t="s">
        <v>302</v>
      </c>
      <c r="F9" s="470" t="s">
        <v>303</v>
      </c>
      <c r="G9" s="470" t="s">
        <v>390</v>
      </c>
      <c r="H9" s="2725"/>
    </row>
    <row customHeight="1" ht="14.25">
      <c r="A10" s="704"/>
      <c r="C10" s="737"/>
      <c r="D10" s="509" t="s">
        <v>106</v>
      </c>
      <c r="E10" s="2253"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618"/>
      <c r="G10" s="574"/>
      <c r="H10" s="2436" t="s">
        <v>1083</v>
      </c>
    </row>
    <row customHeight="1" ht="14.25">
      <c r="A11" s="704"/>
      <c r="C11" s="737"/>
      <c r="D11" s="509" t="s">
        <v>107</v>
      </c>
      <c r="E11" s="2253"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618"/>
      <c r="G11" s="574"/>
      <c r="H11" s="2437"/>
    </row>
    <row customHeight="1" ht="14.25">
      <c r="A12" s="464"/>
      <c r="C12" s="748"/>
      <c r="D12" s="509" t="s">
        <v>87</v>
      </c>
      <c r="E12" s="749" t="str">
        <f>"Сведения о планировании закупочных процедур"&amp;IF(TEMPLATE_SPHERE="TKO"," &lt;1&gt;","")</f>
        <v>Сведения о планировании закупочных процедур</v>
      </c>
      <c r="F12" s="618"/>
      <c r="G12" s="574"/>
      <c r="H12" s="243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711"/>
      <c r="K12" s="735"/>
    </row>
    <row customHeight="1" ht="14.25">
      <c r="A13" s="464"/>
      <c r="C13" s="748"/>
      <c r="D13" s="509" t="s">
        <v>88</v>
      </c>
      <c r="E13" s="749" t="str">
        <f>"Сведения о результатах проведения закупочных процедур"&amp;IF(TEMPLATE_SPHERE="TKO"," &lt;1&gt;","")</f>
        <v>Сведения о результатах проведения закупочных процедур</v>
      </c>
      <c r="F13" s="618"/>
      <c r="G13" s="574"/>
      <c r="H13" s="2437"/>
      <c r="I13" s="711"/>
      <c r="K13" s="735"/>
    </row>
    <row customHeight="1" ht="14.25">
      <c r="A14" s="704"/>
      <c r="C14" s="737"/>
      <c r="D14" s="708"/>
      <c r="E14" s="756" t="s">
        <v>322</v>
      </c>
      <c r="F14" s="710"/>
      <c r="G14" s="562"/>
      <c r="H14" s="2438"/>
    </row>
    <row s="19274" customFormat="1" customHeight="1" ht="14.25">
      <c r="A15" s="704"/>
      <c r="B15" s="1523"/>
      <c r="C15" s="737"/>
      <c r="D15" s="757"/>
      <c r="E15" s="2043"/>
      <c r="F15" s="2044"/>
      <c r="G15" s="2045"/>
      <c r="H15" s="2046"/>
      <c r="J15" s="1990"/>
      <c r="K15" s="1990"/>
    </row>
    <row customHeight="1" ht="14.25">
      <c r="D16" s="2047"/>
      <c r="E16" s="2656"/>
      <c r="F16" s="2656"/>
      <c r="G16" s="2656"/>
      <c r="H16" s="2656"/>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A8A88E-7751-0FB9-1F39-A972DB0B2838}" mc:Ignorable="x14ac xr xr2 xr3">
  <sheetPr>
    <tabColor theme="2" tint="-0.1"/>
  </sheetPr>
  <dimension ref="A1:U29"/>
  <sheetViews>
    <sheetView topLeftCell="A1" showGridLines="0" zoomScale="90" workbookViewId="0">
      <selection activeCell="A1" sqref="A1"/>
    </sheetView>
  </sheetViews>
  <sheetFormatPr defaultColWidth="10.57421875" customHeight="1" defaultRowHeight="15"/>
  <cols>
    <col min="1" max="1" style="18998" width="9.140625" hidden="1" customWidth="1"/>
    <col min="2" max="2" style="19001" width="9.140625" hidden="1" customWidth="1"/>
    <col min="3" max="3" style="19957" width="4.7109375" customWidth="1"/>
    <col min="4" max="4" style="19001" width="6.28125" customWidth="1"/>
    <col min="5" max="5" style="19001" width="47.8515625" customWidth="1"/>
    <col min="6" max="6" style="19001" width="9.57421875" customWidth="1"/>
    <col min="7" max="7" style="18482" width="25.7109375" hidden="1" customWidth="1"/>
    <col min="8" max="8" style="18482" width="34.00390625" hidden="1" customWidth="1"/>
    <col min="9" max="9" style="19001" width="25.7109375" customWidth="1"/>
    <col min="10" max="10" style="19001" width="34.00390625" customWidth="1"/>
    <col min="11" max="11" style="18483" width="50.8515625" customWidth="1"/>
    <col min="12" max="20" style="19001" width="10.57421875"/>
    <col min="21" max="21" style="19958" width="10.57421875"/>
  </cols>
  <sheetData>
    <row s="18483" customFormat="1" customHeight="1" ht="15" hidden="1">
      <c r="C1" s="1033"/>
      <c r="G1" s="778">
        <v>4</v>
      </c>
      <c r="I1" s="778">
        <v>4</v>
      </c>
      <c r="U1" s="781"/>
    </row>
    <row s="19770" customFormat="1" customHeight="1" ht="15" hidden="1">
      <c r="A2" s="723"/>
      <c r="C2" s="538"/>
      <c r="D2" s="707"/>
      <c r="E2" s="1034"/>
      <c r="F2" s="883"/>
      <c r="G2" s="977"/>
      <c r="H2" s="977"/>
      <c r="I2" s="977"/>
      <c r="J2" s="977"/>
      <c r="U2" s="1035"/>
    </row>
    <row s="18483" customFormat="1" customHeight="1" ht="15" hidden="1">
      <c r="C3" s="1033"/>
      <c r="U3" s="781"/>
    </row>
    <row customHeight="1" ht="15">
      <c r="C4" s="538"/>
      <c r="D4" s="870"/>
      <c r="E4" s="870"/>
      <c r="F4" s="870"/>
      <c r="G4" s="870"/>
      <c r="H4" s="870"/>
      <c r="I4" s="870"/>
      <c r="J4" s="870"/>
    </row>
    <row customHeight="1" ht="63">
      <c r="C5" s="538"/>
      <c r="D5" s="2505" t="s">
        <v>1084</v>
      </c>
      <c r="E5" s="2505"/>
      <c r="F5" s="2505"/>
      <c r="G5" s="2505"/>
      <c r="H5" s="2505"/>
      <c r="I5" s="2505"/>
      <c r="J5" s="2505"/>
    </row>
    <row customHeight="1" ht="15">
      <c r="C6" s="538"/>
      <c r="D6" s="2474" t="str">
        <f>IF(org=0,"Не определено",org)</f>
        <v>Филиал "Шатурская ГРЭС" ПАО "Юнипро"</v>
      </c>
      <c r="E6" s="2474"/>
      <c r="F6" s="2474"/>
      <c r="G6" s="2474"/>
      <c r="H6" s="2474"/>
      <c r="I6" s="2474"/>
      <c r="J6" s="2474"/>
      <c r="K6" s="898"/>
    </row>
    <row customHeight="1" ht="15">
      <c r="C7" s="538"/>
      <c r="D7" s="1113"/>
      <c r="E7" s="870"/>
      <c r="F7" s="870"/>
      <c r="G7" s="898">
        <v>22</v>
      </c>
      <c r="I7" s="898">
        <v>1</v>
      </c>
      <c r="J7" s="1113"/>
    </row>
    <row s="18482" customFormat="1" customHeight="1" ht="0.75">
      <c r="A8" s="1120"/>
      <c r="C8" s="538"/>
      <c r="D8" s="870"/>
      <c r="E8" s="870"/>
      <c r="F8" s="870"/>
      <c r="G8" s="898"/>
      <c r="H8" s="1113"/>
      <c r="I8" s="898" t="s">
        <v>114</v>
      </c>
      <c r="J8" s="1113"/>
      <c r="K8" s="778"/>
      <c r="U8" s="1036"/>
    </row>
    <row customHeight="1" ht="15">
      <c r="C9" s="538"/>
      <c r="D9" s="1072"/>
      <c r="E9" s="2636" t="s">
        <v>102</v>
      </c>
      <c r="F9" s="2637"/>
      <c r="G9" s="2659" t="str">
        <f>IF(G8="","",INDEX(DIFFERENTIATION_UNMERGE_VD,MATCH(G8,DIFFERENTIATION_ID_DIFF,0)))</f>
        <v/>
      </c>
      <c r="H9" s="2660"/>
      <c r="I9" s="2659">
        <f>IF(I8="","",INDEX(DIFFERENTIATION_UNMERGE_VD,MATCH(I8,DIFFERENTIATION_ID_DIFF,0)))</f>
        <v>0</v>
      </c>
      <c r="J9" s="2660"/>
      <c r="K9" s="2449" t="s">
        <v>301</v>
      </c>
    </row>
    <row s="18482" customFormat="1" customHeight="1" ht="15">
      <c r="A10" s="1120"/>
      <c r="C10" s="538"/>
      <c r="D10" s="1072"/>
      <c r="E10" s="2636" t="s">
        <v>564</v>
      </c>
      <c r="F10" s="2637"/>
      <c r="G10" s="2659" t="str">
        <f>IF(G8="","",INDEX(DIFFERENTIATION_UNMERGE_AREA,MATCH(G8,DIFFERENTIATION_ID_DIFF,0)))</f>
        <v/>
      </c>
      <c r="H10" s="2660"/>
      <c r="I10" s="2659" t="str">
        <f>IF(I8="","",INDEX(DIFFERENTIATION_UNMERGE_AREA,MATCH(I8,DIFFERENTIATION_ID_DIFF,0)))</f>
        <v/>
      </c>
      <c r="J10" s="2660"/>
      <c r="K10" s="2457"/>
      <c r="U10" s="1036"/>
    </row>
    <row s="18482" customFormat="1" customHeight="1" ht="15">
      <c r="A11" s="1120"/>
      <c r="C11" s="538"/>
      <c r="D11" s="1072"/>
      <c r="E11" s="2636" t="s">
        <v>565</v>
      </c>
      <c r="F11" s="2637"/>
      <c r="G11" s="2659" t="str">
        <f>IF(G8="","",INDEX(DIFFERENTIATION_UNMERGE_SYSTEM,MATCH(G8,DIFFERENTIATION_ID_DIFF,0)))</f>
        <v/>
      </c>
      <c r="H11" s="2660"/>
      <c r="I11" s="2659" t="str">
        <f>IF(I8="","",INDEX(DIFFERENTIATION_UNMERGE_SYSTEM,MATCH(I8,DIFFERENTIATION_ID_DIFF,0)))</f>
        <v>без дифференциации</v>
      </c>
      <c r="J11" s="2660"/>
      <c r="K11" s="2457"/>
      <c r="U11" s="1036"/>
    </row>
    <row s="18482" customFormat="1" customHeight="1" ht="15">
      <c r="A12" s="1120"/>
      <c r="C12" s="538"/>
      <c r="D12" s="2638" t="s">
        <v>300</v>
      </c>
      <c r="E12" s="2639"/>
      <c r="F12" s="2639"/>
      <c r="G12" s="1248"/>
      <c r="H12" s="1248"/>
      <c r="I12" s="1248"/>
      <c r="J12" s="1248"/>
      <c r="K12" s="2457"/>
      <c r="U12" s="1036"/>
    </row>
    <row customHeight="1" ht="33.75">
      <c r="C13" s="538"/>
      <c r="D13" s="1166" t="s">
        <v>85</v>
      </c>
      <c r="E13" s="1168" t="s">
        <v>302</v>
      </c>
      <c r="F13" s="1168" t="s">
        <v>566</v>
      </c>
      <c r="G13" s="1169" t="s">
        <v>303</v>
      </c>
      <c r="H13" s="1168" t="s">
        <v>390</v>
      </c>
      <c r="I13" s="1169" t="s">
        <v>303</v>
      </c>
      <c r="J13" s="1168" t="s">
        <v>390</v>
      </c>
      <c r="K13" s="2510"/>
    </row>
    <row customHeight="1" ht="15" hidden="1">
      <c r="C14" s="538"/>
      <c r="D14" s="954" t="s">
        <v>106</v>
      </c>
      <c r="E14" s="954" t="s">
        <v>107</v>
      </c>
      <c r="F14" s="954" t="s">
        <v>87</v>
      </c>
      <c r="G14" s="1020" t="str">
        <f>G1&amp;".1"</f>
        <v>4.1</v>
      </c>
      <c r="H14" s="1020"/>
      <c r="I14" s="1020" t="str">
        <f>I1&amp;".1"</f>
        <v>4.1</v>
      </c>
      <c r="J14" s="1020"/>
      <c r="K14" s="650"/>
    </row>
    <row customHeight="1" ht="22.5" hidden="1">
      <c r="A15" s="866"/>
      <c r="C15" s="887"/>
      <c r="D15" s="882">
        <v>1</v>
      </c>
      <c r="E15" s="1038" t="s">
        <v>723</v>
      </c>
      <c r="F15" s="882" t="s">
        <v>724</v>
      </c>
      <c r="G15" s="1039"/>
      <c r="H15" s="1039"/>
      <c r="I15" s="1039"/>
      <c r="J15" s="1039"/>
      <c r="K15" s="650" t="s">
        <v>725</v>
      </c>
    </row>
    <row customHeight="1" ht="22.5" hidden="1">
      <c r="A16" s="866"/>
      <c r="C16" s="887"/>
      <c r="D16" s="882">
        <v>2</v>
      </c>
      <c r="E16" s="640" t="s">
        <v>726</v>
      </c>
      <c r="F16" s="882" t="s">
        <v>727</v>
      </c>
      <c r="G16" s="1039"/>
      <c r="H16" s="1039"/>
      <c r="I16" s="1039"/>
      <c r="J16" s="1039"/>
      <c r="K16" s="650" t="s">
        <v>728</v>
      </c>
    </row>
    <row customHeight="1" ht="123.75" hidden="1">
      <c r="A17" s="866"/>
      <c r="C17" s="887"/>
      <c r="D17" s="882">
        <v>3</v>
      </c>
      <c r="E17" s="640" t="s">
        <v>1085</v>
      </c>
      <c r="F17" s="882" t="s">
        <v>306</v>
      </c>
      <c r="G17" s="1039"/>
      <c r="H17" s="1039"/>
      <c r="I17" s="1039"/>
      <c r="J17" s="1039"/>
      <c r="K17" s="650" t="s">
        <v>1086</v>
      </c>
    </row>
    <row customHeight="1" ht="45">
      <c r="A18" s="866"/>
      <c r="C18" s="887"/>
      <c r="D18" s="882">
        <v>3</v>
      </c>
      <c r="E18" s="640" t="s">
        <v>729</v>
      </c>
      <c r="F18" s="882" t="s">
        <v>306</v>
      </c>
      <c r="G18" s="1170" t="s">
        <v>306</v>
      </c>
      <c r="H18" s="1171" t="s">
        <v>306</v>
      </c>
      <c r="I18" s="882" t="s">
        <v>306</v>
      </c>
      <c r="J18" s="939" t="s">
        <v>306</v>
      </c>
      <c r="K18" s="650" t="s">
        <v>1087</v>
      </c>
    </row>
    <row customHeight="1" ht="33.75">
      <c r="A19" s="866"/>
      <c r="C19" s="887"/>
      <c r="D19" s="900" t="s">
        <v>324</v>
      </c>
      <c r="E19" s="920" t="s">
        <v>731</v>
      </c>
      <c r="F19" s="882" t="s">
        <v>732</v>
      </c>
      <c r="G19" s="1178"/>
      <c r="H19" s="468"/>
      <c r="I19" s="1178"/>
      <c r="J19" s="1179"/>
      <c r="K19" s="1040"/>
    </row>
    <row customHeight="1" ht="33.75">
      <c r="A20" s="866"/>
      <c r="C20" s="887"/>
      <c r="D20" s="2257" t="s">
        <v>332</v>
      </c>
      <c r="E20" s="920" t="s">
        <v>733</v>
      </c>
      <c r="F20" s="882" t="s">
        <v>734</v>
      </c>
      <c r="G20" s="1178"/>
      <c r="H20" s="468"/>
      <c r="I20" s="1178"/>
      <c r="J20" s="468"/>
      <c r="K20" s="1040"/>
    </row>
    <row customHeight="1" ht="45">
      <c r="A21" s="866"/>
      <c r="C21" s="887"/>
      <c r="D21" s="2257" t="s">
        <v>334</v>
      </c>
      <c r="E21" s="920" t="s">
        <v>735</v>
      </c>
      <c r="F21" s="882" t="s">
        <v>571</v>
      </c>
      <c r="G21" s="1041"/>
      <c r="H21" s="468"/>
      <c r="I21" s="1041"/>
      <c r="J21" s="468"/>
      <c r="K21" s="1040"/>
    </row>
    <row customHeight="1" ht="67.5" hidden="1">
      <c r="A22" s="866"/>
      <c r="C22" s="887"/>
      <c r="D22" s="882">
        <v>5</v>
      </c>
      <c r="E22" s="640" t="s">
        <v>1088</v>
      </c>
      <c r="F22" s="882" t="s">
        <v>558</v>
      </c>
      <c r="G22" s="1042"/>
      <c r="H22" s="1043"/>
      <c r="I22" s="1042"/>
      <c r="J22" s="1043"/>
      <c r="K22" s="650" t="s">
        <v>1089</v>
      </c>
    </row>
    <row customHeight="1" ht="33.75" hidden="1">
      <c r="C23" s="812"/>
      <c r="D23" s="882">
        <v>6</v>
      </c>
      <c r="E23" s="640" t="s">
        <v>1090</v>
      </c>
      <c r="F23" s="882" t="s">
        <v>1091</v>
      </c>
      <c r="G23" s="1042"/>
      <c r="H23" s="1042"/>
      <c r="I23" s="1042"/>
      <c r="J23" s="1042"/>
      <c r="K23" s="650" t="s">
        <v>1092</v>
      </c>
    </row>
    <row r="29" customHeight="1" ht="15">
      <c r="J29" s="1180"/>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CF6C474-6E6B-FC1A-451F-323E4F1866D1}"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20450" width="32.57421875" customWidth="1"/>
    <col min="2" max="2" style="20451" width="11.00390625" customWidth="1"/>
    <col min="3" max="3" style="20451" width="9.140625"/>
    <col min="4" max="4" style="20451" width="26.57421875" customWidth="1"/>
    <col min="5" max="5" style="20452" width="27.7109375" customWidth="1"/>
    <col min="6" max="6" style="20452" width="23.57421875" customWidth="1"/>
    <col min="7" max="7" style="20452" width="31.421875" customWidth="1"/>
    <col min="8" max="8" style="20452" width="40.8515625" customWidth="1"/>
    <col min="9" max="9" style="20452" width="14.57421875" customWidth="1"/>
    <col min="10" max="10" style="20452" width="26.8515625" customWidth="1"/>
    <col min="11" max="11" style="20452" width="50.00390625" customWidth="1"/>
    <col min="12" max="12" style="20452" width="52.421875" customWidth="1"/>
    <col min="13" max="13" style="20452" width="10.7109375" customWidth="1"/>
    <col min="14" max="14" style="20452" width="55.140625" customWidth="1"/>
    <col min="15" max="15" style="20452" width="31.8515625" customWidth="1"/>
    <col min="16" max="16" style="20452" width="23.8515625" customWidth="1"/>
    <col min="17" max="17" style="20452" width="46.57421875" customWidth="1"/>
    <col min="18" max="18" style="20452" width="24.00390625" customWidth="1"/>
    <col min="19" max="19" style="20452" width="20.57421875" customWidth="1"/>
    <col min="20" max="20" style="20452" width="22.00390625" customWidth="1"/>
    <col min="21" max="22" style="20452" width="26.421875" customWidth="1"/>
    <col min="23" max="23" style="20452" width="8.28125" hidden="1" customWidth="1"/>
    <col min="24" max="24" style="20452" width="59.7109375" customWidth="1"/>
    <col min="25" max="25" style="20452" width="49.140625" customWidth="1"/>
    <col min="26" max="26" style="20452" width="11.140625" customWidth="1"/>
    <col min="27" max="30" style="20452" width="29.00390625" customWidth="1"/>
    <col min="31" max="31" style="20452" width="9.140625"/>
    <col min="32" max="32" style="20452" width="34.7109375" customWidth="1"/>
    <col min="33" max="33" style="20452" width="9.140625"/>
    <col min="34" max="35" style="20452" width="34.421875" customWidth="1"/>
    <col min="36" max="36" style="20452" width="9.140625"/>
    <col min="37" max="37" style="20452" width="24.57421875" customWidth="1"/>
    <col min="38" max="38" style="20452" width="9.140625"/>
    <col min="39" max="39" style="20452" width="26.140625" customWidth="1"/>
    <col min="40" max="40" style="20452" width="1.7109375" customWidth="1"/>
    <col min="41" max="41" style="20452" width="9.140625"/>
    <col min="42" max="43" style="20452" width="47.8515625" customWidth="1"/>
    <col min="44" max="44" style="20452" width="1.7109375" customWidth="1"/>
    <col min="45" max="45" style="20452" width="21.421875" customWidth="1"/>
    <col min="46" max="46" style="20452" width="1.7109375" customWidth="1"/>
    <col min="47" max="47" style="20452" width="31.28125" customWidth="1"/>
    <col min="48" max="48" style="20452" width="1.7109375" customWidth="1"/>
    <col min="49" max="50" style="20453" width="9.140625"/>
    <col min="51" max="51" style="20452" width="3.7109375" customWidth="1"/>
    <col min="52" max="52" style="20452" width="60.8515625" customWidth="1"/>
    <col min="53" max="53" style="20452" width="49.28125" customWidth="1"/>
    <col min="54" max="54" style="20452" width="35.140625" customWidth="1"/>
    <col min="55" max="55" style="20452" width="9.140625"/>
    <col min="56" max="56" style="20452" width="1.7109375" customWidth="1"/>
    <col min="57" max="57" style="20454" width="12.57421875" customWidth="1"/>
    <col min="58" max="58" style="20454" width="14.28125" customWidth="1"/>
    <col min="59" max="59" style="20452" width="30.7109375" customWidth="1"/>
    <col min="60" max="60" style="20455" width="40.7109375" customWidth="1"/>
    <col min="61" max="61" style="20455" width="15.00390625" customWidth="1"/>
    <col min="62" max="62" style="20455" width="40.7109375" customWidth="1"/>
    <col min="63" max="63" style="20455" width="2.7109375" customWidth="1"/>
    <col min="64" max="64" style="20455" width="44.7109375" customWidth="1"/>
    <col min="65" max="65" style="20455" width="2.7109375" customWidth="1"/>
    <col min="66" max="66" style="20455" width="40.7109375" customWidth="1"/>
    <col min="67" max="68" style="20452" width="9.140625"/>
    <col min="69" max="69" style="20452" width="18.140625" customWidth="1"/>
    <col min="70" max="70" style="20452" width="57.8515625" customWidth="1"/>
    <col min="71" max="71" style="20456" width="1.7109375" customWidth="1"/>
    <col min="72" max="72" style="20452" width="22.57421875" customWidth="1"/>
    <col min="73" max="73" style="20452" width="57.8515625" customWidth="1"/>
    <col min="74" max="74" style="20452" width="1.7109375" customWidth="1"/>
    <col min="75" max="75" style="20452" width="22.57421875" customWidth="1"/>
    <col min="76" max="76" style="20452" width="57.8515625" customWidth="1"/>
    <col min="77" max="77" style="20452" width="1.7109375" customWidth="1"/>
    <col min="78" max="78" style="20452" width="22.57421875" customWidth="1"/>
    <col min="79" max="79" style="20452" width="57.8515625" customWidth="1"/>
    <col min="80" max="81" style="20452" width="9.140625"/>
    <col min="82" max="82" style="20452" width="49.57421875" customWidth="1"/>
  </cols>
  <sheetData>
    <row s="20353" customFormat="1" customHeight="1" ht="11.25">
      <c r="A1" s="1429" t="s">
        <v>1093</v>
      </c>
      <c r="B1" s="1429" t="s">
        <v>1094</v>
      </c>
      <c r="C1" s="1429" t="s">
        <v>1095</v>
      </c>
      <c r="D1" s="1429" t="s">
        <v>1096</v>
      </c>
      <c r="E1" s="1429" t="s">
        <v>1097</v>
      </c>
      <c r="F1" s="1429" t="s">
        <v>1098</v>
      </c>
      <c r="G1" s="1429" t="s">
        <v>1099</v>
      </c>
      <c r="H1" s="1429" t="s">
        <v>1100</v>
      </c>
      <c r="I1" s="1429" t="s">
        <v>1101</v>
      </c>
      <c r="J1" s="1429" t="s">
        <v>1102</v>
      </c>
      <c r="K1" s="1429" t="s">
        <v>1103</v>
      </c>
      <c r="L1" s="1429" t="s">
        <v>1104</v>
      </c>
      <c r="M1" s="1429"/>
      <c r="N1" s="1429" t="s">
        <v>1105</v>
      </c>
      <c r="O1" s="1429" t="s">
        <v>1106</v>
      </c>
      <c r="P1" s="1429" t="s">
        <v>1107</v>
      </c>
      <c r="Q1" s="1429" t="s">
        <v>1108</v>
      </c>
      <c r="R1" s="1429" t="s">
        <v>1109</v>
      </c>
      <c r="S1" s="1429" t="s">
        <v>1110</v>
      </c>
      <c r="T1" s="1429" t="s">
        <v>1111</v>
      </c>
      <c r="U1" s="1429" t="s">
        <v>1112</v>
      </c>
      <c r="V1" s="1429"/>
      <c r="W1" s="1158" t="s">
        <v>1113</v>
      </c>
      <c r="X1" s="1429" t="s">
        <v>1114</v>
      </c>
      <c r="Y1" s="1429" t="s">
        <v>1115</v>
      </c>
      <c r="Z1" s="1429"/>
      <c r="AA1" s="1429" t="s">
        <v>1116</v>
      </c>
      <c r="AB1" s="1429"/>
      <c r="AC1" s="1429" t="s">
        <v>1117</v>
      </c>
      <c r="AD1" s="1429"/>
      <c r="AF1" s="1429" t="s">
        <v>1118</v>
      </c>
      <c r="AH1" s="1429" t="s">
        <v>1119</v>
      </c>
      <c r="AI1" s="1429" t="s">
        <v>1120</v>
      </c>
      <c r="AK1" s="1429" t="s">
        <v>1121</v>
      </c>
      <c r="AM1" s="1429" t="s">
        <v>1122</v>
      </c>
      <c r="AP1" s="1429" t="s">
        <v>1123</v>
      </c>
      <c r="AQ1" s="1429" t="s">
        <v>1124</v>
      </c>
      <c r="AS1" s="1429" t="s">
        <v>1125</v>
      </c>
      <c r="AU1" s="1429" t="s">
        <v>1126</v>
      </c>
      <c r="AW1" s="1429" t="s">
        <v>1127</v>
      </c>
      <c r="AX1" s="1429" t="s">
        <v>1128</v>
      </c>
      <c r="AZ1" s="1515" t="s">
        <v>1129</v>
      </c>
      <c r="BB1" s="1429" t="s">
        <v>1130</v>
      </c>
      <c r="BC1" s="1429"/>
      <c r="BE1" s="1429" t="s">
        <v>1131</v>
      </c>
      <c r="BF1" s="1429" t="s">
        <v>1132</v>
      </c>
      <c r="BH1" s="1431" t="s">
        <v>722</v>
      </c>
      <c r="BI1" s="1432"/>
      <c r="BJ1" s="1433" t="s">
        <v>1133</v>
      </c>
      <c r="BK1" s="1432"/>
      <c r="BL1" s="1434" t="s">
        <v>823</v>
      </c>
      <c r="BM1" s="1432"/>
      <c r="BN1" s="1435" t="s">
        <v>1134</v>
      </c>
      <c r="BS1" s="1793"/>
    </row>
    <row customHeight="1" ht="11.25">
      <c r="A2" s="1436" t="s">
        <v>1135</v>
      </c>
      <c r="B2" s="1437">
        <v>2000</v>
      </c>
      <c r="C2" s="1437">
        <v>2022</v>
      </c>
      <c r="D2" s="1437" t="s">
        <v>59</v>
      </c>
      <c r="E2" s="1438" t="s">
        <v>1136</v>
      </c>
      <c r="F2" s="1438" t="s">
        <v>1137</v>
      </c>
      <c r="G2" s="1438" t="s">
        <v>1138</v>
      </c>
      <c r="H2" s="1439" t="s">
        <v>52</v>
      </c>
      <c r="I2" s="1438" t="s">
        <v>106</v>
      </c>
      <c r="J2" s="1438" t="s">
        <v>1139</v>
      </c>
      <c r="K2" s="1440" t="s">
        <v>1140</v>
      </c>
      <c r="L2" s="1441"/>
      <c r="M2" s="1440">
        <v>1</v>
      </c>
      <c r="N2" s="1525" t="s">
        <v>1141</v>
      </c>
      <c r="O2" s="1439" t="s">
        <v>1142</v>
      </c>
      <c r="P2" s="1442" t="s">
        <v>33</v>
      </c>
      <c r="Q2" s="1443" t="s">
        <v>1143</v>
      </c>
      <c r="R2" s="505" t="s">
        <v>1144</v>
      </c>
      <c r="S2" s="505" t="s">
        <v>1145</v>
      </c>
      <c r="T2" s="1444" t="s">
        <v>1146</v>
      </c>
      <c r="U2" s="1441" t="s">
        <v>1147</v>
      </c>
      <c r="V2" s="1445">
        <v>1</v>
      </c>
      <c r="W2" s="1446"/>
      <c r="X2" s="1446" t="s">
        <v>1148</v>
      </c>
      <c r="Y2" s="1437" t="s">
        <v>1149</v>
      </c>
      <c r="Z2" s="1447"/>
      <c r="AA2" s="1437" t="s">
        <v>1150</v>
      </c>
      <c r="AB2" s="1448" t="s">
        <v>1150</v>
      </c>
      <c r="AC2" s="1437" t="s">
        <v>1151</v>
      </c>
      <c r="AD2" s="1448" t="s">
        <v>1151</v>
      </c>
      <c r="AF2" s="1439" t="s">
        <v>1147</v>
      </c>
      <c r="AH2" s="1438" t="s">
        <v>1152</v>
      </c>
      <c r="AI2" s="1438" t="s">
        <v>1152</v>
      </c>
      <c r="AK2" s="1438" t="s">
        <v>1153</v>
      </c>
      <c r="AM2" s="1438" t="s">
        <v>1154</v>
      </c>
      <c r="AP2" s="1449" t="s">
        <v>1148</v>
      </c>
      <c r="AQ2" s="1450" t="s">
        <v>1148</v>
      </c>
      <c r="AS2" s="1437" t="s">
        <v>1155</v>
      </c>
      <c r="AU2" s="1483" t="s">
        <v>1156</v>
      </c>
      <c r="AW2" s="1483" t="s">
        <v>1157</v>
      </c>
      <c r="AX2" s="1483" t="s">
        <v>1157</v>
      </c>
      <c r="AZ2" s="1483" t="s">
        <v>1158</v>
      </c>
      <c r="BB2" s="1483" t="s">
        <v>1159</v>
      </c>
      <c r="BC2" s="1483" t="s">
        <v>1160</v>
      </c>
      <c r="BE2" s="1483">
        <v>2000</v>
      </c>
      <c r="BF2" s="1483" t="s">
        <v>1161</v>
      </c>
    </row>
    <row customHeight="1" ht="11.25">
      <c r="A3" s="1436" t="s">
        <v>1162</v>
      </c>
      <c r="B3" s="1437">
        <v>2001</v>
      </c>
      <c r="C3" s="1437">
        <v>2023</v>
      </c>
      <c r="D3" s="1437" t="s">
        <v>54</v>
      </c>
      <c r="E3" s="1438" t="s">
        <v>1163</v>
      </c>
      <c r="F3" s="1438" t="s">
        <v>1164</v>
      </c>
      <c r="G3" s="1438" t="s">
        <v>1165</v>
      </c>
      <c r="H3" s="1439" t="s">
        <v>1166</v>
      </c>
      <c r="I3" s="1438" t="s">
        <v>107</v>
      </c>
      <c r="J3" s="1438" t="s">
        <v>556</v>
      </c>
      <c r="K3" s="1440" t="s">
        <v>1167</v>
      </c>
      <c r="L3" s="1441">
        <f>_xlfn.IFERROR(MATCH(K3,OFFER_METHOD,0),0)</f>
        <v>0</v>
      </c>
      <c r="M3" s="1440">
        <v>2</v>
      </c>
      <c r="N3" s="1525" t="s">
        <v>1168</v>
      </c>
      <c r="O3" s="1439" t="s">
        <v>1169</v>
      </c>
      <c r="P3" s="1442" t="s">
        <v>1170</v>
      </c>
      <c r="Q3" s="1443" t="s">
        <v>1171</v>
      </c>
      <c r="R3" s="505" t="s">
        <v>1172</v>
      </c>
      <c r="S3" s="505" t="s">
        <v>1173</v>
      </c>
      <c r="T3" s="1444" t="s">
        <v>1174</v>
      </c>
      <c r="U3" s="1441" t="s">
        <v>1175</v>
      </c>
      <c r="V3" s="1445">
        <v>2</v>
      </c>
      <c r="W3" s="1446"/>
      <c r="X3" s="1446" t="s">
        <v>1176</v>
      </c>
      <c r="Y3" s="1437" t="s">
        <v>1149</v>
      </c>
      <c r="Z3" s="1447"/>
      <c r="AA3" s="1437" t="s">
        <v>1177</v>
      </c>
      <c r="AB3" s="1448" t="s">
        <v>1177</v>
      </c>
      <c r="AC3" s="1437" t="s">
        <v>1178</v>
      </c>
      <c r="AD3" s="1448" t="s">
        <v>1178</v>
      </c>
      <c r="AF3" s="1439" t="s">
        <v>1175</v>
      </c>
      <c r="AH3" s="1438" t="s">
        <v>1179</v>
      </c>
      <c r="AI3" s="1438" t="s">
        <v>1180</v>
      </c>
      <c r="AK3" s="1438" t="s">
        <v>1181</v>
      </c>
      <c r="AM3" s="1438" t="s">
        <v>1182</v>
      </c>
      <c r="AP3" s="1449" t="s">
        <v>1183</v>
      </c>
      <c r="AQ3" s="1450" t="s">
        <v>1183</v>
      </c>
      <c r="AS3" s="1437" t="s">
        <v>1184</v>
      </c>
      <c r="AU3" s="1483" t="s">
        <v>1185</v>
      </c>
      <c r="AW3" s="1483" t="s">
        <v>1186</v>
      </c>
      <c r="AX3" s="1483" t="s">
        <v>1186</v>
      </c>
      <c r="AZ3" s="1483" t="s">
        <v>1187</v>
      </c>
      <c r="BB3" s="1483" t="s">
        <v>1188</v>
      </c>
      <c r="BC3" s="1483" t="s">
        <v>1160</v>
      </c>
      <c r="BE3" s="1483">
        <v>2001</v>
      </c>
      <c r="BF3" s="1483" t="s">
        <v>1189</v>
      </c>
      <c r="BH3" s="1429" t="s">
        <v>1190</v>
      </c>
      <c r="BJ3" s="1429" t="s">
        <v>1191</v>
      </c>
      <c r="BL3" s="1429" t="s">
        <v>1192</v>
      </c>
      <c r="BN3" s="1429" t="s">
        <v>1193</v>
      </c>
      <c r="BR3" s="1429" t="s">
        <v>1194</v>
      </c>
      <c r="BS3" s="1794"/>
      <c r="BT3" s="1432"/>
      <c r="BU3" s="1429" t="s">
        <v>1195</v>
      </c>
      <c r="BV3" s="1432"/>
      <c r="BW3" s="2056"/>
      <c r="BX3" s="2058" t="s">
        <v>1196</v>
      </c>
      <c r="CA3" s="1429" t="s">
        <v>1197</v>
      </c>
    </row>
    <row customHeight="1" ht="11.25">
      <c r="A4" s="1436" t="s">
        <v>1198</v>
      </c>
      <c r="B4" s="1437">
        <v>2002</v>
      </c>
      <c r="C4" s="1437">
        <v>2024</v>
      </c>
      <c r="E4" s="1438" t="s">
        <v>1199</v>
      </c>
      <c r="F4" s="1438" t="s">
        <v>1200</v>
      </c>
      <c r="H4" s="1439" t="s">
        <v>1201</v>
      </c>
      <c r="I4" s="1438" t="s">
        <v>87</v>
      </c>
      <c r="J4" s="1438" t="s">
        <v>1202</v>
      </c>
      <c r="K4" s="1440" t="s">
        <v>1203</v>
      </c>
      <c r="L4" s="1441">
        <f>_xlfn.IFERROR(MATCH(K4,OFFER_METHOD,0),0)</f>
        <v>0</v>
      </c>
      <c r="M4" s="1440">
        <v>3</v>
      </c>
      <c r="N4" s="1525" t="s">
        <v>1204</v>
      </c>
      <c r="O4" s="1438" t="s">
        <v>1205</v>
      </c>
      <c r="Q4" s="1443" t="s">
        <v>1206</v>
      </c>
      <c r="R4" s="505" t="s">
        <v>1207</v>
      </c>
      <c r="S4" s="505" t="s">
        <v>1208</v>
      </c>
      <c r="T4" s="1444" t="s">
        <v>1209</v>
      </c>
      <c r="U4" s="1441" t="s">
        <v>1210</v>
      </c>
      <c r="V4" s="1445">
        <v>3</v>
      </c>
      <c r="W4" s="1446"/>
      <c r="X4" s="1446" t="s">
        <v>1211</v>
      </c>
      <c r="Y4" s="1437" t="s">
        <v>1149</v>
      </c>
      <c r="Z4" s="1453"/>
      <c r="AC4" s="1437" t="s">
        <v>1212</v>
      </c>
      <c r="AD4" s="1448" t="s">
        <v>1212</v>
      </c>
      <c r="AF4" s="1439" t="s">
        <v>1210</v>
      </c>
      <c r="AH4" s="1439" t="s">
        <v>1213</v>
      </c>
      <c r="AK4" s="1438" t="s">
        <v>1214</v>
      </c>
      <c r="AM4" s="1438" t="s">
        <v>1215</v>
      </c>
      <c r="AP4" s="1449" t="s">
        <v>1176</v>
      </c>
      <c r="AQ4" s="1450" t="s">
        <v>1176</v>
      </c>
      <c r="AS4" s="1437" t="s">
        <v>1216</v>
      </c>
      <c r="AU4" s="1483" t="s">
        <v>1217</v>
      </c>
      <c r="AW4" s="1483" t="s">
        <v>1218</v>
      </c>
      <c r="AX4" s="1483" t="s">
        <v>1218</v>
      </c>
      <c r="AZ4" s="1483" t="s">
        <v>1219</v>
      </c>
      <c r="BB4" s="1483" t="s">
        <v>1220</v>
      </c>
      <c r="BC4" s="1483" t="s">
        <v>1221</v>
      </c>
      <c r="BE4" s="1483">
        <v>2002</v>
      </c>
      <c r="BF4" s="1483" t="s">
        <v>1222</v>
      </c>
      <c r="BH4" s="1430" t="s">
        <v>1223</v>
      </c>
      <c r="BJ4" s="1430" t="s">
        <v>1223</v>
      </c>
      <c r="BL4" s="1430" t="s">
        <v>1223</v>
      </c>
      <c r="BN4" s="1430" t="s">
        <v>1223</v>
      </c>
      <c r="BQ4" s="1798" t="s">
        <v>1224</v>
      </c>
      <c r="BR4" s="1522" t="s">
        <v>1225</v>
      </c>
      <c r="BS4" s="635"/>
      <c r="BT4" s="1798" t="s">
        <v>1226</v>
      </c>
      <c r="BU4" s="1522" t="s">
        <v>1227</v>
      </c>
      <c r="BV4" s="1432"/>
      <c r="BW4" s="2063" t="s">
        <v>1228</v>
      </c>
      <c r="BX4" s="2057" t="s">
        <v>1229</v>
      </c>
      <c r="BZ4" s="1798" t="s">
        <v>1230</v>
      </c>
      <c r="CA4" s="1522" t="s">
        <v>1231</v>
      </c>
    </row>
    <row customHeight="1" ht="11.25">
      <c r="A5" s="1436" t="s">
        <v>1232</v>
      </c>
      <c r="B5" s="1437">
        <v>2003</v>
      </c>
      <c r="C5" s="1437">
        <v>2025</v>
      </c>
      <c r="E5" s="1438" t="s">
        <v>1233</v>
      </c>
      <c r="F5" s="1438" t="s">
        <v>1234</v>
      </c>
      <c r="H5" s="1439" t="s">
        <v>1235</v>
      </c>
      <c r="I5" s="1438" t="s">
        <v>88</v>
      </c>
      <c r="K5" s="1440" t="s">
        <v>1236</v>
      </c>
      <c r="L5" s="1441">
        <f>_xlfn.IFERROR(MATCH(K5,OFFER_METHOD,0),0)</f>
        <v>0</v>
      </c>
      <c r="M5" s="1440">
        <v>4</v>
      </c>
      <c r="N5" s="1454" t="s">
        <v>1237</v>
      </c>
      <c r="O5" s="1438" t="s">
        <v>1238</v>
      </c>
      <c r="Q5" s="1443" t="s">
        <v>1239</v>
      </c>
      <c r="R5" s="505" t="s">
        <v>542</v>
      </c>
      <c r="T5" s="1439" t="s">
        <v>1240</v>
      </c>
      <c r="U5" s="1441" t="s">
        <v>1241</v>
      </c>
      <c r="V5" s="1445">
        <v>4</v>
      </c>
      <c r="W5" s="1446"/>
      <c r="X5" s="1446" t="s">
        <v>163</v>
      </c>
      <c r="Y5" s="1437" t="s">
        <v>1242</v>
      </c>
      <c r="Z5" s="1453">
        <v>1</v>
      </c>
      <c r="AF5" s="1439" t="s">
        <v>1243</v>
      </c>
      <c r="AH5" s="1438" t="s">
        <v>1244</v>
      </c>
      <c r="AK5" s="1438" t="s">
        <v>1245</v>
      </c>
      <c r="AM5" s="1438" t="s">
        <v>1246</v>
      </c>
      <c r="AP5" s="1449" t="s">
        <v>163</v>
      </c>
      <c r="AQ5" s="1450" t="s">
        <v>163</v>
      </c>
      <c r="AU5" s="1483" t="s">
        <v>1247</v>
      </c>
      <c r="AW5" s="1483" t="s">
        <v>1248</v>
      </c>
      <c r="AX5" s="1483" t="s">
        <v>1248</v>
      </c>
      <c r="AZ5" s="1483" t="s">
        <v>1249</v>
      </c>
      <c r="BB5" s="1483" t="s">
        <v>1250</v>
      </c>
      <c r="BC5" s="1483" t="s">
        <v>1251</v>
      </c>
      <c r="BE5" s="1483">
        <v>2003</v>
      </c>
      <c r="BF5" s="1483" t="s">
        <v>1252</v>
      </c>
      <c r="BH5" s="1430" t="s">
        <v>1253</v>
      </c>
      <c r="BJ5" s="1430" t="s">
        <v>1253</v>
      </c>
      <c r="BL5" s="1430" t="s">
        <v>1253</v>
      </c>
      <c r="BN5" s="1430" t="s">
        <v>1254</v>
      </c>
      <c r="BQ5" s="1647">
        <v>4213775</v>
      </c>
      <c r="BR5" s="1430" t="s">
        <v>1148</v>
      </c>
      <c r="BS5" s="1795"/>
      <c r="BT5" s="1647">
        <v>64236871</v>
      </c>
      <c r="BU5" s="1430" t="s">
        <v>224</v>
      </c>
      <c r="BV5" s="1432"/>
      <c r="BW5" s="2061">
        <v>4213767</v>
      </c>
      <c r="BX5" s="2059" t="s">
        <v>1255</v>
      </c>
      <c r="BZ5" s="1647">
        <v>64237509</v>
      </c>
      <c r="CA5" s="1661" t="s">
        <v>1256</v>
      </c>
    </row>
    <row customHeight="1" ht="11.25">
      <c r="A6" s="1436" t="s">
        <v>1257</v>
      </c>
      <c r="B6" s="1437">
        <v>2004</v>
      </c>
      <c r="C6" s="1437">
        <v>2026</v>
      </c>
      <c r="E6" s="1438" t="s">
        <v>1258</v>
      </c>
      <c r="F6" s="1455"/>
      <c r="H6" s="1439" t="s">
        <v>1259</v>
      </c>
      <c r="I6" s="1438" t="s">
        <v>108</v>
      </c>
      <c r="J6" s="1429" t="s">
        <v>1260</v>
      </c>
      <c r="L6" s="1441">
        <f>SUM(kind_of_control_method_filter)</f>
        <v>0</v>
      </c>
      <c r="N6" s="1454" t="s">
        <v>1261</v>
      </c>
      <c r="O6" s="1438" t="s">
        <v>1262</v>
      </c>
      <c r="R6" s="505" t="s">
        <v>1143</v>
      </c>
      <c r="T6" s="1439" t="s">
        <v>1263</v>
      </c>
      <c r="U6" s="1441" t="s">
        <v>1243</v>
      </c>
      <c r="V6" s="1445">
        <v>5</v>
      </c>
      <c r="W6" s="1446"/>
      <c r="X6" s="1437" t="s">
        <v>169</v>
      </c>
      <c r="Y6" s="1437" t="s">
        <v>1264</v>
      </c>
      <c r="Z6" s="1453"/>
      <c r="AA6" s="1456"/>
      <c r="AH6" s="1438" t="s">
        <v>1265</v>
      </c>
      <c r="AK6" s="1438" t="s">
        <v>1266</v>
      </c>
      <c r="AM6" s="1438" t="s">
        <v>1267</v>
      </c>
      <c r="AP6" s="1449" t="s">
        <v>169</v>
      </c>
      <c r="AQ6" s="1450" t="s">
        <v>169</v>
      </c>
      <c r="AU6" s="1483" t="s">
        <v>1268</v>
      </c>
      <c r="AW6" s="1483" t="s">
        <v>1269</v>
      </c>
      <c r="AX6" s="1483" t="s">
        <v>1269</v>
      </c>
      <c r="BB6" s="1483" t="s">
        <v>1270</v>
      </c>
      <c r="BC6" s="1483" t="s">
        <v>1251</v>
      </c>
      <c r="BE6" s="1483">
        <v>2004</v>
      </c>
      <c r="BF6" s="1483" t="s">
        <v>1271</v>
      </c>
      <c r="BH6" s="1430" t="s">
        <v>1272</v>
      </c>
      <c r="BJ6" s="1430" t="s">
        <v>1273</v>
      </c>
      <c r="BL6" s="1430" t="s">
        <v>1273</v>
      </c>
      <c r="BN6" s="1430" t="s">
        <v>1274</v>
      </c>
      <c r="BQ6" s="1647">
        <v>4213784</v>
      </c>
      <c r="BR6" s="1661" t="s">
        <v>1183</v>
      </c>
      <c r="BS6" s="1796"/>
      <c r="BT6" s="1647">
        <v>64236872</v>
      </c>
      <c r="BU6" s="1430" t="s">
        <v>229</v>
      </c>
      <c r="BV6" s="1432"/>
      <c r="BW6" s="2061">
        <v>4213768</v>
      </c>
      <c r="BX6" s="2059" t="s">
        <v>254</v>
      </c>
      <c r="BZ6" s="1647">
        <v>64237510</v>
      </c>
      <c r="CA6" s="1430" t="s">
        <v>1275</v>
      </c>
    </row>
    <row customHeight="1" ht="11.25">
      <c r="A7" s="1436" t="s">
        <v>1276</v>
      </c>
      <c r="B7" s="1437">
        <v>2005</v>
      </c>
      <c r="E7" s="1438" t="s">
        <v>1277</v>
      </c>
      <c r="F7" s="1455"/>
      <c r="H7" s="1439" t="s">
        <v>1278</v>
      </c>
      <c r="I7" s="1438" t="s">
        <v>89</v>
      </c>
      <c r="J7" s="1438" t="s">
        <v>1279</v>
      </c>
      <c r="N7" s="1458" t="s">
        <v>1280</v>
      </c>
      <c r="O7" s="1438" t="s">
        <v>1281</v>
      </c>
      <c r="U7" s="1441" t="s">
        <v>54</v>
      </c>
      <c r="V7" s="731" t="s">
        <v>89</v>
      </c>
      <c r="W7" s="1446"/>
      <c r="X7" s="1437" t="s">
        <v>175</v>
      </c>
      <c r="Y7" s="1437" t="s">
        <v>1242</v>
      </c>
      <c r="Z7" s="1453"/>
      <c r="AA7" s="1456"/>
      <c r="AH7" s="1438" t="s">
        <v>1282</v>
      </c>
      <c r="AK7" s="1438" t="s">
        <v>1283</v>
      </c>
      <c r="AM7" s="1438" t="s">
        <v>1284</v>
      </c>
      <c r="AP7" s="1449" t="s">
        <v>175</v>
      </c>
      <c r="AQ7" s="1450" t="s">
        <v>175</v>
      </c>
      <c r="AU7" s="1483" t="s">
        <v>1285</v>
      </c>
      <c r="AW7" s="1483" t="s">
        <v>1286</v>
      </c>
      <c r="AX7" s="1483" t="s">
        <v>1286</v>
      </c>
      <c r="AZ7" s="1429" t="s">
        <v>1287</v>
      </c>
      <c r="BB7" s="1483" t="s">
        <v>1288</v>
      </c>
      <c r="BC7" s="1483" t="s">
        <v>1251</v>
      </c>
      <c r="BE7" s="1483">
        <v>2005</v>
      </c>
      <c r="BF7" s="1483" t="s">
        <v>1289</v>
      </c>
      <c r="BH7" s="1430" t="s">
        <v>1290</v>
      </c>
      <c r="BJ7" s="1430" t="s">
        <v>1272</v>
      </c>
      <c r="BL7" s="1430" t="s">
        <v>1272</v>
      </c>
      <c r="BN7" s="1430" t="s">
        <v>1291</v>
      </c>
      <c r="BQ7" s="1647">
        <v>4213781</v>
      </c>
      <c r="BR7" s="1430" t="s">
        <v>1176</v>
      </c>
      <c r="BS7" s="1795"/>
      <c r="BT7" s="1647">
        <v>64236873</v>
      </c>
      <c r="BU7" s="1430" t="s">
        <v>234</v>
      </c>
      <c r="BV7" s="1432"/>
      <c r="BW7" s="2061">
        <v>4213769</v>
      </c>
      <c r="BX7" s="2059" t="s">
        <v>1292</v>
      </c>
      <c r="BZ7" s="1647">
        <v>64237511</v>
      </c>
      <c r="CA7" s="1430" t="s">
        <v>269</v>
      </c>
    </row>
    <row customHeight="1" ht="11.25">
      <c r="A8" s="1436" t="s">
        <v>1293</v>
      </c>
      <c r="B8" s="1437">
        <v>2006</v>
      </c>
      <c r="E8" s="1438" t="s">
        <v>1294</v>
      </c>
      <c r="F8" s="1455"/>
      <c r="H8" s="1439" t="s">
        <v>1295</v>
      </c>
      <c r="I8" s="1438" t="s">
        <v>90</v>
      </c>
      <c r="J8" s="1438" t="s">
        <v>1296</v>
      </c>
      <c r="N8" s="1526" t="s">
        <v>1297</v>
      </c>
      <c r="O8" s="1438" t="s">
        <v>1298</v>
      </c>
      <c r="V8" s="731" t="s">
        <v>90</v>
      </c>
      <c r="W8" s="1446"/>
      <c r="X8" s="1437" t="s">
        <v>181</v>
      </c>
      <c r="Y8" s="1437" t="s">
        <v>1242</v>
      </c>
      <c r="Z8" s="1453"/>
      <c r="AA8" s="1456"/>
      <c r="AK8" s="1438" t="s">
        <v>1299</v>
      </c>
      <c r="AP8" s="1449" t="s">
        <v>181</v>
      </c>
      <c r="AQ8" s="1450" t="s">
        <v>181</v>
      </c>
      <c r="AU8" s="1483" t="s">
        <v>1300</v>
      </c>
      <c r="AW8" s="1483" t="s">
        <v>1301</v>
      </c>
      <c r="AX8" s="1483" t="s">
        <v>1301</v>
      </c>
      <c r="AZ8" s="1483" t="s">
        <v>1302</v>
      </c>
      <c r="BB8" s="1483" t="s">
        <v>1303</v>
      </c>
      <c r="BC8" s="1483" t="s">
        <v>1251</v>
      </c>
      <c r="BE8" s="1483">
        <v>2006</v>
      </c>
      <c r="BF8" s="1483" t="s">
        <v>1304</v>
      </c>
      <c r="BH8" s="1430" t="s">
        <v>1305</v>
      </c>
      <c r="BJ8" s="1430" t="s">
        <v>1306</v>
      </c>
      <c r="BL8" s="1430" t="s">
        <v>1306</v>
      </c>
      <c r="BN8" s="1430" t="s">
        <v>1307</v>
      </c>
      <c r="BQ8" s="1647">
        <v>4213776</v>
      </c>
      <c r="BR8" s="1430" t="s">
        <v>163</v>
      </c>
      <c r="BS8" s="1795"/>
      <c r="BT8" s="1647">
        <v>64236874</v>
      </c>
      <c r="BU8" s="1661" t="s">
        <v>1308</v>
      </c>
      <c r="BV8" s="1432"/>
      <c r="BW8" s="2061">
        <v>4213770</v>
      </c>
      <c r="BX8" s="2062" t="s">
        <v>1309</v>
      </c>
      <c r="BZ8" s="1647">
        <v>64237512</v>
      </c>
      <c r="CA8" s="1430" t="s">
        <v>264</v>
      </c>
    </row>
    <row customHeight="1" ht="11.25">
      <c r="A9" s="1436" t="s">
        <v>1310</v>
      </c>
      <c r="B9" s="1437">
        <v>2007</v>
      </c>
      <c r="E9" s="1438" t="s">
        <v>1311</v>
      </c>
      <c r="F9" s="1455"/>
      <c r="G9" s="1429" t="s">
        <v>1312</v>
      </c>
      <c r="H9" s="1429" t="s">
        <v>1313</v>
      </c>
      <c r="I9" s="1438" t="s">
        <v>109</v>
      </c>
      <c r="O9" s="1438" t="s">
        <v>1314</v>
      </c>
      <c r="V9" s="731" t="s">
        <v>109</v>
      </c>
      <c r="W9" s="1446"/>
      <c r="X9" s="1437" t="s">
        <v>187</v>
      </c>
      <c r="Y9" s="1437" t="s">
        <v>1149</v>
      </c>
      <c r="Z9" s="1453">
        <v>1</v>
      </c>
      <c r="AA9" s="1456"/>
      <c r="AK9" s="1438" t="s">
        <v>1315</v>
      </c>
      <c r="AP9" s="1449" t="s">
        <v>1316</v>
      </c>
      <c r="AQ9" s="1450" t="s">
        <v>1316</v>
      </c>
      <c r="AW9" s="1483" t="s">
        <v>1317</v>
      </c>
      <c r="AX9" s="1483" t="s">
        <v>1317</v>
      </c>
      <c r="AZ9" s="1483" t="s">
        <v>1318</v>
      </c>
      <c r="BB9" s="1483" t="s">
        <v>1319</v>
      </c>
      <c r="BC9" s="1483" t="s">
        <v>1251</v>
      </c>
      <c r="BE9" s="1483">
        <v>2007</v>
      </c>
      <c r="BF9" s="1483" t="s">
        <v>1320</v>
      </c>
      <c r="BH9" s="1430" t="s">
        <v>1321</v>
      </c>
      <c r="BJ9" s="1430" t="s">
        <v>1322</v>
      </c>
      <c r="BL9" s="1430" t="s">
        <v>1322</v>
      </c>
      <c r="BN9" s="1430" t="s">
        <v>1323</v>
      </c>
      <c r="BQ9" s="1647">
        <v>4213777</v>
      </c>
      <c r="BR9" s="1430" t="s">
        <v>169</v>
      </c>
      <c r="BS9" s="1795"/>
      <c r="BT9" s="1647">
        <v>64236875</v>
      </c>
      <c r="BU9" s="1430" t="s">
        <v>239</v>
      </c>
      <c r="BV9" s="1432"/>
      <c r="BW9" s="2056"/>
      <c r="BX9" s="2056"/>
    </row>
    <row customHeight="1" ht="11.25">
      <c r="A10" s="1436" t="s">
        <v>1324</v>
      </c>
      <c r="B10" s="1437">
        <v>2008</v>
      </c>
      <c r="E10" s="1438" t="s">
        <v>1325</v>
      </c>
      <c r="F10" s="1455"/>
      <c r="G10" s="1438" t="s">
        <v>1326</v>
      </c>
      <c r="H10" s="1438" t="s">
        <v>1327</v>
      </c>
      <c r="I10" s="1438" t="s">
        <v>145</v>
      </c>
      <c r="J10" s="1429" t="s">
        <v>1328</v>
      </c>
      <c r="K10" s="1429" t="s">
        <v>1329</v>
      </c>
      <c r="O10" s="1438" t="s">
        <v>1330</v>
      </c>
      <c r="V10" s="732" t="s">
        <v>145</v>
      </c>
      <c r="W10" s="1459"/>
      <c r="X10" s="1459" t="s">
        <v>199</v>
      </c>
      <c r="Y10" s="1460" t="s">
        <v>1331</v>
      </c>
      <c r="Z10" s="1453"/>
      <c r="AP10" s="1449" t="s">
        <v>199</v>
      </c>
      <c r="AQ10" s="1450" t="s">
        <v>199</v>
      </c>
      <c r="AW10" s="1483" t="s">
        <v>1332</v>
      </c>
      <c r="AX10" s="1483" t="s">
        <v>1332</v>
      </c>
      <c r="AZ10" s="1483" t="s">
        <v>1333</v>
      </c>
      <c r="BB10" s="1483" t="s">
        <v>1334</v>
      </c>
      <c r="BC10" s="1483" t="s">
        <v>1251</v>
      </c>
      <c r="BE10" s="1483">
        <v>2008</v>
      </c>
      <c r="BF10" s="1483" t="s">
        <v>1335</v>
      </c>
      <c r="BH10" s="1430" t="s">
        <v>1336</v>
      </c>
      <c r="BJ10" s="1430" t="s">
        <v>1337</v>
      </c>
      <c r="BL10" s="1430" t="s">
        <v>1337</v>
      </c>
      <c r="BN10" s="1430" t="s">
        <v>1338</v>
      </c>
      <c r="BQ10" s="1647">
        <v>4213778</v>
      </c>
      <c r="BR10" s="1430" t="s">
        <v>175</v>
      </c>
      <c r="BS10" s="1795"/>
      <c r="BT10" s="1647">
        <v>64236876</v>
      </c>
      <c r="BU10" s="1430" t="s">
        <v>219</v>
      </c>
      <c r="BV10" s="1432"/>
      <c r="BW10" s="2056"/>
      <c r="BX10" s="2056"/>
    </row>
    <row customHeight="1" ht="11.25">
      <c r="A11" s="1436" t="s">
        <v>1339</v>
      </c>
      <c r="B11" s="1437">
        <v>2009</v>
      </c>
      <c r="E11" s="1438" t="s">
        <v>1340</v>
      </c>
      <c r="F11" s="1455"/>
      <c r="G11" s="1438" t="s">
        <v>1341</v>
      </c>
      <c r="H11" s="1438" t="s">
        <v>1342</v>
      </c>
      <c r="I11" s="1438" t="s">
        <v>146</v>
      </c>
      <c r="J11" s="1439" t="s">
        <v>1343</v>
      </c>
      <c r="K11" s="1461" t="s">
        <v>1344</v>
      </c>
      <c r="O11" s="1439" t="s">
        <v>1345</v>
      </c>
      <c r="V11" s="731" t="s">
        <v>146</v>
      </c>
      <c r="W11" s="636"/>
      <c r="X11" s="1446" t="s">
        <v>1316</v>
      </c>
      <c r="Y11" s="1437" t="s">
        <v>1346</v>
      </c>
      <c r="Z11" s="1453"/>
      <c r="AP11" s="1449" t="s">
        <v>187</v>
      </c>
      <c r="AQ11" s="1451" t="s">
        <v>187</v>
      </c>
      <c r="AW11" s="1483" t="s">
        <v>1347</v>
      </c>
      <c r="AX11" s="1483" t="s">
        <v>1347</v>
      </c>
      <c r="AZ11" s="1483" t="s">
        <v>1348</v>
      </c>
      <c r="BB11" s="1483" t="s">
        <v>1349</v>
      </c>
      <c r="BC11" s="1483" t="s">
        <v>1251</v>
      </c>
      <c r="BE11" s="1483">
        <v>2009</v>
      </c>
      <c r="BF11" s="1483" t="s">
        <v>1350</v>
      </c>
      <c r="BH11" s="1430" t="s">
        <v>1351</v>
      </c>
      <c r="BJ11" s="1430" t="s">
        <v>1321</v>
      </c>
      <c r="BL11" s="1430" t="s">
        <v>1321</v>
      </c>
      <c r="BN11" s="1430" t="s">
        <v>1352</v>
      </c>
      <c r="BQ11" s="1647">
        <v>4213780</v>
      </c>
      <c r="BR11" s="1430" t="s">
        <v>181</v>
      </c>
      <c r="BS11" s="1795"/>
      <c r="BW11" s="2056"/>
      <c r="BX11" s="2056"/>
    </row>
    <row customHeight="1" ht="11.25">
      <c r="A12" s="1436" t="s">
        <v>1353</v>
      </c>
      <c r="B12" s="1437">
        <v>2010</v>
      </c>
      <c r="E12" s="1438" t="s">
        <v>1354</v>
      </c>
      <c r="F12" s="1455"/>
      <c r="G12" s="1438" t="s">
        <v>1342</v>
      </c>
      <c r="I12" s="1438" t="s">
        <v>147</v>
      </c>
      <c r="J12" s="1439" t="s">
        <v>1355</v>
      </c>
      <c r="K12" s="1461" t="s">
        <v>1356</v>
      </c>
      <c r="O12" s="1439" t="s">
        <v>1143</v>
      </c>
      <c r="V12" s="731" t="s">
        <v>147</v>
      </c>
      <c r="W12" s="1451"/>
      <c r="X12" s="1446" t="s">
        <v>1357</v>
      </c>
      <c r="Y12" s="1437" t="s">
        <v>1149</v>
      </c>
      <c r="AP12" s="1449"/>
      <c r="AW12" s="1483" t="s">
        <v>146</v>
      </c>
      <c r="AX12" s="1483" t="s">
        <v>146</v>
      </c>
      <c r="AZ12" s="1483" t="s">
        <v>1358</v>
      </c>
      <c r="BB12" s="1483" t="s">
        <v>1359</v>
      </c>
      <c r="BC12" s="1483" t="s">
        <v>1251</v>
      </c>
      <c r="BE12" s="1483">
        <v>2010</v>
      </c>
      <c r="BF12" s="1483" t="s">
        <v>1360</v>
      </c>
      <c r="BH12" s="1430" t="s">
        <v>1361</v>
      </c>
      <c r="BJ12" s="1430" t="s">
        <v>1362</v>
      </c>
      <c r="BL12" s="1430" t="s">
        <v>1362</v>
      </c>
      <c r="BN12" s="1430" t="s">
        <v>1363</v>
      </c>
      <c r="BQ12" s="1647">
        <v>4213779</v>
      </c>
      <c r="BR12" s="1430" t="s">
        <v>1316</v>
      </c>
      <c r="BS12" s="1795"/>
      <c r="BT12" s="1432"/>
      <c r="BU12" s="1432"/>
      <c r="BV12" s="1432"/>
      <c r="BW12" s="2056"/>
      <c r="BX12" s="2056"/>
    </row>
    <row customHeight="1" ht="11.25">
      <c r="A13" s="1436" t="s">
        <v>1364</v>
      </c>
      <c r="B13" s="1437">
        <v>2011</v>
      </c>
      <c r="E13" s="1438" t="s">
        <v>1365</v>
      </c>
      <c r="F13" s="1455"/>
      <c r="I13" s="1438" t="s">
        <v>148</v>
      </c>
      <c r="K13" s="1461" t="s">
        <v>1315</v>
      </c>
      <c r="V13" s="731" t="s">
        <v>148</v>
      </c>
      <c r="W13" s="1451"/>
      <c r="X13" s="1451"/>
      <c r="Y13" s="1451"/>
      <c r="AW13" s="1483" t="s">
        <v>147</v>
      </c>
      <c r="AX13" s="1483" t="s">
        <v>147</v>
      </c>
      <c r="BB13" s="1483" t="s">
        <v>1366</v>
      </c>
      <c r="BC13" s="1483" t="s">
        <v>1367</v>
      </c>
      <c r="BE13" s="1483">
        <v>2011</v>
      </c>
      <c r="BF13" s="1483" t="s">
        <v>1368</v>
      </c>
      <c r="BH13" s="1430" t="s">
        <v>1369</v>
      </c>
      <c r="BJ13" s="1430" t="s">
        <v>1351</v>
      </c>
      <c r="BL13" s="1430" t="s">
        <v>1351</v>
      </c>
      <c r="BN13" s="1430" t="s">
        <v>1370</v>
      </c>
      <c r="BQ13" s="1647">
        <v>4213783</v>
      </c>
      <c r="BR13" s="1430" t="s">
        <v>199</v>
      </c>
      <c r="BS13" s="1795"/>
      <c r="BT13" s="1432"/>
      <c r="BU13" s="1432"/>
      <c r="BV13" s="1432"/>
      <c r="BW13" s="2060"/>
      <c r="BX13" s="2056"/>
    </row>
    <row customHeight="1" ht="11.25">
      <c r="A14" s="1436" t="s">
        <v>1371</v>
      </c>
      <c r="B14" s="1437">
        <v>2012</v>
      </c>
      <c r="I14" s="1438" t="s">
        <v>149</v>
      </c>
      <c r="J14" s="1429" t="s">
        <v>1372</v>
      </c>
      <c r="N14" s="1429" t="s">
        <v>1373</v>
      </c>
      <c r="V14" s="1445">
        <v>13</v>
      </c>
      <c r="W14" s="1446"/>
      <c r="X14" s="1446" t="s">
        <v>1183</v>
      </c>
      <c r="Y14" s="1437" t="s">
        <v>1149</v>
      </c>
      <c r="AW14" s="1483" t="s">
        <v>148</v>
      </c>
      <c r="AX14" s="1483" t="s">
        <v>148</v>
      </c>
      <c r="AZ14" s="1429" t="s">
        <v>1374</v>
      </c>
      <c r="BB14" s="1483" t="s">
        <v>1375</v>
      </c>
      <c r="BC14" s="1483" t="s">
        <v>1367</v>
      </c>
      <c r="BE14" s="1483">
        <v>2012</v>
      </c>
      <c r="BH14" s="1430" t="s">
        <v>1291</v>
      </c>
      <c r="BJ14" s="1582" t="s">
        <v>1376</v>
      </c>
      <c r="BL14" s="1582" t="s">
        <v>1376</v>
      </c>
      <c r="BN14" s="1430" t="s">
        <v>1377</v>
      </c>
      <c r="BQ14" s="1647">
        <v>4213782</v>
      </c>
      <c r="BR14" s="1430" t="s">
        <v>187</v>
      </c>
      <c r="BS14" s="1795"/>
      <c r="BT14" s="1432"/>
      <c r="BU14" s="1432"/>
      <c r="BV14" s="1432"/>
      <c r="BW14" s="2060"/>
      <c r="BX14" s="2056"/>
    </row>
    <row customHeight="1" ht="19.5">
      <c r="A15" s="1436" t="s">
        <v>1378</v>
      </c>
      <c r="B15" s="1437">
        <v>2013</v>
      </c>
      <c r="E15" s="2064" t="s">
        <v>1379</v>
      </c>
      <c r="G15" s="1429" t="s">
        <v>1380</v>
      </c>
      <c r="H15" s="1429" t="s">
        <v>1381</v>
      </c>
      <c r="I15" s="1440" t="s">
        <v>150</v>
      </c>
      <c r="J15" s="1451" t="s">
        <v>583</v>
      </c>
      <c r="N15" s="1521" t="s">
        <v>1382</v>
      </c>
      <c r="X15" s="1449"/>
      <c r="AW15" s="1483" t="s">
        <v>149</v>
      </c>
      <c r="AX15" s="1483" t="s">
        <v>149</v>
      </c>
      <c r="AZ15" s="1483" t="s">
        <v>1302</v>
      </c>
      <c r="BB15" s="1483" t="s">
        <v>1383</v>
      </c>
      <c r="BC15" s="1483" t="s">
        <v>1367</v>
      </c>
      <c r="BE15" s="1483">
        <v>2013</v>
      </c>
      <c r="BH15" s="1430" t="s">
        <v>1307</v>
      </c>
      <c r="BJ15" s="1582" t="s">
        <v>1384</v>
      </c>
      <c r="BL15" s="1582" t="s">
        <v>1384</v>
      </c>
      <c r="BN15" s="1430" t="s">
        <v>1385</v>
      </c>
      <c r="BR15" s="1432"/>
      <c r="BS15" s="1797"/>
      <c r="BT15" s="1432"/>
      <c r="BU15" s="1432"/>
      <c r="BV15" s="1432"/>
      <c r="BW15" s="2060"/>
      <c r="BX15" s="2056"/>
    </row>
    <row customHeight="1" ht="21">
      <c r="A16" s="2237" t="s">
        <v>1386</v>
      </c>
      <c r="B16" s="1437">
        <v>2014</v>
      </c>
      <c r="E16" s="2065" t="s">
        <v>1387</v>
      </c>
      <c r="G16" s="1438" t="s">
        <v>1388</v>
      </c>
      <c r="H16" s="1438" t="s">
        <v>1389</v>
      </c>
      <c r="I16" s="1440" t="s">
        <v>1390</v>
      </c>
      <c r="J16" s="1451" t="s">
        <v>556</v>
      </c>
      <c r="N16" s="1521" t="s">
        <v>1391</v>
      </c>
      <c r="AW16" s="1483" t="s">
        <v>150</v>
      </c>
      <c r="AX16" s="1483" t="s">
        <v>150</v>
      </c>
      <c r="AZ16" s="1483" t="s">
        <v>1318</v>
      </c>
      <c r="BB16" s="1483" t="s">
        <v>1392</v>
      </c>
      <c r="BC16" s="1483" t="s">
        <v>1367</v>
      </c>
      <c r="BE16" s="1483">
        <v>2014</v>
      </c>
      <c r="BH16" s="1430" t="s">
        <v>1323</v>
      </c>
      <c r="BJ16" s="1582" t="s">
        <v>1393</v>
      </c>
      <c r="BL16" s="1582" t="s">
        <v>1393</v>
      </c>
      <c r="BN16" s="1430" t="s">
        <v>1394</v>
      </c>
      <c r="BR16" s="1432"/>
      <c r="BS16" s="1797"/>
      <c r="BT16" s="1432"/>
      <c r="BU16" s="1432"/>
      <c r="BV16" s="1432"/>
      <c r="BW16" s="2060"/>
      <c r="BX16" s="2056"/>
    </row>
    <row customHeight="1" ht="21">
      <c r="A17" s="1436" t="s">
        <v>1395</v>
      </c>
      <c r="B17" s="1437">
        <v>2015</v>
      </c>
      <c r="G17" s="1438" t="s">
        <v>1342</v>
      </c>
      <c r="H17" s="1438" t="s">
        <v>1342</v>
      </c>
      <c r="I17" s="1438" t="s">
        <v>1396</v>
      </c>
      <c r="N17" s="1521" t="s">
        <v>1397</v>
      </c>
      <c r="X17" s="1449"/>
      <c r="AW17" s="1483" t="s">
        <v>1390</v>
      </c>
      <c r="AX17" s="1483" t="s">
        <v>1390</v>
      </c>
      <c r="AZ17" s="1483" t="s">
        <v>1398</v>
      </c>
      <c r="BB17" s="1483" t="s">
        <v>1399</v>
      </c>
      <c r="BC17" s="1483" t="s">
        <v>1251</v>
      </c>
      <c r="BE17" s="1483">
        <v>2015</v>
      </c>
      <c r="BH17" s="1430" t="s">
        <v>1338</v>
      </c>
      <c r="BJ17" s="1582" t="s">
        <v>1400</v>
      </c>
      <c r="BL17" s="1582" t="s">
        <v>1400</v>
      </c>
      <c r="BN17" s="1430" t="s">
        <v>1401</v>
      </c>
      <c r="BR17" s="1429" t="s">
        <v>1194</v>
      </c>
      <c r="BS17" s="1794"/>
      <c r="BU17" s="1429" t="s">
        <v>1402</v>
      </c>
      <c r="BV17" s="1432"/>
      <c r="BW17" s="2056"/>
      <c r="BX17" s="2058" t="s">
        <v>1403</v>
      </c>
      <c r="CA17" s="1429" t="s">
        <v>1404</v>
      </c>
      <c r="CD17" s="1429" t="s">
        <v>1405</v>
      </c>
    </row>
    <row customHeight="1" ht="21">
      <c r="A18" s="1436" t="s">
        <v>1406</v>
      </c>
      <c r="B18" s="1437">
        <v>2016</v>
      </c>
      <c r="I18" s="1438" t="s">
        <v>1407</v>
      </c>
      <c r="N18" s="1521" t="s">
        <v>1408</v>
      </c>
      <c r="X18" s="1449"/>
      <c r="AW18" s="1483" t="s">
        <v>1396</v>
      </c>
      <c r="AX18" s="1483" t="s">
        <v>1396</v>
      </c>
      <c r="BB18" s="1483" t="s">
        <v>1409</v>
      </c>
      <c r="BC18" s="1483" t="s">
        <v>1251</v>
      </c>
      <c r="BE18" s="1483">
        <v>2016</v>
      </c>
      <c r="BH18" s="1430" t="s">
        <v>1352</v>
      </c>
      <c r="BJ18" s="1582" t="s">
        <v>1410</v>
      </c>
      <c r="BL18" s="1582" t="s">
        <v>1410</v>
      </c>
      <c r="BN18" s="1430" t="s">
        <v>1411</v>
      </c>
      <c r="BQ18" s="1798" t="s">
        <v>1224</v>
      </c>
      <c r="BR18" s="1522" t="s">
        <v>1225</v>
      </c>
      <c r="BS18" s="635"/>
      <c r="BT18" s="1798" t="s">
        <v>1412</v>
      </c>
      <c r="BU18" s="1522" t="s">
        <v>1413</v>
      </c>
      <c r="BV18" s="1432"/>
      <c r="BW18" s="2063" t="s">
        <v>1414</v>
      </c>
      <c r="BX18" s="2057" t="s">
        <v>1415</v>
      </c>
      <c r="BZ18" s="1798" t="s">
        <v>1416</v>
      </c>
      <c r="CA18" s="1522" t="s">
        <v>1417</v>
      </c>
      <c r="CC18" s="1798" t="s">
        <v>1418</v>
      </c>
      <c r="CD18" s="1522" t="s">
        <v>1419</v>
      </c>
    </row>
    <row customHeight="1" ht="21">
      <c r="A19" s="2237" t="s">
        <v>1420</v>
      </c>
      <c r="B19" s="1437">
        <v>2017</v>
      </c>
      <c r="I19" s="1438" t="s">
        <v>1421</v>
      </c>
      <c r="N19" s="1521" t="s">
        <v>1422</v>
      </c>
      <c r="X19" s="1449"/>
      <c r="AW19" s="1483" t="s">
        <v>1407</v>
      </c>
      <c r="AX19" s="1483" t="s">
        <v>1407</v>
      </c>
      <c r="AZ19" s="1429" t="s">
        <v>1423</v>
      </c>
      <c r="BB19" s="1483" t="s">
        <v>1424</v>
      </c>
      <c r="BC19" s="1483" t="s">
        <v>1251</v>
      </c>
      <c r="BE19" s="1483">
        <v>2017</v>
      </c>
      <c r="BH19" s="1430" t="s">
        <v>1425</v>
      </c>
      <c r="BJ19" s="1582" t="s">
        <v>1426</v>
      </c>
      <c r="BL19" s="1582" t="s">
        <v>1426</v>
      </c>
      <c r="BQ19" s="1647">
        <v>4190064</v>
      </c>
      <c r="BR19" s="1430" t="s">
        <v>1427</v>
      </c>
      <c r="BS19" s="1795"/>
      <c r="BT19" s="1647">
        <v>4189671</v>
      </c>
      <c r="BU19" s="1430" t="s">
        <v>1428</v>
      </c>
      <c r="BV19" s="1432"/>
      <c r="BW19" s="2061">
        <v>4189706</v>
      </c>
      <c r="BX19" s="2059" t="s">
        <v>1429</v>
      </c>
      <c r="BZ19" s="1647">
        <v>4189714</v>
      </c>
      <c r="CA19" s="1430" t="s">
        <v>1430</v>
      </c>
      <c r="CC19" s="1647">
        <v>4189708</v>
      </c>
      <c r="CD19" s="1430" t="s">
        <v>1431</v>
      </c>
    </row>
    <row customHeight="1" ht="21">
      <c r="A20" s="1436" t="s">
        <v>1432</v>
      </c>
      <c r="B20" s="1437">
        <v>2018</v>
      </c>
      <c r="I20" s="1438" t="s">
        <v>1433</v>
      </c>
      <c r="N20" s="1521" t="s">
        <v>1434</v>
      </c>
      <c r="AW20" s="1483" t="s">
        <v>1421</v>
      </c>
      <c r="AX20" s="1483" t="s">
        <v>1421</v>
      </c>
      <c r="AZ20" s="1483" t="s">
        <v>1435</v>
      </c>
      <c r="BB20" s="1483" t="s">
        <v>1436</v>
      </c>
      <c r="BC20" s="1483" t="s">
        <v>1367</v>
      </c>
      <c r="BE20" s="1483">
        <v>2018</v>
      </c>
      <c r="BH20" s="1430" t="s">
        <v>1363</v>
      </c>
      <c r="BJ20" s="1430" t="s">
        <v>1291</v>
      </c>
      <c r="BL20" s="1430" t="s">
        <v>1291</v>
      </c>
      <c r="BQ20" s="1647">
        <v>4190065</v>
      </c>
      <c r="BR20" s="1430" t="s">
        <v>1437</v>
      </c>
      <c r="BS20" s="1795"/>
      <c r="BT20" s="1647">
        <v>4189672</v>
      </c>
      <c r="BU20" s="1430" t="s">
        <v>1438</v>
      </c>
      <c r="BV20" s="1432"/>
      <c r="BW20" s="2061">
        <v>4189705</v>
      </c>
      <c r="BX20" s="2059" t="s">
        <v>1439</v>
      </c>
      <c r="BZ20" s="1647">
        <v>4189713</v>
      </c>
      <c r="CA20" s="1430" t="s">
        <v>1439</v>
      </c>
      <c r="CC20" s="1647">
        <v>4189709</v>
      </c>
      <c r="CD20" s="1430" t="s">
        <v>1440</v>
      </c>
    </row>
    <row customHeight="1" ht="21">
      <c r="A21" s="1436" t="s">
        <v>1441</v>
      </c>
      <c r="B21" s="1437">
        <v>2019</v>
      </c>
      <c r="I21" s="1438" t="s">
        <v>1442</v>
      </c>
      <c r="N21" s="1521" t="s">
        <v>1443</v>
      </c>
      <c r="AW21" s="1483" t="s">
        <v>1433</v>
      </c>
      <c r="AX21" s="1483" t="s">
        <v>1433</v>
      </c>
      <c r="AZ21" s="1483" t="s">
        <v>1444</v>
      </c>
      <c r="BB21" s="1483" t="s">
        <v>1445</v>
      </c>
      <c r="BC21" s="1483" t="s">
        <v>1251</v>
      </c>
      <c r="BE21" s="1483">
        <v>2019</v>
      </c>
      <c r="BH21" s="1430" t="s">
        <v>1370</v>
      </c>
      <c r="BJ21" s="1430" t="s">
        <v>1307</v>
      </c>
      <c r="BL21" s="1430" t="s">
        <v>1307</v>
      </c>
      <c r="BQ21" s="1647">
        <v>4190066</v>
      </c>
      <c r="BR21" s="1430" t="s">
        <v>1446</v>
      </c>
      <c r="BS21" s="1795"/>
      <c r="BT21" s="1647">
        <v>4189673</v>
      </c>
      <c r="BU21" s="1430" t="s">
        <v>1447</v>
      </c>
      <c r="BV21" s="1432"/>
      <c r="BW21" s="2061">
        <v>4189707</v>
      </c>
      <c r="BX21" s="2059" t="s">
        <v>1448</v>
      </c>
      <c r="BZ21" s="1647">
        <v>4189712</v>
      </c>
      <c r="CA21" s="1430" t="s">
        <v>1449</v>
      </c>
      <c r="CC21" s="1647">
        <v>4189710</v>
      </c>
      <c r="CD21" s="1430" t="s">
        <v>1450</v>
      </c>
    </row>
    <row customHeight="1" ht="21">
      <c r="A22" s="1436" t="s">
        <v>1451</v>
      </c>
      <c r="B22" s="1437">
        <v>2020</v>
      </c>
      <c r="N22" s="1521" t="s">
        <v>1452</v>
      </c>
      <c r="AW22" s="1483" t="s">
        <v>1442</v>
      </c>
      <c r="AX22" s="1483" t="s">
        <v>1442</v>
      </c>
      <c r="AZ22" s="1483" t="s">
        <v>1453</v>
      </c>
      <c r="BB22" s="1483" t="s">
        <v>1454</v>
      </c>
      <c r="BC22" s="1483" t="s">
        <v>1251</v>
      </c>
      <c r="BE22" s="1483">
        <v>2020</v>
      </c>
      <c r="BH22" s="1430" t="s">
        <v>1377</v>
      </c>
      <c r="BJ22" s="1430" t="s">
        <v>1323</v>
      </c>
      <c r="BL22" s="1430" t="s">
        <v>1323</v>
      </c>
      <c r="BQ22" s="1647">
        <v>4190067</v>
      </c>
      <c r="BR22" s="1430" t="s">
        <v>1455</v>
      </c>
      <c r="BS22" s="1795"/>
      <c r="BT22" s="1647">
        <v>4189674</v>
      </c>
      <c r="BU22" s="1430" t="s">
        <v>1456</v>
      </c>
      <c r="BV22" s="1432"/>
      <c r="BW22" s="1432"/>
      <c r="CC22" s="1647">
        <v>4189711</v>
      </c>
      <c r="CD22" s="1430" t="s">
        <v>293</v>
      </c>
    </row>
    <row customHeight="1" ht="21">
      <c r="A23" s="1436" t="s">
        <v>1457</v>
      </c>
      <c r="B23" s="1437">
        <v>2021</v>
      </c>
      <c r="AW23" s="1483" t="s">
        <v>1458</v>
      </c>
      <c r="AX23" s="1483" t="s">
        <v>1458</v>
      </c>
      <c r="AZ23" s="1483" t="s">
        <v>1459</v>
      </c>
      <c r="BB23" s="1483" t="s">
        <v>1460</v>
      </c>
      <c r="BC23" s="1483" t="s">
        <v>1160</v>
      </c>
      <c r="BE23" s="1483">
        <v>2021</v>
      </c>
      <c r="BH23" s="1430" t="s">
        <v>1385</v>
      </c>
      <c r="BJ23" s="1430" t="s">
        <v>1338</v>
      </c>
      <c r="BL23" s="1430" t="s">
        <v>1338</v>
      </c>
      <c r="BQ23" s="1647">
        <v>4190068</v>
      </c>
      <c r="BR23" s="1430" t="s">
        <v>1461</v>
      </c>
      <c r="BS23" s="1795"/>
      <c r="BT23" s="1647">
        <v>4189675</v>
      </c>
      <c r="BU23" s="1430" t="s">
        <v>1462</v>
      </c>
      <c r="BV23" s="1432"/>
      <c r="BW23" s="1432"/>
      <c r="CC23" s="1647">
        <v>5110778</v>
      </c>
      <c r="CD23" s="1430" t="s">
        <v>1463</v>
      </c>
    </row>
    <row customHeight="1" ht="21">
      <c r="A24" s="1436" t="s">
        <v>1464</v>
      </c>
      <c r="B24" s="1437">
        <v>2022</v>
      </c>
      <c r="AW24" s="1483" t="s">
        <v>1465</v>
      </c>
      <c r="AX24" s="1483" t="s">
        <v>1465</v>
      </c>
      <c r="AZ24" s="1483" t="s">
        <v>1466</v>
      </c>
      <c r="BB24" s="1483" t="s">
        <v>1467</v>
      </c>
      <c r="BC24" s="1483" t="s">
        <v>1468</v>
      </c>
      <c r="BE24" s="1483">
        <v>2022</v>
      </c>
      <c r="BH24" s="1430" t="s">
        <v>1394</v>
      </c>
      <c r="BJ24" s="1430" t="s">
        <v>1352</v>
      </c>
      <c r="BL24" s="1430" t="s">
        <v>1352</v>
      </c>
      <c r="BQ24" s="1647">
        <v>4190069</v>
      </c>
      <c r="BR24" s="1430" t="s">
        <v>1469</v>
      </c>
      <c r="BS24" s="1795"/>
      <c r="BT24" s="1647">
        <v>4189676</v>
      </c>
      <c r="BU24" s="1430" t="s">
        <v>1470</v>
      </c>
      <c r="BV24" s="1432"/>
      <c r="BW24" s="1432"/>
      <c r="CC24" s="1647">
        <v>25575374</v>
      </c>
      <c r="CD24" s="1430" t="s">
        <v>1471</v>
      </c>
    </row>
    <row customHeight="1" ht="11.25">
      <c r="A25" s="1436" t="s">
        <v>1472</v>
      </c>
      <c r="B25" s="1437">
        <v>2023</v>
      </c>
      <c r="AW25" s="1483" t="s">
        <v>1473</v>
      </c>
      <c r="AX25" s="1483" t="s">
        <v>1473</v>
      </c>
      <c r="AZ25" s="1483" t="s">
        <v>1474</v>
      </c>
      <c r="BB25" s="1483" t="s">
        <v>1475</v>
      </c>
      <c r="BC25" s="1483" t="s">
        <v>1468</v>
      </c>
      <c r="BE25" s="1483">
        <v>2023</v>
      </c>
      <c r="BH25" s="1430" t="s">
        <v>1401</v>
      </c>
      <c r="BJ25" s="1430" t="s">
        <v>1425</v>
      </c>
      <c r="BL25" s="1430" t="s">
        <v>1425</v>
      </c>
      <c r="BQ25" s="1647">
        <v>4190070</v>
      </c>
      <c r="BR25" s="1430" t="s">
        <v>1476</v>
      </c>
      <c r="BS25" s="1795"/>
      <c r="BT25" s="1647">
        <v>4189677</v>
      </c>
      <c r="BU25" s="1430" t="s">
        <v>1477</v>
      </c>
      <c r="BV25" s="1432"/>
      <c r="BW25" s="1432"/>
    </row>
    <row customHeight="1" ht="11.25">
      <c r="A26" s="1436" t="s">
        <v>1478</v>
      </c>
      <c r="B26" s="1437">
        <v>2024</v>
      </c>
      <c r="J26" s="2097" t="s">
        <v>1479</v>
      </c>
      <c r="AX26" s="1483" t="s">
        <v>1480</v>
      </c>
      <c r="AZ26" s="1483" t="s">
        <v>1345</v>
      </c>
      <c r="BB26" s="1483" t="s">
        <v>1481</v>
      </c>
      <c r="BC26" s="1483" t="s">
        <v>1468</v>
      </c>
      <c r="BE26" s="1483">
        <v>2024</v>
      </c>
      <c r="BH26" s="1430" t="s">
        <v>1411</v>
      </c>
      <c r="BJ26" s="1430" t="s">
        <v>1363</v>
      </c>
      <c r="BL26" s="1430" t="s">
        <v>1363</v>
      </c>
      <c r="BQ26" s="1647">
        <v>4190071</v>
      </c>
      <c r="BR26" s="1430" t="s">
        <v>1482</v>
      </c>
      <c r="BS26" s="1795"/>
      <c r="BV26" s="1432"/>
      <c r="BW26" s="1432"/>
    </row>
    <row customHeight="1" ht="11.25">
      <c r="A27" s="1436" t="s">
        <v>1483</v>
      </c>
      <c r="B27" s="1437">
        <v>2025</v>
      </c>
      <c r="J27" s="538" t="s">
        <v>530</v>
      </c>
      <c r="AX27" s="1483" t="s">
        <v>1484</v>
      </c>
      <c r="BB27" s="1483" t="s">
        <v>1485</v>
      </c>
      <c r="BC27" s="1483" t="s">
        <v>1468</v>
      </c>
      <c r="BE27" s="1483">
        <v>2025</v>
      </c>
      <c r="BH27" s="1432" t="s">
        <v>24</v>
      </c>
      <c r="BJ27" s="1430" t="s">
        <v>1370</v>
      </c>
      <c r="BL27" s="1430" t="s">
        <v>1370</v>
      </c>
      <c r="BN27" s="1432" t="s">
        <v>24</v>
      </c>
      <c r="BQ27" s="1647">
        <v>4190072</v>
      </c>
      <c r="BR27" s="1430" t="s">
        <v>1486</v>
      </c>
      <c r="BS27" s="1795"/>
      <c r="BV27" s="1432"/>
      <c r="BW27" s="1432"/>
    </row>
    <row customHeight="1" ht="11.25">
      <c r="A28" s="1436" t="s">
        <v>1487</v>
      </c>
      <c r="D28" s="1463"/>
      <c r="E28" s="1464"/>
      <c r="F28" s="1464"/>
      <c r="H28" s="1465" t="s">
        <v>1488</v>
      </c>
      <c r="AX28" s="1483" t="s">
        <v>1489</v>
      </c>
      <c r="AZ28" s="1429" t="s">
        <v>1490</v>
      </c>
      <c r="BB28" s="1483" t="s">
        <v>1491</v>
      </c>
      <c r="BC28" s="1483" t="s">
        <v>1492</v>
      </c>
      <c r="BE28" s="1483">
        <v>2026</v>
      </c>
      <c r="BH28" s="1432" t="s">
        <v>24</v>
      </c>
      <c r="BJ28" s="1430" t="s">
        <v>1377</v>
      </c>
      <c r="BL28" s="1430" t="s">
        <v>1377</v>
      </c>
      <c r="BN28" s="1432" t="s">
        <v>24</v>
      </c>
      <c r="BQ28" s="1647">
        <v>4190073</v>
      </c>
      <c r="BR28" s="1430" t="s">
        <v>1493</v>
      </c>
      <c r="BS28" s="1795"/>
      <c r="BV28" s="1432"/>
      <c r="BW28" s="1432"/>
    </row>
    <row customHeight="1" ht="11.25">
      <c r="A29" s="1436" t="s">
        <v>1494</v>
      </c>
      <c r="D29" s="1466" t="s">
        <v>1495</v>
      </c>
      <c r="E29" s="1467" t="str">
        <f>IF(TEMPLATE_GROUP="","",INDEX(StartDateList,MATCH(TEMPLATE_GROUP,CodeTemplateList,0),1))</f>
        <v>45292.706712962965</v>
      </c>
      <c r="F29" s="1467" t="str">
        <f>IF(TEMPLATE_GROUP="","",INDEX(EndDateList,MATCH(TEMPLATE_GROUP,CodeTemplateList,0),1))</f>
        <v>45657.70695601852</v>
      </c>
      <c r="H29" s="1468" t="s">
        <v>1496</v>
      </c>
      <c r="AX29" s="1483" t="s">
        <v>1497</v>
      </c>
      <c r="AZ29" s="1483" t="s">
        <v>1144</v>
      </c>
      <c r="BB29" s="1483" t="s">
        <v>1345</v>
      </c>
      <c r="BC29" s="1453"/>
      <c r="BE29" s="1483">
        <v>2027</v>
      </c>
      <c r="BJ29" s="1430" t="s">
        <v>1385</v>
      </c>
      <c r="BL29" s="1430" t="s">
        <v>1385</v>
      </c>
    </row>
    <row customHeight="1" ht="11.25">
      <c r="A30" s="1436" t="s">
        <v>1498</v>
      </c>
      <c r="D30" s="1469"/>
      <c r="E30" s="1470"/>
      <c r="F30" s="1470"/>
      <c r="AX30" s="1483" t="s">
        <v>1499</v>
      </c>
      <c r="AZ30" s="1483" t="s">
        <v>1172</v>
      </c>
      <c r="BE30" s="1483">
        <v>2028</v>
      </c>
      <c r="BJ30" s="1430" t="s">
        <v>1500</v>
      </c>
      <c r="BL30" s="1430" t="s">
        <v>1500</v>
      </c>
    </row>
    <row customHeight="1" ht="12.75">
      <c r="A31" s="1436" t="s">
        <v>1501</v>
      </c>
      <c r="D31" s="1463"/>
      <c r="E31" s="1464"/>
      <c r="F31" s="1464"/>
      <c r="H31" s="1471"/>
      <c r="AX31" s="1483" t="s">
        <v>1502</v>
      </c>
      <c r="AZ31" s="1483" t="s">
        <v>1503</v>
      </c>
      <c r="BE31" s="1483">
        <v>2029</v>
      </c>
      <c r="BJ31" s="1430" t="s">
        <v>1504</v>
      </c>
      <c r="BL31" s="1430" t="s">
        <v>1504</v>
      </c>
    </row>
    <row customHeight="1" ht="11.25">
      <c r="A32" s="1436" t="s">
        <v>1505</v>
      </c>
      <c r="D32" s="1466" t="s">
        <v>1506</v>
      </c>
      <c r="E32" s="1467" t="str">
        <f>IF(TEMPLATE_GROUP="","",INDEX(StartDateList,MATCH(TEMPLATE_GROUP,CodeTemplateList,0),1))</f>
        <v>45292.706712962965</v>
      </c>
      <c r="F32" s="1467" t="str">
        <f>IF(TEMPLATE_GROUP="","",INDEX(EndDateList,MATCH(TEMPLATE_GROUP,CodeTemplateList,0),1))</f>
        <v>45657.70695601852</v>
      </c>
      <c r="H32" s="1472" t="s">
        <v>1507</v>
      </c>
      <c r="O32" s="1436" t="s">
        <v>1142</v>
      </c>
      <c r="AX32" s="1483" t="s">
        <v>1508</v>
      </c>
      <c r="AZ32" s="1483" t="s">
        <v>542</v>
      </c>
      <c r="BE32" s="1483">
        <v>2030</v>
      </c>
      <c r="BJ32" s="1430" t="s">
        <v>1394</v>
      </c>
      <c r="BL32" s="1430" t="s">
        <v>1394</v>
      </c>
    </row>
    <row customHeight="1" ht="11.25">
      <c r="A33" s="1436" t="s">
        <v>1509</v>
      </c>
      <c r="O33" s="1436" t="s">
        <v>1169</v>
      </c>
      <c r="AX33" s="1483" t="s">
        <v>1510</v>
      </c>
      <c r="AZ33" s="1483" t="s">
        <v>1143</v>
      </c>
      <c r="BE33" s="1483">
        <v>2031</v>
      </c>
      <c r="BJ33" s="1430" t="s">
        <v>1401</v>
      </c>
      <c r="BL33" s="1430" t="s">
        <v>1401</v>
      </c>
    </row>
    <row customHeight="1" ht="11.25">
      <c r="A34" s="1436" t="s">
        <v>1511</v>
      </c>
      <c r="O34" s="1436" t="s">
        <v>1205</v>
      </c>
      <c r="AX34" s="1483" t="s">
        <v>1512</v>
      </c>
      <c r="BE34" s="1483">
        <v>2032</v>
      </c>
      <c r="BJ34" s="1430" t="s">
        <v>1411</v>
      </c>
      <c r="BL34" s="1430" t="s">
        <v>1411</v>
      </c>
    </row>
    <row customHeight="1" ht="11.25">
      <c r="A35" s="1436" t="s">
        <v>1513</v>
      </c>
      <c r="O35" s="1436" t="s">
        <v>1238</v>
      </c>
      <c r="AX35" s="1483" t="s">
        <v>1514</v>
      </c>
      <c r="AZ35" s="1429" t="s">
        <v>1515</v>
      </c>
      <c r="BE35" s="1483">
        <v>2033</v>
      </c>
      <c r="BL35" s="1430" t="s">
        <v>1516</v>
      </c>
    </row>
    <row customHeight="1" ht="11.25">
      <c r="A36" s="2237" t="s">
        <v>1517</v>
      </c>
      <c r="D36" s="1473" t="s">
        <v>1518</v>
      </c>
      <c r="E36" s="1474" t="s">
        <v>809</v>
      </c>
      <c r="F36" s="1475" t="str">
        <f>INDEX(E37:E41,MATCH(TEMPLATE_SPHERE,F37:F41,0))</f>
        <v>горячего водоснабжения</v>
      </c>
      <c r="G36" s="1475" t="str">
        <f>INDEX(G37:G41,MATCH(TEMPLATE_SPHERE,F37:F41,0))</f>
        <v>горячее водоснабжение</v>
      </c>
      <c r="O36" s="1436" t="s">
        <v>1262</v>
      </c>
      <c r="AX36" s="1483" t="s">
        <v>1519</v>
      </c>
      <c r="AZ36" s="1483" t="s">
        <v>1143</v>
      </c>
      <c r="BE36" s="1483">
        <v>2034</v>
      </c>
      <c r="BL36" s="1430" t="s">
        <v>1520</v>
      </c>
    </row>
    <row customHeight="1" ht="11.25">
      <c r="A37" s="1436" t="s">
        <v>1521</v>
      </c>
      <c r="E37" s="768" t="s">
        <v>1522</v>
      </c>
      <c r="F37" s="1476" t="s">
        <v>722</v>
      </c>
      <c r="G37" s="768" t="s">
        <v>1523</v>
      </c>
      <c r="O37" s="1436" t="s">
        <v>1281</v>
      </c>
      <c r="AX37" s="1483" t="s">
        <v>1524</v>
      </c>
      <c r="AZ37" s="1483" t="s">
        <v>1171</v>
      </c>
      <c r="BE37" s="1483">
        <v>2035</v>
      </c>
    </row>
    <row customHeight="1" ht="11.25">
      <c r="A38" s="1436" t="s">
        <v>14</v>
      </c>
      <c r="E38" s="768" t="s">
        <v>1525</v>
      </c>
      <c r="F38" s="1477" t="s">
        <v>768</v>
      </c>
      <c r="G38" s="768" t="s">
        <v>1526</v>
      </c>
      <c r="O38" s="1436" t="s">
        <v>1298</v>
      </c>
      <c r="AX38" s="1483" t="s">
        <v>1527</v>
      </c>
      <c r="AZ38" s="1483" t="s">
        <v>1206</v>
      </c>
      <c r="BE38" s="1483">
        <v>2036</v>
      </c>
      <c r="BH38" s="1429" t="s">
        <v>1528</v>
      </c>
      <c r="BJ38" s="1429" t="s">
        <v>1529</v>
      </c>
      <c r="BL38" s="1429" t="s">
        <v>1530</v>
      </c>
      <c r="BN38" s="1429" t="s">
        <v>1531</v>
      </c>
    </row>
    <row customHeight="1" ht="11.25">
      <c r="A39" s="1436" t="s">
        <v>1532</v>
      </c>
      <c r="E39" s="768" t="s">
        <v>1533</v>
      </c>
      <c r="F39" s="1477" t="s">
        <v>823</v>
      </c>
      <c r="G39" s="768" t="s">
        <v>1534</v>
      </c>
      <c r="O39" s="1436" t="s">
        <v>1314</v>
      </c>
      <c r="AX39" s="1483" t="s">
        <v>1535</v>
      </c>
      <c r="AZ39" s="1483" t="s">
        <v>1239</v>
      </c>
      <c r="BE39" s="1483">
        <v>2037</v>
      </c>
      <c r="BH39" s="1430" t="s">
        <v>1536</v>
      </c>
      <c r="BJ39" s="1582" t="s">
        <v>1536</v>
      </c>
      <c r="BL39" s="1582" t="s">
        <v>1536</v>
      </c>
      <c r="BN39" s="1430" t="s">
        <v>1537</v>
      </c>
    </row>
    <row customHeight="1" ht="11.25">
      <c r="A40" s="1436" t="s">
        <v>1538</v>
      </c>
      <c r="E40" s="768" t="s">
        <v>1539</v>
      </c>
      <c r="F40" s="1477" t="s">
        <v>809</v>
      </c>
      <c r="G40" s="768" t="s">
        <v>1540</v>
      </c>
      <c r="O40" s="1436" t="s">
        <v>1330</v>
      </c>
      <c r="AX40" s="1483" t="s">
        <v>1541</v>
      </c>
      <c r="BE40" s="1483">
        <v>2038</v>
      </c>
      <c r="BH40" s="1430" t="s">
        <v>1542</v>
      </c>
      <c r="BJ40" s="1582" t="s">
        <v>944</v>
      </c>
      <c r="BL40" s="1582" t="s">
        <v>944</v>
      </c>
      <c r="BN40" s="1430" t="s">
        <v>978</v>
      </c>
    </row>
    <row customHeight="1" ht="11.25">
      <c r="A41" s="1436" t="s">
        <v>1543</v>
      </c>
      <c r="E41" s="768" t="s">
        <v>1544</v>
      </c>
      <c r="F41" s="1477" t="s">
        <v>1545</v>
      </c>
      <c r="G41" s="768" t="s">
        <v>1544</v>
      </c>
      <c r="O41" s="1436" t="s">
        <v>1345</v>
      </c>
      <c r="AX41" s="1483" t="s">
        <v>1546</v>
      </c>
      <c r="AZ41" s="1429" t="s">
        <v>1547</v>
      </c>
      <c r="BE41" s="1483">
        <v>2039</v>
      </c>
      <c r="BH41" s="1430" t="s">
        <v>1548</v>
      </c>
      <c r="BJ41" s="1582" t="s">
        <v>940</v>
      </c>
      <c r="BL41" s="1582" t="s">
        <v>940</v>
      </c>
      <c r="BN41" s="1430" t="s">
        <v>965</v>
      </c>
    </row>
    <row customHeight="1" ht="11.25">
      <c r="A42" s="1436" t="s">
        <v>1549</v>
      </c>
      <c r="AX42" s="1483" t="s">
        <v>1550</v>
      </c>
      <c r="AZ42" s="1483" t="s">
        <v>1142</v>
      </c>
      <c r="BE42" s="1483">
        <v>2040</v>
      </c>
      <c r="BH42" s="1430" t="s">
        <v>962</v>
      </c>
      <c r="BJ42" s="1582" t="s">
        <v>942</v>
      </c>
      <c r="BL42" s="1582" t="s">
        <v>942</v>
      </c>
      <c r="BN42" s="1430" t="s">
        <v>1551</v>
      </c>
    </row>
    <row customHeight="1" ht="11.25">
      <c r="A43" s="1436" t="s">
        <v>1552</v>
      </c>
      <c r="AX43" s="1483" t="s">
        <v>1553</v>
      </c>
      <c r="AZ43" s="1483" t="s">
        <v>1169</v>
      </c>
      <c r="BE43" s="1483">
        <v>2041</v>
      </c>
      <c r="BH43" s="1430" t="s">
        <v>1554</v>
      </c>
      <c r="BJ43" s="1582" t="s">
        <v>1548</v>
      </c>
      <c r="BL43" s="1582" t="s">
        <v>1548</v>
      </c>
      <c r="BN43" s="1430" t="s">
        <v>1555</v>
      </c>
    </row>
    <row customHeight="1" ht="11.25">
      <c r="A44" s="1436" t="s">
        <v>1556</v>
      </c>
      <c r="I44" s="1160" t="s">
        <v>1557</v>
      </c>
      <c r="J44" s="1451" t="s">
        <v>1558</v>
      </c>
      <c r="K44" s="1451" t="s">
        <v>1559</v>
      </c>
      <c r="AX44" s="1483" t="s">
        <v>1560</v>
      </c>
      <c r="AZ44" s="1483" t="s">
        <v>1205</v>
      </c>
      <c r="BE44" s="1483">
        <v>2042</v>
      </c>
      <c r="BH44" s="1430" t="s">
        <v>1561</v>
      </c>
      <c r="BJ44" s="1582" t="s">
        <v>962</v>
      </c>
      <c r="BL44" s="1582" t="s">
        <v>962</v>
      </c>
      <c r="BN44" s="1430" t="s">
        <v>1562</v>
      </c>
    </row>
    <row customHeight="1" ht="11.25">
      <c r="A45" s="1436" t="s">
        <v>1563</v>
      </c>
      <c r="D45" s="1473" t="s">
        <v>1564</v>
      </c>
      <c r="E45" s="1474" t="s">
        <v>1565</v>
      </c>
      <c r="F45" s="1158" t="s">
        <v>1566</v>
      </c>
      <c r="G45" s="1157" t="s">
        <v>1567</v>
      </c>
      <c r="H45" s="1160" t="s">
        <v>1568</v>
      </c>
      <c r="I45" s="2107">
        <f>INDEX(PeriodIsEmptyList,MATCH(TEMPLATE_GROUP,CodeTemplateList,0),1)</f>
        <v>0</v>
      </c>
      <c r="J45" s="2110" t="str">
        <f>INDEX(NameTemplatesInTitleList,MATCH(TEMPLATE_GROUP,CodeTemplateList,0),1)</f>
        <v>Показатели, подлежащие раскрытию в сфере горячего водоснабжения (цены и тарифы)</v>
      </c>
      <c r="K45" s="211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483" t="s">
        <v>1569</v>
      </c>
      <c r="AZ45" s="1483" t="s">
        <v>1238</v>
      </c>
      <c r="BE45" s="1483">
        <v>2043</v>
      </c>
      <c r="BH45" s="1430" t="s">
        <v>1570</v>
      </c>
      <c r="BJ45" s="1582" t="s">
        <v>956</v>
      </c>
      <c r="BL45" s="1582" t="s">
        <v>956</v>
      </c>
      <c r="BN45" s="1430" t="s">
        <v>1571</v>
      </c>
    </row>
    <row customHeight="1" ht="11.25">
      <c r="A46" s="1436" t="s">
        <v>1572</v>
      </c>
      <c r="E46" s="768" t="s">
        <v>22</v>
      </c>
      <c r="F46" s="1476" t="s">
        <v>1573</v>
      </c>
      <c r="G46" s="1478"/>
      <c r="H46" s="1478"/>
      <c r="I46" s="2108">
        <f>IF(TITLE_DATE_FIL="",TRUE,FALSE)</f>
        <v>1</v>
      </c>
      <c r="J46" s="2111" t="str">
        <f>"Общая информация о регулируемой организации ("&amp;TEMPLATE_SPHERE_RUS&amp;")"</f>
        <v>Общая информация о регулируемой организации (горячего водоснабжения)</v>
      </c>
      <c r="K46" s="2112"/>
      <c r="AX46" s="1483" t="s">
        <v>1574</v>
      </c>
      <c r="AZ46" s="1483" t="s">
        <v>1262</v>
      </c>
      <c r="BE46" s="1483">
        <v>2044</v>
      </c>
      <c r="BH46" s="1430" t="s">
        <v>965</v>
      </c>
      <c r="BJ46" s="1582" t="s">
        <v>946</v>
      </c>
      <c r="BL46" s="1582" t="s">
        <v>946</v>
      </c>
      <c r="BN46" s="1430" t="s">
        <v>1575</v>
      </c>
    </row>
    <row customHeight="1" ht="11.25">
      <c r="A47" s="1436" t="s">
        <v>1576</v>
      </c>
      <c r="E47" s="768" t="s">
        <v>29</v>
      </c>
      <c r="F47" s="1477" t="s">
        <v>1577</v>
      </c>
      <c r="G47" s="1479" t="str">
        <f>IF(f_year="","",IF(LEN(f_quart)=0,"",IF(f_quart="I квартал","01.01."&amp;f_year,IF(f_quart="II квартал","01.04."&amp;f_year,(IF(f_quart="III квартал","01.07."&amp;f_year,"01.10."&amp;f_year))))))</f>
        <v/>
      </c>
      <c r="H47" s="1479" t="str">
        <f>IF(f_year="","",IF(LEN(f_quart)=0,"",IF(f_quart="I квартал","31.03."&amp;f_year,IF(f_quart="II квартал","30.06."&amp;f_year,(IF(f_quart="III квартал","30.09."&amp;f_year,"31.12."&amp;f_year))))))</f>
        <v/>
      </c>
      <c r="I47" s="2109">
        <f>IF(OR(f_year="",f_quart=""),TRUE,FALSE)</f>
        <v>1</v>
      </c>
      <c r="J47" s="211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2112"/>
      <c r="AX47" s="1483" t="s">
        <v>1578</v>
      </c>
      <c r="AZ47" s="1483" t="s">
        <v>1281</v>
      </c>
      <c r="BE47" s="1483">
        <v>2045</v>
      </c>
      <c r="BH47" s="1430" t="s">
        <v>1551</v>
      </c>
      <c r="BJ47" s="1582" t="s">
        <v>948</v>
      </c>
      <c r="BL47" s="1582" t="s">
        <v>948</v>
      </c>
      <c r="BN47" s="1430" t="s">
        <v>1579</v>
      </c>
    </row>
    <row customHeight="1" ht="11.25">
      <c r="A48" s="1436" t="s">
        <v>1580</v>
      </c>
      <c r="E48" s="768" t="s">
        <v>1581</v>
      </c>
      <c r="F48" s="1477" t="s">
        <v>1582</v>
      </c>
      <c r="G48" s="1479" t="str">
        <f>IF(f_year="","","01.01."&amp;f_year)</f>
        <v/>
      </c>
      <c r="H48" s="1479" t="str">
        <f>IF(f_year="","","31.12."&amp;f_year)</f>
        <v/>
      </c>
      <c r="I48" s="2108">
        <f>IF(f_year="",TRUE,FALSE)</f>
        <v>1</v>
      </c>
      <c r="J48" s="2111" t="s">
        <v>1583</v>
      </c>
      <c r="K48" s="2112"/>
      <c r="AX48" s="1483" t="s">
        <v>1584</v>
      </c>
      <c r="AZ48" s="1483" t="s">
        <v>1298</v>
      </c>
      <c r="BE48" s="1483">
        <v>2046</v>
      </c>
      <c r="BH48" s="1430" t="s">
        <v>1555</v>
      </c>
      <c r="BJ48" s="1582" t="s">
        <v>950</v>
      </c>
      <c r="BL48" s="1582" t="s">
        <v>950</v>
      </c>
      <c r="BN48" s="1430" t="s">
        <v>1585</v>
      </c>
    </row>
    <row customHeight="1" ht="11.25">
      <c r="A49" s="1436" t="s">
        <v>1586</v>
      </c>
      <c r="E49" s="768" t="s">
        <v>1587</v>
      </c>
      <c r="F49" s="1477" t="s">
        <v>1588</v>
      </c>
      <c r="G49" s="1479" t="str">
        <f>IF(f_year="","","01.01."&amp;f_year)</f>
        <v/>
      </c>
      <c r="H49" s="1479" t="str">
        <f>IF(f_year="","","31.12."&amp;f_year)</f>
        <v/>
      </c>
      <c r="I49" s="2108">
        <f>IF(f_year="",TRUE,FALSE)</f>
        <v>1</v>
      </c>
      <c r="J49" s="211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2112"/>
      <c r="AX49" s="1483" t="s">
        <v>1589</v>
      </c>
      <c r="AZ49" s="1483" t="s">
        <v>1314</v>
      </c>
      <c r="BE49" s="1483">
        <v>2047</v>
      </c>
      <c r="BH49" s="1430" t="s">
        <v>966</v>
      </c>
      <c r="BJ49" s="1582" t="s">
        <v>952</v>
      </c>
      <c r="BL49" s="1582" t="s">
        <v>952</v>
      </c>
    </row>
    <row customHeight="1" ht="11.25">
      <c r="A50" s="1436" t="s">
        <v>1590</v>
      </c>
      <c r="E50" s="768" t="s">
        <v>1591</v>
      </c>
      <c r="F50" s="1477" t="s">
        <v>936</v>
      </c>
      <c r="G50" s="1479" t="str">
        <f>IF(f_year="","","01.01."&amp;f_year)</f>
        <v/>
      </c>
      <c r="H50" s="1479" t="str">
        <f>IF(f_year="","","31.12."&amp;f_year)</f>
        <v/>
      </c>
      <c r="I50" s="2108">
        <f>IF(f_year="",TRUE,FALSE)</f>
        <v>1</v>
      </c>
      <c r="J50" s="211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2112"/>
      <c r="AX50" s="1483" t="s">
        <v>1592</v>
      </c>
      <c r="AZ50" s="1483" t="s">
        <v>1330</v>
      </c>
      <c r="BE50" s="1483">
        <v>2048</v>
      </c>
      <c r="BH50" s="1430" t="s">
        <v>1562</v>
      </c>
      <c r="BJ50" s="1582" t="s">
        <v>954</v>
      </c>
      <c r="BL50" s="1582" t="s">
        <v>954</v>
      </c>
    </row>
    <row customHeight="1" ht="11.25">
      <c r="A51" s="1436" t="s">
        <v>1593</v>
      </c>
      <c r="E51" s="768" t="s">
        <v>1594</v>
      </c>
      <c r="F51" s="1477" t="s">
        <v>1595</v>
      </c>
      <c r="G51" s="1479" t="str">
        <f>IF(TITLE_PERIOD_START="","",TITLE_PERIOD_START)</f>
        <v>45292.706712962965</v>
      </c>
      <c r="H51" s="1479" t="str">
        <f>IF(TITLE_PERIOD_END="","",TITLE_PERIOD_END)</f>
        <v>45657.70695601852</v>
      </c>
      <c r="I51" s="2109">
        <f>IF(OR(TITLE_PERIOD_START="",TITLE_PERIOD_END=""),TRUE,FALSE)</f>
        <v>0</v>
      </c>
      <c r="J51" s="211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2112"/>
      <c r="AX51" s="1483" t="s">
        <v>1596</v>
      </c>
      <c r="AZ51" s="1483" t="s">
        <v>1345</v>
      </c>
      <c r="BE51" s="1483">
        <v>2049</v>
      </c>
      <c r="BH51" s="1430" t="s">
        <v>1571</v>
      </c>
      <c r="BJ51" s="1582" t="s">
        <v>1597</v>
      </c>
      <c r="BL51" s="1582" t="s">
        <v>1597</v>
      </c>
    </row>
    <row customHeight="1" ht="11.25">
      <c r="A52" s="1436" t="s">
        <v>1598</v>
      </c>
      <c r="E52" s="768" t="s">
        <v>1599</v>
      </c>
      <c r="F52" s="1477" t="s">
        <v>1565</v>
      </c>
      <c r="G52" s="1479" t="str">
        <f>IF(TITLE_PERIOD_START="","",TITLE_PERIOD_START)</f>
        <v>45292.706712962965</v>
      </c>
      <c r="H52" s="1479" t="str">
        <f>IF(TITLE_PERIOD_END="","",TITLE_PERIOD_END)</f>
        <v>45657.70695601852</v>
      </c>
      <c r="I52" s="2109">
        <f>IF(OR(TITLE_PERIOD_START="",TITLE_PERIOD_END=""),TRUE,FALSE)</f>
        <v>0</v>
      </c>
      <c r="J52" s="2111"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2112"/>
      <c r="AX52" s="1483" t="s">
        <v>1600</v>
      </c>
      <c r="AZ52" s="1483" t="s">
        <v>1143</v>
      </c>
      <c r="BE52" s="1483">
        <v>2050</v>
      </c>
      <c r="BH52" s="1430" t="s">
        <v>1575</v>
      </c>
      <c r="BJ52" s="1582" t="s">
        <v>965</v>
      </c>
      <c r="BL52" s="1582" t="s">
        <v>965</v>
      </c>
    </row>
    <row customHeight="1" ht="11.25">
      <c r="A53" s="1436" t="s">
        <v>1601</v>
      </c>
      <c r="E53" s="768" t="s">
        <v>1602</v>
      </c>
      <c r="F53" s="1477" t="s">
        <v>1602</v>
      </c>
      <c r="G53" s="1479" t="str">
        <f>IF(f_year="","","01.01."&amp;f_year)</f>
        <v/>
      </c>
      <c r="H53" s="1479" t="str">
        <f>IF(f_year="","","31.12."&amp;f_year)</f>
        <v/>
      </c>
      <c r="I53" s="2108">
        <f>IF(AND(f_year="",TITLE_DATE_FIL=""),TRUE,FALSE)</f>
        <v>1</v>
      </c>
      <c r="J53" s="2111" t="s">
        <v>1603</v>
      </c>
      <c r="K53" s="2112"/>
      <c r="AX53" s="1483" t="s">
        <v>1604</v>
      </c>
      <c r="BE53" s="1483">
        <v>2051</v>
      </c>
      <c r="BH53" s="1430" t="s">
        <v>1579</v>
      </c>
      <c r="BJ53" s="1582" t="s">
        <v>1551</v>
      </c>
      <c r="BL53" s="1582" t="s">
        <v>1551</v>
      </c>
    </row>
    <row customHeight="1" ht="11.25">
      <c r="A54" s="1436" t="s">
        <v>1605</v>
      </c>
      <c r="AX54" s="1483" t="s">
        <v>1606</v>
      </c>
      <c r="AZ54" s="1429" t="s">
        <v>1607</v>
      </c>
      <c r="BE54" s="1483">
        <v>2052</v>
      </c>
      <c r="BH54" s="1430" t="s">
        <v>1585</v>
      </c>
      <c r="BJ54" s="1582" t="s">
        <v>1555</v>
      </c>
      <c r="BL54" s="1582" t="s">
        <v>1555</v>
      </c>
    </row>
    <row customHeight="1" ht="11.25">
      <c r="A55" s="1436" t="s">
        <v>1608</v>
      </c>
      <c r="AX55" s="1483" t="s">
        <v>1609</v>
      </c>
      <c r="AZ55" s="1483" t="s">
        <v>1145</v>
      </c>
      <c r="BE55" s="1483">
        <v>2053</v>
      </c>
      <c r="BH55" s="1432" t="s">
        <v>24</v>
      </c>
      <c r="BJ55" s="1582" t="s">
        <v>966</v>
      </c>
      <c r="BL55" s="1582" t="s">
        <v>966</v>
      </c>
    </row>
    <row customHeight="1" ht="11.25">
      <c r="A56" s="1436" t="s">
        <v>1610</v>
      </c>
      <c r="D56" s="1481" t="s">
        <v>1611</v>
      </c>
      <c r="E56" s="1457">
        <v>55</v>
      </c>
      <c r="F56" s="1436" t="s">
        <v>1612</v>
      </c>
      <c r="AX56" s="1483" t="s">
        <v>1613</v>
      </c>
      <c r="AZ56" s="1483" t="s">
        <v>1173</v>
      </c>
      <c r="BE56" s="1483">
        <v>2054</v>
      </c>
      <c r="BH56" s="1432" t="s">
        <v>24</v>
      </c>
      <c r="BJ56" s="1582" t="s">
        <v>1562</v>
      </c>
      <c r="BL56" s="1582" t="s">
        <v>1562</v>
      </c>
    </row>
    <row customHeight="1" ht="11.25">
      <c r="A57" s="1436" t="s">
        <v>1614</v>
      </c>
      <c r="D57" s="1481" t="s">
        <v>1615</v>
      </c>
      <c r="E57" s="1457">
        <v>66</v>
      </c>
      <c r="F57" s="1436" t="s">
        <v>1612</v>
      </c>
      <c r="AX57" s="1483" t="s">
        <v>1616</v>
      </c>
      <c r="AZ57" s="1483" t="s">
        <v>1208</v>
      </c>
      <c r="BE57" s="1483">
        <v>2055</v>
      </c>
      <c r="BJ57" s="1582" t="s">
        <v>1571</v>
      </c>
      <c r="BL57" s="1582" t="s">
        <v>1571</v>
      </c>
    </row>
    <row customHeight="1" ht="11.25">
      <c r="A58" s="1436" t="s">
        <v>1617</v>
      </c>
      <c r="D58" s="1481" t="s">
        <v>1618</v>
      </c>
      <c r="E58" s="1457">
        <v>44</v>
      </c>
      <c r="F58" s="1436" t="s">
        <v>1612</v>
      </c>
      <c r="AX58" s="1483" t="s">
        <v>1619</v>
      </c>
      <c r="BE58" s="1483">
        <v>2056</v>
      </c>
      <c r="BJ58" s="1582" t="s">
        <v>1575</v>
      </c>
      <c r="BL58" s="1582" t="s">
        <v>1575</v>
      </c>
    </row>
    <row customHeight="1" ht="11.25">
      <c r="A59" s="1436" t="s">
        <v>1620</v>
      </c>
      <c r="D59" s="1481" t="s">
        <v>128</v>
      </c>
      <c r="E59" s="1457" t="s">
        <v>1442</v>
      </c>
      <c r="F59" s="1436" t="s">
        <v>1621</v>
      </c>
      <c r="AX59" s="1483" t="s">
        <v>1622</v>
      </c>
      <c r="AZ59" s="1429" t="s">
        <v>1623</v>
      </c>
      <c r="BE59" s="1483">
        <v>2057</v>
      </c>
      <c r="BJ59" s="1582" t="s">
        <v>1579</v>
      </c>
      <c r="BL59" s="1582" t="s">
        <v>1579</v>
      </c>
    </row>
    <row customHeight="1" ht="11.25">
      <c r="A60" s="1436" t="s">
        <v>1624</v>
      </c>
      <c r="D60" s="1481" t="s">
        <v>1625</v>
      </c>
      <c r="E60" s="1457" t="s">
        <v>1442</v>
      </c>
      <c r="F60" s="1436" t="s">
        <v>1621</v>
      </c>
      <c r="AX60" s="1483" t="s">
        <v>1626</v>
      </c>
      <c r="AZ60" s="1483" t="s">
        <v>1146</v>
      </c>
      <c r="BE60" s="1483">
        <v>2058</v>
      </c>
      <c r="BJ60" s="1582" t="s">
        <v>1585</v>
      </c>
      <c r="BL60" s="1582" t="s">
        <v>1585</v>
      </c>
    </row>
    <row customHeight="1" ht="11.25">
      <c r="A61" s="1436" t="s">
        <v>1627</v>
      </c>
      <c r="D61" s="1481" t="s">
        <v>1628</v>
      </c>
      <c r="E61" s="1457">
        <v>27</v>
      </c>
      <c r="F61" s="1436" t="s">
        <v>1621</v>
      </c>
      <c r="AX61" s="1483" t="s">
        <v>1629</v>
      </c>
      <c r="AZ61" s="1483" t="s">
        <v>1174</v>
      </c>
      <c r="BE61" s="1483">
        <v>2059</v>
      </c>
      <c r="BL61" s="1582" t="s">
        <v>958</v>
      </c>
    </row>
    <row customHeight="1" ht="11.25">
      <c r="A62" s="1436" t="s">
        <v>1630</v>
      </c>
      <c r="D62" s="1481" t="s">
        <v>127</v>
      </c>
      <c r="E62" s="1457">
        <v>31</v>
      </c>
      <c r="F62" s="1436" t="s">
        <v>1621</v>
      </c>
      <c r="AZ62" s="1483" t="s">
        <v>1209</v>
      </c>
      <c r="BE62" s="1483">
        <v>2060</v>
      </c>
      <c r="BL62" s="1582" t="s">
        <v>960</v>
      </c>
    </row>
    <row customHeight="1" ht="11.25">
      <c r="A63" s="1436" t="s">
        <v>1631</v>
      </c>
      <c r="D63" s="1481" t="s">
        <v>1632</v>
      </c>
      <c r="E63" s="1457">
        <v>34</v>
      </c>
      <c r="F63" s="1436" t="s">
        <v>1621</v>
      </c>
      <c r="AZ63" s="1483" t="s">
        <v>1240</v>
      </c>
      <c r="BE63" s="1483">
        <v>2061</v>
      </c>
    </row>
    <row customHeight="1" ht="11.25">
      <c r="A64" s="1436" t="s">
        <v>1633</v>
      </c>
      <c r="D64" s="1481" t="s">
        <v>1634</v>
      </c>
      <c r="E64" s="1457">
        <v>34</v>
      </c>
      <c r="F64" s="1436" t="s">
        <v>1621</v>
      </c>
      <c r="AZ64" s="1483" t="s">
        <v>1263</v>
      </c>
      <c r="BE64" s="1483">
        <v>2062</v>
      </c>
    </row>
    <row customHeight="1" ht="11.25">
      <c r="A65" s="1436" t="s">
        <v>1635</v>
      </c>
      <c r="D65" s="1436"/>
      <c r="BE65" s="1483">
        <v>2063</v>
      </c>
    </row>
    <row customHeight="1" ht="11.25">
      <c r="A66" s="1436" t="s">
        <v>1636</v>
      </c>
      <c r="AZ66" s="1429" t="s">
        <v>1637</v>
      </c>
      <c r="BE66" s="1483">
        <v>2064</v>
      </c>
    </row>
    <row customHeight="1" ht="11.25">
      <c r="A67" s="1436" t="s">
        <v>1638</v>
      </c>
      <c r="AZ67" s="1483" t="s">
        <v>1147</v>
      </c>
      <c r="BE67" s="1483">
        <v>2065</v>
      </c>
    </row>
    <row customHeight="1" ht="11.25">
      <c r="A68" s="1436" t="s">
        <v>1639</v>
      </c>
      <c r="AZ68" s="1483" t="s">
        <v>1175</v>
      </c>
      <c r="BE68" s="1483">
        <v>2066</v>
      </c>
      <c r="BH68" s="1429" t="s">
        <v>1640</v>
      </c>
      <c r="BJ68" s="1429" t="s">
        <v>1641</v>
      </c>
      <c r="BL68" s="1429" t="s">
        <v>1642</v>
      </c>
      <c r="BN68" s="1429" t="s">
        <v>1643</v>
      </c>
    </row>
    <row customHeight="1" ht="11.25">
      <c r="A69" s="1436" t="s">
        <v>1644</v>
      </c>
      <c r="AZ69" s="1483" t="s">
        <v>1210</v>
      </c>
      <c r="BE69" s="1483">
        <v>2067</v>
      </c>
      <c r="BH69" s="1430" t="s">
        <v>1645</v>
      </c>
      <c r="BI69" s="1480" t="s">
        <v>106</v>
      </c>
      <c r="BJ69" s="1430" t="s">
        <v>1646</v>
      </c>
      <c r="BK69" s="1480" t="s">
        <v>106</v>
      </c>
      <c r="BL69" s="1430" t="s">
        <v>1647</v>
      </c>
      <c r="BN69" s="1430" t="s">
        <v>1648</v>
      </c>
    </row>
    <row customHeight="1" ht="11.25">
      <c r="A70" s="1436" t="s">
        <v>1649</v>
      </c>
      <c r="AZ70" s="1483" t="s">
        <v>1241</v>
      </c>
      <c r="BE70" s="1483">
        <v>2068</v>
      </c>
      <c r="BH70" s="1430" t="s">
        <v>1650</v>
      </c>
      <c r="BJ70" s="1430" t="s">
        <v>1651</v>
      </c>
      <c r="BL70" s="1430" t="s">
        <v>1652</v>
      </c>
      <c r="BN70" s="1430" t="s">
        <v>1653</v>
      </c>
    </row>
    <row customHeight="1" ht="11.25">
      <c r="A71" s="1436" t="s">
        <v>1654</v>
      </c>
      <c r="AZ71" s="1483" t="s">
        <v>1243</v>
      </c>
      <c r="BE71" s="1483">
        <v>2069</v>
      </c>
      <c r="BH71" s="1430" t="s">
        <v>1655</v>
      </c>
      <c r="BI71" s="1480" t="s">
        <v>87</v>
      </c>
      <c r="BJ71" s="1430" t="s">
        <v>1656</v>
      </c>
      <c r="BK71" s="1480" t="s">
        <v>87</v>
      </c>
      <c r="BL71" s="1430" t="s">
        <v>1657</v>
      </c>
      <c r="BN71" s="1430" t="s">
        <v>1658</v>
      </c>
    </row>
    <row customHeight="1" ht="11.25">
      <c r="A72" s="1436" t="s">
        <v>1659</v>
      </c>
      <c r="AZ72" s="1483" t="s">
        <v>54</v>
      </c>
      <c r="BE72" s="1483">
        <v>2070</v>
      </c>
      <c r="BH72" s="1430" t="s">
        <v>1660</v>
      </c>
      <c r="BJ72" s="1430" t="s">
        <v>1660</v>
      </c>
      <c r="BL72" s="1430" t="s">
        <v>1660</v>
      </c>
      <c r="BN72" s="1430" t="s">
        <v>1661</v>
      </c>
    </row>
    <row customHeight="1" ht="11.25">
      <c r="A73" s="1436" t="s">
        <v>1662</v>
      </c>
      <c r="BH73" s="1430" t="s">
        <v>1663</v>
      </c>
      <c r="BI73" s="1480" t="s">
        <v>108</v>
      </c>
      <c r="BJ73" s="1430" t="s">
        <v>1664</v>
      </c>
      <c r="BK73" s="1480" t="s">
        <v>108</v>
      </c>
      <c r="BL73" s="1430" t="s">
        <v>1665</v>
      </c>
      <c r="BN73" s="1430" t="s">
        <v>1666</v>
      </c>
    </row>
    <row customHeight="1" ht="11.25">
      <c r="A74" s="1436" t="s">
        <v>1667</v>
      </c>
      <c r="BH74" s="1430" t="s">
        <v>1668</v>
      </c>
      <c r="BJ74" s="1430" t="s">
        <v>1669</v>
      </c>
      <c r="BL74" s="1430" t="s">
        <v>1670</v>
      </c>
      <c r="BN74" s="1430" t="s">
        <v>1671</v>
      </c>
    </row>
    <row customHeight="1" ht="11.25">
      <c r="A75" s="1436" t="s">
        <v>1672</v>
      </c>
      <c r="AZ75" s="1429" t="s">
        <v>1673</v>
      </c>
      <c r="BH75" s="1430" t="s">
        <v>1674</v>
      </c>
      <c r="BJ75" s="1430" t="s">
        <v>1674</v>
      </c>
      <c r="BL75" s="1430" t="s">
        <v>1674</v>
      </c>
    </row>
    <row customHeight="1" ht="11.25">
      <c r="A76" s="1436" t="s">
        <v>1675</v>
      </c>
      <c r="AZ76" s="1483" t="s">
        <v>1156</v>
      </c>
      <c r="BH76" s="1430" t="s">
        <v>1676</v>
      </c>
      <c r="BJ76" s="1430" t="s">
        <v>1677</v>
      </c>
      <c r="BL76" s="1430" t="s">
        <v>1678</v>
      </c>
    </row>
    <row customHeight="1" ht="11.25">
      <c r="A77" s="1436" t="s">
        <v>1679</v>
      </c>
      <c r="AZ77" s="1483" t="s">
        <v>1185</v>
      </c>
    </row>
    <row customHeight="1" ht="11.25">
      <c r="A78" s="1436" t="s">
        <v>1680</v>
      </c>
      <c r="AZ78" s="1483" t="s">
        <v>1217</v>
      </c>
    </row>
    <row customHeight="1" ht="11.25">
      <c r="A79" s="1436" t="s">
        <v>1681</v>
      </c>
      <c r="AZ79" s="1483" t="s">
        <v>1247</v>
      </c>
      <c r="BH79" s="1429" t="s">
        <v>1682</v>
      </c>
      <c r="BJ79" s="1429" t="s">
        <v>1683</v>
      </c>
      <c r="BL79" s="1429" t="s">
        <v>1684</v>
      </c>
    </row>
    <row customHeight="1" ht="11.25">
      <c r="A80" s="1436" t="s">
        <v>1685</v>
      </c>
      <c r="AZ80" s="1483" t="s">
        <v>1268</v>
      </c>
      <c r="BH80" s="1430" t="s">
        <v>1686</v>
      </c>
      <c r="BJ80" s="1430" t="s">
        <v>1687</v>
      </c>
      <c r="BL80" s="1430" t="s">
        <v>1688</v>
      </c>
    </row>
    <row customHeight="1" ht="11.25">
      <c r="A81" s="1436" t="s">
        <v>1689</v>
      </c>
      <c r="AZ81" s="1483" t="s">
        <v>1285</v>
      </c>
      <c r="BH81" s="1430" t="s">
        <v>1690</v>
      </c>
      <c r="BJ81" s="1430" t="s">
        <v>1691</v>
      </c>
      <c r="BL81" s="1430" t="s">
        <v>1692</v>
      </c>
    </row>
    <row customHeight="1" ht="11.25">
      <c r="A82" s="1436" t="s">
        <v>1693</v>
      </c>
      <c r="AZ82" s="1483" t="s">
        <v>1300</v>
      </c>
      <c r="BH82" s="1430" t="s">
        <v>1694</v>
      </c>
      <c r="BJ82" s="1430" t="s">
        <v>1695</v>
      </c>
      <c r="BL82" s="1430" t="s">
        <v>1696</v>
      </c>
    </row>
    <row customHeight="1" ht="11.25">
      <c r="A83" s="1436" t="s">
        <v>1697</v>
      </c>
      <c r="BH83" s="1430" t="s">
        <v>1698</v>
      </c>
      <c r="BJ83" s="1430" t="s">
        <v>1699</v>
      </c>
      <c r="BL83" s="1430" t="s">
        <v>1700</v>
      </c>
    </row>
    <row customHeight="1" ht="11.25">
      <c r="A84" s="1436" t="s">
        <v>1701</v>
      </c>
      <c r="AZ84" s="1429" t="s">
        <v>1702</v>
      </c>
    </row>
    <row customHeight="1" ht="11.25">
      <c r="A85" s="2237" t="s">
        <v>1703</v>
      </c>
      <c r="AZ85" s="1483" t="s">
        <v>1704</v>
      </c>
    </row>
    <row customHeight="1" ht="11.25">
      <c r="A86" s="1436" t="s">
        <v>1705</v>
      </c>
      <c r="AZ86" s="1483" t="s">
        <v>1706</v>
      </c>
      <c r="BH86" s="1429" t="s">
        <v>1707</v>
      </c>
      <c r="BJ86" s="1429" t="s">
        <v>1708</v>
      </c>
      <c r="BL86" s="1429" t="s">
        <v>1709</v>
      </c>
    </row>
    <row customHeight="1" ht="11.25">
      <c r="A87" s="1436" t="s">
        <v>1710</v>
      </c>
      <c r="AZ87" s="1483" t="s">
        <v>1711</v>
      </c>
      <c r="BH87" s="1430" t="s">
        <v>1712</v>
      </c>
      <c r="BJ87" s="1430" t="s">
        <v>1713</v>
      </c>
      <c r="BL87" s="1430" t="s">
        <v>1714</v>
      </c>
    </row>
    <row customHeight="1" ht="11.25">
      <c r="A88" s="1436" t="s">
        <v>1715</v>
      </c>
      <c r="AZ88" s="1972"/>
      <c r="BH88" s="1430" t="s">
        <v>1716</v>
      </c>
      <c r="BJ88" s="1430" t="s">
        <v>1717</v>
      </c>
      <c r="BL88" s="1430" t="s">
        <v>1718</v>
      </c>
    </row>
    <row customHeight="1" ht="11.25">
      <c r="A89" s="1436" t="s">
        <v>1719</v>
      </c>
      <c r="AZ89" s="1429" t="s">
        <v>1720</v>
      </c>
    </row>
    <row customHeight="1" ht="11.25">
      <c r="A90" s="1436" t="s">
        <v>1721</v>
      </c>
      <c r="AZ90" s="1483" t="s">
        <v>936</v>
      </c>
    </row>
    <row customHeight="1" ht="11.25">
      <c r="A91" s="1436" t="s">
        <v>1722</v>
      </c>
      <c r="AZ91" s="1483" t="s">
        <v>972</v>
      </c>
      <c r="BH91" s="1429" t="s">
        <v>1723</v>
      </c>
      <c r="BJ91" s="1429" t="s">
        <v>1724</v>
      </c>
      <c r="BL91" s="1429" t="s">
        <v>1725</v>
      </c>
    </row>
    <row customHeight="1" ht="11.25">
      <c r="AZ92" s="1483" t="s">
        <v>1726</v>
      </c>
      <c r="BH92" s="1430" t="s">
        <v>1727</v>
      </c>
      <c r="BJ92" s="1430" t="s">
        <v>1728</v>
      </c>
      <c r="BL92" s="1430" t="s">
        <v>1729</v>
      </c>
    </row>
    <row customHeight="1" ht="11.25">
      <c r="AZ93" s="1483" t="s">
        <v>1730</v>
      </c>
      <c r="BH93" s="1430" t="s">
        <v>1731</v>
      </c>
      <c r="BJ93" s="1430" t="s">
        <v>1732</v>
      </c>
      <c r="BL93" s="1430" t="s">
        <v>1733</v>
      </c>
    </row>
    <row customHeight="1" ht="11.25">
      <c r="AZ94" s="1483" t="s">
        <v>1734</v>
      </c>
    </row>
    <row r="96" customHeight="1" ht="11.25">
      <c r="AZ96" s="1429" t="s">
        <v>1735</v>
      </c>
      <c r="BH96" s="1429" t="s">
        <v>1736</v>
      </c>
      <c r="BJ96" s="1429" t="s">
        <v>1737</v>
      </c>
      <c r="BL96" s="1429" t="s">
        <v>1738</v>
      </c>
      <c r="BN96" s="1429" t="s">
        <v>1739</v>
      </c>
    </row>
    <row customHeight="1" ht="11.25">
      <c r="AZ97" s="2268" t="s">
        <v>1740</v>
      </c>
      <c r="BA97" s="2269" t="s">
        <v>1741</v>
      </c>
      <c r="BH97" s="1430" t="s">
        <v>1742</v>
      </c>
      <c r="BJ97" s="1430" t="s">
        <v>1743</v>
      </c>
      <c r="BL97" s="1430" t="s">
        <v>1744</v>
      </c>
      <c r="BN97" s="1430" t="s">
        <v>1745</v>
      </c>
    </row>
    <row customHeight="1" ht="11.25">
      <c r="AZ98" s="2268" t="s">
        <v>1746</v>
      </c>
      <c r="BA98" s="2269" t="s">
        <v>1747</v>
      </c>
      <c r="BH98" s="1430" t="s">
        <v>1748</v>
      </c>
      <c r="BJ98" s="1430" t="s">
        <v>1749</v>
      </c>
      <c r="BL98" s="1430" t="s">
        <v>1750</v>
      </c>
      <c r="BN98" s="1430" t="s">
        <v>1751</v>
      </c>
    </row>
    <row customHeight="1" ht="22.5">
      <c r="AZ99" s="2268" t="s">
        <v>1752</v>
      </c>
      <c r="BA99" s="2269" t="str">
        <f>"не позднее чем за "&amp;IF(TEMPLATE_SPHERE="TKO","3","10")&amp;" дней до дня проведения заседания правления"</f>
        <v>не позднее чем за 10 дней до дня проведения заседания правления</v>
      </c>
      <c r="BH99" s="1430" t="s">
        <v>1753</v>
      </c>
      <c r="BJ99" s="1430" t="s">
        <v>1754</v>
      </c>
      <c r="BL99" s="1430" t="s">
        <v>1755</v>
      </c>
      <c r="BN99" s="1430" t="s">
        <v>1756</v>
      </c>
    </row>
    <row customHeight="1" ht="22.5">
      <c r="AZ100" s="2268" t="s">
        <v>1757</v>
      </c>
      <c r="BA100" s="226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430" t="s">
        <v>1345</v>
      </c>
      <c r="BL100" s="1430" t="s">
        <v>1345</v>
      </c>
      <c r="BN100" s="1430" t="s">
        <v>1758</v>
      </c>
    </row>
    <row customHeight="1" ht="22.5">
      <c r="AZ101" s="2268" t="s">
        <v>1759</v>
      </c>
      <c r="BA101" s="2269" t="s">
        <v>1760</v>
      </c>
      <c r="BN101" s="1430" t="s">
        <v>1761</v>
      </c>
    </row>
    <row customHeight="1" ht="22.5">
      <c r="AZ102" s="2268" t="s">
        <v>1762</v>
      </c>
      <c r="BA102" s="226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430" t="s">
        <v>1763</v>
      </c>
    </row>
    <row customHeight="1" ht="11.25">
      <c r="AZ103" s="2268" t="s">
        <v>1764</v>
      </c>
      <c r="BA103" s="2269" t="s">
        <v>1765</v>
      </c>
      <c r="BN103" s="1430" t="s">
        <v>1766</v>
      </c>
    </row>
    <row customHeight="1" ht="11.25">
      <c r="BN104" s="1430" t="s">
        <v>1767</v>
      </c>
    </row>
    <row customHeight="1" ht="11.25">
      <c r="AZ105" s="2058" t="s">
        <v>1768</v>
      </c>
    </row>
    <row customHeight="1" ht="11.25">
      <c r="AZ106" s="1483" t="s">
        <v>1769</v>
      </c>
    </row>
    <row customHeight="1" ht="11.25">
      <c r="AZ107" s="1483" t="s">
        <v>1770</v>
      </c>
      <c r="BH107" s="1429" t="s">
        <v>1771</v>
      </c>
      <c r="BJ107" s="1429" t="s">
        <v>1772</v>
      </c>
      <c r="BL107" s="1429" t="s">
        <v>1773</v>
      </c>
      <c r="BN107" s="1429" t="s">
        <v>1774</v>
      </c>
    </row>
    <row customHeight="1" ht="11.25">
      <c r="AZ108" s="1483" t="s">
        <v>571</v>
      </c>
      <c r="BH108" s="1430" t="s">
        <v>1775</v>
      </c>
      <c r="BJ108" s="1430" t="s">
        <v>1776</v>
      </c>
      <c r="BL108" s="1430" t="s">
        <v>1430</v>
      </c>
      <c r="BN108" s="1430" t="s">
        <v>1777</v>
      </c>
    </row>
    <row customHeight="1" ht="11.25">
      <c r="BH109" s="1430" t="s">
        <v>1778</v>
      </c>
    </row>
    <row customHeight="1" ht="11.25">
      <c r="AZ110" s="2058" t="s">
        <v>1779</v>
      </c>
      <c r="BH110" s="1430" t="s">
        <v>1778</v>
      </c>
    </row>
    <row customHeight="1" ht="11.25">
      <c r="AZ111" s="2268" t="s">
        <v>1740</v>
      </c>
      <c r="BA111" s="2269" t="s">
        <v>1741</v>
      </c>
    </row>
    <row customHeight="1" ht="11.25">
      <c r="AZ112" s="2268" t="s">
        <v>1746</v>
      </c>
      <c r="BA112" s="2269" t="s">
        <v>1747</v>
      </c>
    </row>
    <row customHeight="1" ht="22.5">
      <c r="AZ113" s="2268" t="s">
        <v>1752</v>
      </c>
      <c r="BA113" s="2269"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268" t="s">
        <v>1757</v>
      </c>
      <c r="BA114" s="226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429" t="s">
        <v>1780</v>
      </c>
    </row>
    <row customHeight="1" ht="22.5">
      <c r="AZ115" s="2268" t="s">
        <v>1762</v>
      </c>
      <c r="BA115" s="226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430" t="s">
        <v>1143</v>
      </c>
    </row>
    <row customHeight="1" ht="11.25">
      <c r="AZ116" s="2268" t="s">
        <v>1764</v>
      </c>
      <c r="BA116" s="2269" t="s">
        <v>1765</v>
      </c>
      <c r="BH116" s="1430" t="s">
        <v>1171</v>
      </c>
    </row>
    <row customHeight="1" ht="11.25">
      <c r="BH117" s="1430" t="s">
        <v>1206</v>
      </c>
    </row>
    <row customHeight="1" ht="11.25">
      <c r="BH118" s="1430" t="s">
        <v>1239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C8B6C6-E6AF-75A6-1D62-592CD408EF23}" mc:Ignorable="x14ac xr xr2 xr3">
  <sheetPr>
    <tabColor rgb="FFCCCCFF"/>
  </sheetPr>
  <dimension ref="A1:AQ140"/>
  <sheetViews>
    <sheetView topLeftCell="A1" showGridLines="0" zoomScale="90" workbookViewId="0">
      <selection activeCell="O100" sqref="O100:O102"/>
    </sheetView>
  </sheetViews>
  <sheetFormatPr defaultColWidth="9.140625" customHeight="1" defaultRowHeight="11.25"/>
  <cols>
    <col min="1" max="2" style="18768" width="3.7109375" hidden="1" customWidth="1"/>
    <col min="3" max="3" style="18769" width="3.7109375" customWidth="1"/>
    <col min="4" max="4" style="18769" width="6.140625" customWidth="1"/>
    <col min="5" max="5" style="18769" width="43.140625" customWidth="1"/>
    <col min="6" max="6" style="18652" width="15.00390625" customWidth="1"/>
    <col min="7" max="7" style="18769" width="43.140625" customWidth="1"/>
    <col min="8" max="8" style="18769" width="3.7109375" customWidth="1"/>
    <col min="9" max="9" style="18769" width="5.421875" customWidth="1"/>
    <col min="10" max="10" style="18769" width="47.8515625" customWidth="1"/>
    <col min="11" max="12" style="18769" width="3.7109375" customWidth="1"/>
    <col min="13" max="13" style="18769" width="5.7109375" customWidth="1"/>
    <col min="14" max="14" style="18769" width="28.140625" customWidth="1"/>
    <col min="15" max="16" style="18769" width="3.7109375" customWidth="1"/>
    <col min="17" max="17" style="18769" width="5.7109375" customWidth="1"/>
    <col min="18" max="18" style="18769" width="34.421875" customWidth="1"/>
    <col min="19" max="20" style="18770" width="3.7109375" hidden="1" customWidth="1"/>
    <col min="21" max="21" style="18770" width="5.7109375" hidden="1" customWidth="1"/>
    <col min="22" max="22" style="18770" width="34.421875" hidden="1" customWidth="1"/>
    <col min="23" max="23" style="18769" width="30.7109375" customWidth="1"/>
    <col min="24" max="24" style="18769" width="3.7109375" customWidth="1"/>
    <col min="25" max="25" style="18771" width="9.8515625" customWidth="1"/>
    <col min="26" max="28" style="18771" width="9.8515625" hidden="1" customWidth="1"/>
    <col min="29" max="29" style="18771" width="27.00390625" hidden="1" customWidth="1"/>
    <col min="30" max="30" style="18771" width="10.57421875" hidden="1" customWidth="1"/>
    <col min="31" max="31" style="18771" width="10.7109375" hidden="1" customWidth="1"/>
    <col min="32" max="32" style="18771" width="10.00390625" hidden="1" customWidth="1"/>
    <col min="33" max="33" style="18771" width="12.8515625" hidden="1" customWidth="1"/>
    <col min="34" max="34" style="18771" width="24.421875" hidden="1" customWidth="1"/>
    <col min="35" max="35" style="18771" width="15.8515625" hidden="1" customWidth="1"/>
    <col min="36" max="36" style="18771" width="19.421875" hidden="1" customWidth="1"/>
    <col min="37" max="37" style="18771" width="11.00390625" hidden="1" customWidth="1"/>
    <col min="38" max="38" style="18771" width="23.57421875" hidden="1" customWidth="1"/>
    <col min="39" max="39" style="18771" width="23.8515625" hidden="1" customWidth="1"/>
    <col min="40" max="40" style="18771" width="25.28125" hidden="1" customWidth="1"/>
    <col min="41" max="41" style="18771" width="16.8515625" hidden="1" customWidth="1"/>
    <col min="42" max="42" style="18771" width="29.57421875" hidden="1" customWidth="1"/>
    <col min="43" max="43" style="18771" width="29.8515625" hidden="1" customWidth="1"/>
  </cols>
  <sheetData>
    <row customHeight="1" ht="11.25" hidden="1">
      <c r="A1" s="518"/>
    </row>
    <row customHeight="1" ht="11.25" hidden="1"/>
    <row customHeight="1" ht="11.25" hidden="1"/>
    <row customHeight="1" ht="3"/>
    <row s="18577" customFormat="1" customHeight="1" ht="29.25">
      <c r="A5" s="516"/>
      <c r="B5" s="516"/>
      <c r="D5" s="244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441"/>
      <c r="F5" s="2441"/>
      <c r="G5" s="2441"/>
      <c r="H5" s="2441"/>
      <c r="I5" s="2441"/>
      <c r="J5" s="2442"/>
      <c r="K5" s="626"/>
      <c r="L5" s="504"/>
      <c r="M5" s="504"/>
      <c r="N5" s="504"/>
      <c r="O5" s="504"/>
      <c r="P5" s="504"/>
      <c r="Q5" s="504"/>
      <c r="R5" s="504"/>
      <c r="S5" s="651"/>
      <c r="T5" s="651"/>
      <c r="U5" s="651"/>
      <c r="V5" s="651"/>
      <c r="W5" s="504"/>
      <c r="Y5" s="1626"/>
      <c r="Z5" s="1626"/>
      <c r="AA5" s="1626"/>
      <c r="AB5" s="1626"/>
      <c r="AC5" s="1626"/>
      <c r="AD5" s="1626"/>
      <c r="AE5" s="1626"/>
      <c r="AF5" s="1626"/>
      <c r="AG5" s="1626"/>
      <c r="AH5" s="1626"/>
      <c r="AI5" s="1626"/>
      <c r="AJ5" s="1626"/>
      <c r="AK5" s="1626"/>
      <c r="AL5" s="1626"/>
      <c r="AM5" s="1626"/>
      <c r="AN5" s="1626"/>
      <c r="AO5" s="1626"/>
      <c r="AP5" s="1626"/>
      <c r="AQ5" s="1626"/>
    </row>
    <row s="18494" customFormat="1" customHeight="1" ht="15">
      <c r="A6" s="946"/>
      <c r="B6" s="946"/>
      <c r="C6" s="946"/>
      <c r="D6" s="2446" t="str">
        <f>IF(org=0,"Не определено",org)</f>
        <v>Филиал "Шатурская ГРЭС" ПАО "Юнипро"</v>
      </c>
      <c r="E6" s="2446"/>
      <c r="F6" s="2446"/>
      <c r="G6" s="2446"/>
      <c r="H6" s="2446"/>
      <c r="I6" s="2446"/>
      <c r="J6" s="2446"/>
      <c r="K6" s="947"/>
      <c r="L6" s="947"/>
      <c r="M6" s="947"/>
      <c r="N6" s="947"/>
      <c r="O6" s="1231"/>
      <c r="P6" s="1231"/>
      <c r="Q6" s="1231"/>
      <c r="R6" s="1231"/>
      <c r="S6" s="1231"/>
      <c r="T6" s="1231"/>
      <c r="U6" s="1231"/>
      <c r="V6" s="1231"/>
      <c r="W6" s="1231"/>
      <c r="X6" s="947"/>
      <c r="Y6" s="1627"/>
      <c r="Z6" s="1627"/>
      <c r="AA6" s="1627"/>
      <c r="AB6" s="1627"/>
      <c r="AC6" s="1627"/>
      <c r="AD6" s="1627"/>
      <c r="AE6" s="1627"/>
      <c r="AF6" s="1627"/>
      <c r="AG6" s="1627"/>
      <c r="AH6" s="1627"/>
      <c r="AI6" s="1627"/>
      <c r="AJ6" s="1627"/>
      <c r="AK6" s="1627"/>
      <c r="AL6" s="1627"/>
      <c r="AM6" s="1627"/>
      <c r="AN6" s="1627"/>
      <c r="AO6" s="1627"/>
      <c r="AP6" s="1627"/>
      <c r="AQ6" s="1627"/>
    </row>
    <row s="18587" customFormat="1" customHeight="1" ht="11.25">
      <c r="A7" s="572"/>
      <c r="B7" s="572"/>
      <c r="D7" s="2443"/>
      <c r="E7" s="2444"/>
      <c r="F7" s="2444"/>
      <c r="G7" s="2444"/>
      <c r="H7" s="2444"/>
      <c r="I7" s="2444"/>
      <c r="J7" s="2445"/>
      <c r="S7" s="660"/>
      <c r="T7" s="660"/>
      <c r="U7" s="660"/>
      <c r="V7" s="660"/>
      <c r="Y7" s="1628"/>
      <c r="Z7" s="1628"/>
      <c r="AA7" s="1628"/>
      <c r="AB7" s="1628"/>
      <c r="AC7" s="1628"/>
      <c r="AD7" s="1628"/>
      <c r="AE7" s="1628"/>
      <c r="AF7" s="1628"/>
      <c r="AG7" s="1628"/>
      <c r="AH7" s="1628"/>
      <c r="AI7" s="1628"/>
      <c r="AJ7" s="1628"/>
      <c r="AK7" s="1628"/>
      <c r="AL7" s="1628"/>
      <c r="AM7" s="1628"/>
      <c r="AN7" s="1628"/>
      <c r="AO7" s="1628"/>
      <c r="AP7" s="1628"/>
      <c r="AQ7" s="1628"/>
    </row>
    <row s="18577" customFormat="1" customHeight="1" ht="0.75">
      <c r="A8" s="516"/>
      <c r="B8" s="516"/>
      <c r="D8" s="573"/>
      <c r="E8" s="573"/>
      <c r="F8" s="573"/>
      <c r="G8" s="573"/>
      <c r="H8" s="573"/>
      <c r="I8" s="573"/>
      <c r="J8" s="573"/>
      <c r="K8" s="573"/>
      <c r="L8" s="573"/>
      <c r="M8" s="573"/>
      <c r="N8" s="573"/>
      <c r="O8" s="573"/>
      <c r="P8" s="573"/>
      <c r="Q8" s="573"/>
      <c r="R8" s="573"/>
      <c r="S8" s="573"/>
      <c r="T8" s="573"/>
      <c r="U8" s="573"/>
      <c r="V8" s="573"/>
      <c r="W8" s="573"/>
      <c r="X8" s="494"/>
      <c r="Y8" s="1626"/>
      <c r="Z8" s="1626"/>
      <c r="AA8" s="1626"/>
      <c r="AB8" s="1626"/>
      <c r="AC8" s="1626"/>
      <c r="AD8" s="1626"/>
      <c r="AE8" s="1626"/>
      <c r="AF8" s="1626"/>
      <c r="AG8" s="1626"/>
      <c r="AH8" s="1626"/>
      <c r="AI8" s="1626"/>
      <c r="AJ8" s="1626"/>
      <c r="AK8" s="1626"/>
      <c r="AL8" s="1626"/>
      <c r="AM8" s="1626"/>
      <c r="AN8" s="1626"/>
      <c r="AO8" s="1626"/>
      <c r="AP8" s="1626"/>
      <c r="AQ8" s="1626"/>
    </row>
    <row customHeight="1" ht="27">
      <c r="D9" s="2392" t="s">
        <v>85</v>
      </c>
      <c r="E9" s="2376" t="s">
        <v>119</v>
      </c>
      <c r="F9" s="2378"/>
      <c r="G9" s="2392" t="s">
        <v>102</v>
      </c>
      <c r="H9" s="2392" t="s">
        <v>85</v>
      </c>
      <c r="I9" s="2392"/>
      <c r="J9" s="2392" t="s">
        <v>120</v>
      </c>
      <c r="K9" s="2447" t="s">
        <v>121</v>
      </c>
      <c r="L9" s="2447"/>
      <c r="M9" s="2447"/>
      <c r="N9" s="2447"/>
      <c r="O9" s="2447" t="s">
        <v>122</v>
      </c>
      <c r="P9" s="2447"/>
      <c r="Q9" s="2447"/>
      <c r="R9" s="2447"/>
      <c r="S9" s="2447" t="s">
        <v>123</v>
      </c>
      <c r="T9" s="2447"/>
      <c r="U9" s="2447"/>
      <c r="V9" s="2447"/>
      <c r="W9" s="2392" t="s">
        <v>124</v>
      </c>
    </row>
    <row customHeight="1" ht="30">
      <c r="D10" s="2392"/>
      <c r="E10" s="1650" t="s">
        <v>86</v>
      </c>
      <c r="F10" s="1650" t="s">
        <v>125</v>
      </c>
      <c r="G10" s="2392"/>
      <c r="H10" s="2392"/>
      <c r="I10" s="2392"/>
      <c r="J10" s="2392"/>
      <c r="K10" s="472" t="s">
        <v>105</v>
      </c>
      <c r="L10" s="2392" t="s">
        <v>85</v>
      </c>
      <c r="M10" s="2392"/>
      <c r="N10" s="472" t="s">
        <v>126</v>
      </c>
      <c r="O10" s="472" t="s">
        <v>105</v>
      </c>
      <c r="P10" s="2392" t="s">
        <v>85</v>
      </c>
      <c r="Q10" s="2392"/>
      <c r="R10" s="472" t="s">
        <v>126</v>
      </c>
      <c r="S10" s="644" t="s">
        <v>105</v>
      </c>
      <c r="T10" s="2392" t="s">
        <v>85</v>
      </c>
      <c r="U10" s="2392"/>
      <c r="V10" s="644" t="s">
        <v>86</v>
      </c>
      <c r="W10" s="2392"/>
      <c r="Z10" s="1625" t="s">
        <v>127</v>
      </c>
      <c r="AA10" s="1625" t="s">
        <v>128</v>
      </c>
      <c r="AB10" s="1625" t="s">
        <v>129</v>
      </c>
      <c r="AC10" s="1625" t="s">
        <v>130</v>
      </c>
      <c r="AD10" s="1625" t="s">
        <v>131</v>
      </c>
      <c r="AE10" s="1625" t="s">
        <v>132</v>
      </c>
      <c r="AF10" s="1625" t="s">
        <v>133</v>
      </c>
      <c r="AG10" s="1625" t="s">
        <v>134</v>
      </c>
      <c r="AH10" s="1625" t="s">
        <v>135</v>
      </c>
      <c r="AI10" s="1625" t="s">
        <v>136</v>
      </c>
      <c r="AJ10" s="1625" t="s">
        <v>137</v>
      </c>
      <c r="AK10" s="1625" t="s">
        <v>138</v>
      </c>
      <c r="AL10" s="1625" t="s">
        <v>139</v>
      </c>
      <c r="AM10" s="1625" t="s">
        <v>140</v>
      </c>
      <c r="AN10" s="1625" t="s">
        <v>141</v>
      </c>
      <c r="AO10" s="1625" t="s">
        <v>142</v>
      </c>
      <c r="AP10" s="1625" t="s">
        <v>143</v>
      </c>
      <c r="AQ10" s="1625" t="s">
        <v>144</v>
      </c>
    </row>
    <row s="18601" customFormat="1" customHeight="1" ht="12" hidden="1">
      <c r="D11" s="1614" t="s">
        <v>106</v>
      </c>
      <c r="E11" s="1614" t="s">
        <v>107</v>
      </c>
      <c r="F11" s="1614"/>
      <c r="G11" s="1614" t="s">
        <v>87</v>
      </c>
      <c r="H11" s="2439" t="s">
        <v>108</v>
      </c>
      <c r="I11" s="2439"/>
      <c r="J11" s="1614" t="s">
        <v>89</v>
      </c>
      <c r="K11" s="1614" t="s">
        <v>90</v>
      </c>
      <c r="L11" s="2439" t="s">
        <v>109</v>
      </c>
      <c r="M11" s="2439"/>
      <c r="N11" s="1614" t="s">
        <v>145</v>
      </c>
      <c r="O11" s="1614" t="s">
        <v>146</v>
      </c>
      <c r="P11" s="2439" t="s">
        <v>147</v>
      </c>
      <c r="Q11" s="2439"/>
      <c r="R11" s="1614" t="s">
        <v>148</v>
      </c>
      <c r="S11" s="1614" t="s">
        <v>147</v>
      </c>
      <c r="T11" s="2439" t="s">
        <v>148</v>
      </c>
      <c r="U11" s="2439"/>
      <c r="V11" s="1614" t="s">
        <v>149</v>
      </c>
      <c r="W11" s="1614" t="s">
        <v>150</v>
      </c>
      <c r="Y11" s="1625"/>
      <c r="Z11" s="1625"/>
      <c r="AA11" s="1625"/>
      <c r="AB11" s="1625"/>
      <c r="AC11" s="1625"/>
      <c r="AD11" s="1625"/>
      <c r="AE11" s="1625"/>
      <c r="AF11" s="1625"/>
      <c r="AG11" s="1625"/>
      <c r="AH11" s="1625"/>
      <c r="AI11" s="1625"/>
      <c r="AJ11" s="1625"/>
      <c r="AK11" s="1625"/>
      <c r="AL11" s="1625"/>
      <c r="AM11" s="1625"/>
      <c r="AN11" s="1625"/>
      <c r="AO11" s="1625"/>
      <c r="AP11" s="1625"/>
      <c r="AQ11" s="1625"/>
    </row>
    <row customHeight="1" ht="14.25" hidden="1">
      <c r="C12" s="570"/>
      <c r="D12" s="1648">
        <v>0</v>
      </c>
      <c r="E12" s="611"/>
      <c r="F12" s="611"/>
      <c r="G12" s="611"/>
      <c r="H12" s="612"/>
      <c r="I12" s="612"/>
      <c r="J12" s="520"/>
      <c r="K12" s="474"/>
      <c r="L12" s="520"/>
      <c r="M12" s="520"/>
      <c r="N12" s="613"/>
      <c r="O12" s="474"/>
      <c r="P12" s="520"/>
      <c r="Q12" s="520"/>
      <c r="R12" s="614"/>
      <c r="S12" s="645"/>
      <c r="T12" s="653"/>
      <c r="U12" s="653"/>
      <c r="V12" s="657"/>
      <c r="W12" s="474"/>
      <c r="X12" s="503"/>
    </row>
    <row s="18616" customFormat="1" customHeight="1" ht="17.25" hidden="1">
      <c r="A13" s="682"/>
      <c r="C13" s="570"/>
      <c r="D13" s="2416">
        <v>1</v>
      </c>
      <c r="E13" s="2418" t="s">
        <v>151</v>
      </c>
      <c r="F13" s="2420" t="s">
        <v>54</v>
      </c>
      <c r="G13" s="2418"/>
      <c r="H13" s="2423"/>
      <c r="I13" s="2425"/>
      <c r="J13" s="2427"/>
      <c r="K13" s="2410"/>
      <c r="L13" s="2410"/>
      <c r="M13" s="2410"/>
      <c r="N13" s="2412"/>
      <c r="O13" s="2410"/>
      <c r="P13" s="2410"/>
      <c r="Q13" s="2410"/>
      <c r="R13" s="2415"/>
      <c r="S13" s="2410"/>
      <c r="T13" s="1786"/>
      <c r="U13" s="1786"/>
      <c r="V13" s="1785"/>
      <c r="W13" s="1662"/>
      <c r="Y13" s="1633"/>
      <c r="Z13" s="1633"/>
      <c r="AA13" s="1633"/>
      <c r="AB13" s="1633"/>
      <c r="AC13" s="1633" t="s">
        <v>152</v>
      </c>
      <c r="AD13" s="1633" t="s">
        <v>153</v>
      </c>
      <c r="AE13" s="1633" t="s">
        <v>154</v>
      </c>
      <c r="AF13" s="1633" t="s">
        <v>155</v>
      </c>
      <c r="AG13" s="1633" t="s">
        <v>156</v>
      </c>
      <c r="AH13" s="163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633" t="str">
        <f>IF($G$13=0,"",$G$13)</f>
        <v/>
      </c>
      <c r="AJ13" s="1633" t="str">
        <f>IF($J$13=0,"",$J$13)</f>
        <v/>
      </c>
      <c r="AK13" s="1633" t="str">
        <f>IF($K$13="нет","без дифференциации",IF($N$13=0,"",$N$13))</f>
        <v/>
      </c>
      <c r="AL13" s="1633" t="str">
        <f>IF($O$13="нет","без дифференциации",IF($R$13=0,"",$R$13))</f>
        <v/>
      </c>
      <c r="AM13" s="1633" t="str">
        <f>IF($S$13="нет","без дифференциации",IF($V$13=0,"",$V$13))</f>
        <v/>
      </c>
      <c r="AN13" s="1633">
        <f>$I$13</f>
        <v>0</v>
      </c>
      <c r="AO13" s="1633" t="str">
        <f>$I$13&amp;"."&amp;$M$13</f>
        <v>.</v>
      </c>
      <c r="AP13" s="1633" t="str">
        <f>$I$13&amp;"."&amp;$M$13&amp;"."&amp;$Q$13</f>
        <v>..</v>
      </c>
      <c r="AQ13" s="1633" t="str">
        <f>$I$13&amp;"."&amp;$M$13&amp;"."&amp;$Q$13&amp;"."&amp;$U$13</f>
        <v>...</v>
      </c>
    </row>
    <row s="18616" customFormat="1" customHeight="1" ht="17.25" hidden="1">
      <c r="A14" s="682"/>
      <c r="C14" s="681"/>
      <c r="D14" s="2416"/>
      <c r="E14" s="2418"/>
      <c r="F14" s="2421"/>
      <c r="G14" s="2418"/>
      <c r="H14" s="2424"/>
      <c r="I14" s="2426"/>
      <c r="J14" s="2428"/>
      <c r="K14" s="2411"/>
      <c r="L14" s="2411"/>
      <c r="M14" s="2411"/>
      <c r="N14" s="2413"/>
      <c r="O14" s="2411"/>
      <c r="P14" s="2411"/>
      <c r="Q14" s="2411"/>
      <c r="R14" s="2414"/>
      <c r="S14" s="2411"/>
      <c r="T14" s="1663"/>
      <c r="U14" s="1663"/>
      <c r="V14" s="1663"/>
      <c r="W14" s="1664"/>
      <c r="Y14" s="1625"/>
      <c r="Z14" s="1625"/>
      <c r="AA14" s="1625"/>
      <c r="AB14" s="1625"/>
      <c r="AC14" s="1625"/>
      <c r="AD14" s="1625"/>
      <c r="AE14" s="1625"/>
      <c r="AF14" s="1625"/>
      <c r="AG14" s="1625"/>
      <c r="AH14" s="1625"/>
      <c r="AI14" s="1625"/>
      <c r="AJ14" s="1625"/>
      <c r="AK14" s="1625"/>
      <c r="AL14" s="1625"/>
      <c r="AM14" s="1625"/>
      <c r="AN14" s="1625"/>
      <c r="AO14" s="1625"/>
      <c r="AP14" s="1625"/>
      <c r="AQ14" s="1625"/>
    </row>
    <row s="18641" customFormat="1" customHeight="1" ht="17.25" hidden="1">
      <c r="A15" s="682"/>
      <c r="C15" s="570"/>
      <c r="D15" s="2416"/>
      <c r="E15" s="2418"/>
      <c r="F15" s="2421"/>
      <c r="G15" s="2418"/>
      <c r="H15" s="2424"/>
      <c r="I15" s="2426"/>
      <c r="J15" s="2429"/>
      <c r="K15" s="2411"/>
      <c r="L15" s="2411"/>
      <c r="M15" s="2411"/>
      <c r="N15" s="2414"/>
      <c r="O15" s="2411"/>
      <c r="P15" s="1784"/>
      <c r="Q15" s="1663"/>
      <c r="R15" s="1663"/>
      <c r="S15" s="690"/>
      <c r="T15" s="690"/>
      <c r="U15" s="690"/>
      <c r="V15" s="690"/>
      <c r="W15" s="1664"/>
      <c r="Y15" s="1633"/>
      <c r="Z15" s="1633"/>
      <c r="AA15" s="1633"/>
      <c r="AB15" s="1633"/>
      <c r="AC15" s="1633"/>
      <c r="AD15" s="1633"/>
      <c r="AE15" s="1633"/>
      <c r="AF15" s="1633"/>
      <c r="AG15" s="1633"/>
      <c r="AH15" s="1633"/>
      <c r="AI15" s="1633"/>
      <c r="AJ15" s="1633"/>
      <c r="AK15" s="1633"/>
      <c r="AL15" s="1633"/>
      <c r="AM15" s="1633"/>
      <c r="AN15" s="1633"/>
      <c r="AO15" s="1633"/>
      <c r="AP15" s="1633"/>
      <c r="AQ15" s="1633"/>
    </row>
    <row s="18641" customFormat="1" customHeight="1" ht="17.25" hidden="1">
      <c r="A16" s="682"/>
      <c r="C16" s="681"/>
      <c r="D16" s="2416"/>
      <c r="E16" s="2418"/>
      <c r="F16" s="2421"/>
      <c r="G16" s="2418"/>
      <c r="H16" s="2424"/>
      <c r="I16" s="2426"/>
      <c r="J16" s="2429"/>
      <c r="K16" s="2411"/>
      <c r="L16" s="1663"/>
      <c r="M16" s="1663"/>
      <c r="N16" s="1663"/>
      <c r="O16" s="1663"/>
      <c r="P16" s="1663"/>
      <c r="Q16" s="1663"/>
      <c r="R16" s="1663"/>
      <c r="S16" s="690"/>
      <c r="T16" s="690"/>
      <c r="U16" s="690"/>
      <c r="V16" s="690"/>
      <c r="W16" s="1664"/>
      <c r="Y16" s="1625"/>
      <c r="Z16" s="1625"/>
      <c r="AA16" s="1625"/>
      <c r="AB16" s="1625"/>
      <c r="AC16" s="1625"/>
      <c r="AD16" s="1625"/>
      <c r="AE16" s="1625"/>
      <c r="AF16" s="1625"/>
      <c r="AG16" s="1625"/>
      <c r="AH16" s="1625"/>
      <c r="AI16" s="1625"/>
      <c r="AJ16" s="1625"/>
      <c r="AK16" s="1625"/>
      <c r="AL16" s="1625"/>
      <c r="AM16" s="1625"/>
      <c r="AN16" s="1625"/>
      <c r="AO16" s="1625"/>
      <c r="AP16" s="1625"/>
      <c r="AQ16" s="1625"/>
    </row>
    <row s="18616" customFormat="1" customHeight="1" ht="17.25" hidden="1">
      <c r="A17" s="682"/>
      <c r="C17" s="681"/>
      <c r="D17" s="2417"/>
      <c r="E17" s="2419"/>
      <c r="F17" s="2422"/>
      <c r="G17" s="2419"/>
      <c r="H17" s="1665"/>
      <c r="I17" s="1666"/>
      <c r="J17" s="1666"/>
      <c r="K17" s="1666"/>
      <c r="L17" s="1666"/>
      <c r="M17" s="1666"/>
      <c r="N17" s="1666"/>
      <c r="O17" s="1666"/>
      <c r="P17" s="1666"/>
      <c r="Q17" s="1666"/>
      <c r="R17" s="1666"/>
      <c r="S17" s="1667"/>
      <c r="T17" s="1667"/>
      <c r="U17" s="1667"/>
      <c r="V17" s="1667"/>
      <c r="W17" s="1668"/>
      <c r="Y17" s="1625"/>
      <c r="Z17" s="1625"/>
      <c r="AA17" s="1625"/>
      <c r="AB17" s="1625"/>
      <c r="AC17" s="1625"/>
      <c r="AD17" s="1625"/>
      <c r="AE17" s="1625"/>
      <c r="AF17" s="1625"/>
      <c r="AG17" s="1625"/>
      <c r="AH17" s="1625"/>
      <c r="AI17" s="1625"/>
      <c r="AJ17" s="1625"/>
      <c r="AK17" s="1625"/>
      <c r="AL17" s="1625"/>
      <c r="AM17" s="1625"/>
      <c r="AN17" s="1625"/>
      <c r="AO17" s="1625"/>
      <c r="AP17" s="1625"/>
      <c r="AQ17" s="1625"/>
    </row>
    <row s="18652" customFormat="1" customHeight="1" ht="17.25" hidden="1">
      <c r="A18" s="682"/>
      <c r="C18" s="570"/>
      <c r="D18" s="2416">
        <v>2</v>
      </c>
      <c r="E18" s="2418" t="s">
        <v>157</v>
      </c>
      <c r="F18" s="2420" t="s">
        <v>54</v>
      </c>
      <c r="G18" s="2418"/>
      <c r="H18" s="2423"/>
      <c r="I18" s="2425"/>
      <c r="J18" s="2427"/>
      <c r="K18" s="2410"/>
      <c r="L18" s="2410"/>
      <c r="M18" s="2410"/>
      <c r="N18" s="2412"/>
      <c r="O18" s="2410"/>
      <c r="P18" s="2410"/>
      <c r="Q18" s="2410"/>
      <c r="R18" s="2415"/>
      <c r="S18" s="2410"/>
      <c r="T18" s="1786"/>
      <c r="U18" s="1786"/>
      <c r="V18" s="1785"/>
      <c r="W18" s="1662"/>
      <c r="X18" s="1633"/>
      <c r="Y18" s="1633"/>
      <c r="Z18" s="1633"/>
      <c r="AA18" s="1633"/>
      <c r="AB18" s="1633"/>
      <c r="AC18" s="1633" t="s">
        <v>158</v>
      </c>
      <c r="AD18" s="1633" t="s">
        <v>159</v>
      </c>
      <c r="AE18" s="1633" t="s">
        <v>160</v>
      </c>
      <c r="AF18" s="1633" t="s">
        <v>161</v>
      </c>
      <c r="AG18" s="1633" t="s">
        <v>162</v>
      </c>
      <c r="AH18" s="1633" t="str">
        <f>IF($E$18=0,"",$E$18)</f>
        <v>Тарифы на тепловую энергию (мощность), поставляемую теплоснабжающими организациями потребителям, другим теплоснабжающим организациям</v>
      </c>
      <c r="AI18" s="1633" t="str">
        <f>IF($G$18=0,"",$G$18)</f>
        <v/>
      </c>
      <c r="AJ18" s="1633" t="str">
        <f>IF($J$18=0,"",$J$18)</f>
        <v/>
      </c>
      <c r="AK18" s="1633" t="str">
        <f>IF($K$18="нет","без дифференциации",IF($N$18=0,"",$N$18))</f>
        <v/>
      </c>
      <c r="AL18" s="1633" t="str">
        <f>IF($O$18="нет","без дифференциации",IF($R$18=0,"",$R$18))</f>
        <v/>
      </c>
      <c r="AM18" s="1633" t="str">
        <f>IF($S$18="нет","без дифференциации",IF($V$18=0,"",$V$18))</f>
        <v/>
      </c>
      <c r="AN18" s="2138">
        <f>$I$18</f>
        <v>0</v>
      </c>
      <c r="AO18" s="1633" t="str">
        <f>$I$18&amp;"."&amp;$M$18</f>
        <v>.</v>
      </c>
      <c r="AP18" s="1625" t="str">
        <f>$I$18&amp;"."&amp;$M$18&amp;"."&amp;$Q$18</f>
        <v>..</v>
      </c>
      <c r="AQ18" s="1625" t="str">
        <f>$I$18&amp;"."&amp;$M$18&amp;"."&amp;$Q$18&amp;"."&amp;$U$18</f>
        <v>...</v>
      </c>
    </row>
    <row s="18652" customFormat="1" customHeight="1" ht="17.25" hidden="1">
      <c r="A19" s="682"/>
      <c r="C19" s="681"/>
      <c r="D19" s="2416"/>
      <c r="E19" s="2418"/>
      <c r="F19" s="2421"/>
      <c r="G19" s="2418"/>
      <c r="H19" s="2424"/>
      <c r="I19" s="2426"/>
      <c r="J19" s="2428"/>
      <c r="K19" s="2411"/>
      <c r="L19" s="2411"/>
      <c r="M19" s="2411"/>
      <c r="N19" s="2413"/>
      <c r="O19" s="2411"/>
      <c r="P19" s="2411"/>
      <c r="Q19" s="2411"/>
      <c r="R19" s="2414"/>
      <c r="S19" s="2411"/>
      <c r="T19" s="1663"/>
      <c r="U19" s="1663"/>
      <c r="V19" s="1663"/>
      <c r="W19" s="1664"/>
      <c r="X19" s="1625"/>
      <c r="Y19" s="1625"/>
      <c r="Z19" s="1625"/>
      <c r="AA19" s="1625"/>
      <c r="AB19" s="1625"/>
      <c r="AC19" s="1625"/>
      <c r="AD19" s="1625"/>
      <c r="AE19" s="1625"/>
      <c r="AF19" s="1625"/>
      <c r="AG19" s="1625"/>
      <c r="AH19" s="1625"/>
      <c r="AI19" s="1625"/>
      <c r="AJ19" s="1625"/>
      <c r="AK19" s="1625"/>
      <c r="AL19" s="1625"/>
      <c r="AM19" s="1625"/>
      <c r="AN19" s="1625"/>
      <c r="AO19" s="1625"/>
      <c r="AP19" s="1625"/>
      <c r="AQ19" s="1625"/>
    </row>
    <row s="18652" customFormat="1" customHeight="1" ht="17.25" hidden="1">
      <c r="A20" s="682"/>
      <c r="C20" s="681"/>
      <c r="D20" s="2417"/>
      <c r="E20" s="2419"/>
      <c r="F20" s="2421"/>
      <c r="G20" s="2419"/>
      <c r="H20" s="2424"/>
      <c r="I20" s="2426"/>
      <c r="J20" s="2429"/>
      <c r="K20" s="2411"/>
      <c r="L20" s="2411"/>
      <c r="M20" s="2411"/>
      <c r="N20" s="2414"/>
      <c r="O20" s="2411"/>
      <c r="P20" s="1784"/>
      <c r="Q20" s="1663"/>
      <c r="R20" s="1663"/>
      <c r="S20" s="690"/>
      <c r="T20" s="690"/>
      <c r="U20" s="690"/>
      <c r="V20" s="690"/>
      <c r="W20" s="1664"/>
      <c r="X20" s="1625"/>
      <c r="Y20" s="1625"/>
      <c r="Z20" s="1625"/>
      <c r="AA20" s="1625"/>
      <c r="AB20" s="1625"/>
      <c r="AC20" s="1625"/>
      <c r="AD20" s="1625"/>
      <c r="AE20" s="1625"/>
      <c r="AF20" s="1625"/>
      <c r="AG20" s="1625"/>
      <c r="AH20" s="1625"/>
      <c r="AI20" s="1625"/>
      <c r="AJ20" s="1625"/>
      <c r="AK20" s="1625"/>
      <c r="AL20" s="1625"/>
      <c r="AM20" s="1625"/>
      <c r="AN20" s="1625"/>
      <c r="AO20" s="1625"/>
      <c r="AP20" s="1625"/>
      <c r="AQ20" s="1625"/>
    </row>
    <row s="18652" customFormat="1" customHeight="1" ht="17.25" hidden="1">
      <c r="A21" s="682"/>
      <c r="C21" s="681"/>
      <c r="D21" s="2417"/>
      <c r="E21" s="2419"/>
      <c r="F21" s="2421"/>
      <c r="G21" s="2419"/>
      <c r="H21" s="2424"/>
      <c r="I21" s="2426"/>
      <c r="J21" s="2429"/>
      <c r="K21" s="2411"/>
      <c r="L21" s="1663"/>
      <c r="M21" s="1663"/>
      <c r="N21" s="1663"/>
      <c r="O21" s="1663"/>
      <c r="P21" s="1663"/>
      <c r="Q21" s="1663"/>
      <c r="R21" s="1663"/>
      <c r="S21" s="690"/>
      <c r="T21" s="690"/>
      <c r="U21" s="690"/>
      <c r="V21" s="690"/>
      <c r="W21" s="1664"/>
      <c r="X21" s="1625"/>
      <c r="Y21" s="1625"/>
      <c r="Z21" s="1625"/>
      <c r="AA21" s="1625"/>
      <c r="AB21" s="1625"/>
      <c r="AC21" s="1625"/>
      <c r="AD21" s="1625"/>
      <c r="AE21" s="1625"/>
      <c r="AF21" s="1625"/>
      <c r="AG21" s="1625"/>
      <c r="AH21" s="1625"/>
      <c r="AI21" s="1625"/>
      <c r="AJ21" s="1625"/>
      <c r="AK21" s="1625"/>
      <c r="AL21" s="1625"/>
      <c r="AM21" s="1625"/>
      <c r="AN21" s="1625"/>
      <c r="AO21" s="1625"/>
      <c r="AP21" s="1625"/>
      <c r="AQ21" s="1625"/>
    </row>
    <row s="18652" customFormat="1" customHeight="1" ht="17.25" hidden="1">
      <c r="A22" s="682"/>
      <c r="C22" s="681"/>
      <c r="D22" s="2417"/>
      <c r="E22" s="2419"/>
      <c r="F22" s="2422"/>
      <c r="G22" s="2419"/>
      <c r="H22" s="1665"/>
      <c r="I22" s="1666"/>
      <c r="J22" s="1666"/>
      <c r="K22" s="1666"/>
      <c r="L22" s="1666"/>
      <c r="M22" s="1666"/>
      <c r="N22" s="1666"/>
      <c r="O22" s="1666"/>
      <c r="P22" s="1666"/>
      <c r="Q22" s="1666"/>
      <c r="R22" s="1666"/>
      <c r="S22" s="1667"/>
      <c r="T22" s="1667"/>
      <c r="U22" s="1667"/>
      <c r="V22" s="1667"/>
      <c r="W22" s="1668"/>
      <c r="X22" s="1625"/>
      <c r="Y22" s="1625"/>
      <c r="Z22" s="1625"/>
      <c r="AA22" s="1625"/>
      <c r="AB22" s="1625"/>
      <c r="AC22" s="1625"/>
      <c r="AD22" s="1625"/>
      <c r="AE22" s="1625"/>
      <c r="AF22" s="1625"/>
      <c r="AG22" s="1625"/>
      <c r="AH22" s="1625"/>
      <c r="AI22" s="1625"/>
      <c r="AJ22" s="1625"/>
      <c r="AK22" s="1625"/>
      <c r="AL22" s="1625"/>
      <c r="AM22" s="1625"/>
      <c r="AN22" s="1625"/>
      <c r="AO22" s="1625"/>
      <c r="AP22" s="1625"/>
      <c r="AQ22" s="1625"/>
    </row>
    <row s="18652" customFormat="1" customHeight="1" ht="17.25" hidden="1">
      <c r="A23" s="682"/>
      <c r="C23" s="570"/>
      <c r="D23" s="2416">
        <v>3</v>
      </c>
      <c r="E23" s="2418" t="s">
        <v>163</v>
      </c>
      <c r="F23" s="2420" t="s">
        <v>54</v>
      </c>
      <c r="G23" s="2418"/>
      <c r="H23" s="2423"/>
      <c r="I23" s="2425"/>
      <c r="J23" s="2427"/>
      <c r="K23" s="2410"/>
      <c r="L23" s="2410"/>
      <c r="M23" s="2410"/>
      <c r="N23" s="2412"/>
      <c r="O23" s="2410"/>
      <c r="P23" s="2410"/>
      <c r="Q23" s="2410"/>
      <c r="R23" s="2415"/>
      <c r="S23" s="2410"/>
      <c r="T23" s="1786"/>
      <c r="U23" s="1786"/>
      <c r="V23" s="1785"/>
      <c r="W23" s="1662"/>
      <c r="X23" s="1633"/>
      <c r="Y23" s="1633"/>
      <c r="Z23" s="1633"/>
      <c r="AA23" s="1633"/>
      <c r="AB23" s="1633"/>
      <c r="AC23" s="1633" t="s">
        <v>164</v>
      </c>
      <c r="AD23" s="1633" t="s">
        <v>165</v>
      </c>
      <c r="AE23" s="1633" t="s">
        <v>166</v>
      </c>
      <c r="AF23" s="1633" t="s">
        <v>167</v>
      </c>
      <c r="AG23" s="1633" t="s">
        <v>168</v>
      </c>
      <c r="AH23" s="1633" t="str">
        <f>IF($E$23=0,"",$E$23)</f>
        <v>Тарифы на теплоноситель, поставляемый теплоснабжающими организациями потребителям, другим теплоснабжающим организациям</v>
      </c>
      <c r="AI23" s="1633" t="str">
        <f>IF($G$23=0,"",$G$23)</f>
        <v/>
      </c>
      <c r="AJ23" s="1633" t="str">
        <f>IF($J$23=0,"",$J$23)</f>
        <v/>
      </c>
      <c r="AK23" s="1633" t="str">
        <f>IF($K$23="нет","без дифференциации",IF($N$23=0,"",$N$23))</f>
        <v/>
      </c>
      <c r="AL23" s="1633" t="str">
        <f>IF($O$23="нет","без дифференциации",IF($R$23=0,"",$R$23))</f>
        <v/>
      </c>
      <c r="AM23" s="1633" t="str">
        <f>IF($S$23="нет","без дифференциации",IF($V$23=0,"",$V$23))</f>
        <v/>
      </c>
      <c r="AN23" s="2138">
        <f>$I$23</f>
        <v>0</v>
      </c>
      <c r="AO23" s="1633" t="str">
        <f>$I$23&amp;"."&amp;$M$23</f>
        <v>.</v>
      </c>
      <c r="AP23" s="1625" t="str">
        <f>$I$23&amp;"."&amp;$M$23&amp;"."&amp;$Q$23</f>
        <v>..</v>
      </c>
      <c r="AQ23" s="1625" t="str">
        <f>$I$23&amp;"."&amp;$M$23&amp;"."&amp;$Q$23&amp;"."&amp;$U$23</f>
        <v>...</v>
      </c>
    </row>
    <row s="18652" customFormat="1" customHeight="1" ht="17.25" hidden="1">
      <c r="A24" s="682"/>
      <c r="C24" s="681"/>
      <c r="D24" s="2416"/>
      <c r="E24" s="2418"/>
      <c r="F24" s="2421"/>
      <c r="G24" s="2418"/>
      <c r="H24" s="2424"/>
      <c r="I24" s="2426"/>
      <c r="J24" s="2428"/>
      <c r="K24" s="2411"/>
      <c r="L24" s="2411"/>
      <c r="M24" s="2411"/>
      <c r="N24" s="2413"/>
      <c r="O24" s="2411"/>
      <c r="P24" s="2411"/>
      <c r="Q24" s="2411"/>
      <c r="R24" s="2414"/>
      <c r="S24" s="2411"/>
      <c r="T24" s="1663"/>
      <c r="U24" s="1663"/>
      <c r="V24" s="1663"/>
      <c r="W24" s="1664"/>
      <c r="X24" s="1625"/>
      <c r="Y24" s="1625"/>
      <c r="Z24" s="1625"/>
      <c r="AA24" s="1625"/>
      <c r="AB24" s="1625"/>
      <c r="AC24" s="1625"/>
      <c r="AD24" s="1625"/>
      <c r="AE24" s="1625"/>
      <c r="AF24" s="1625"/>
      <c r="AG24" s="1625"/>
      <c r="AH24" s="1625"/>
      <c r="AI24" s="1625"/>
      <c r="AJ24" s="1625"/>
      <c r="AK24" s="1625"/>
      <c r="AL24" s="1625"/>
      <c r="AM24" s="1625"/>
      <c r="AN24" s="1625"/>
      <c r="AO24" s="1625"/>
      <c r="AP24" s="1625"/>
      <c r="AQ24" s="1625"/>
    </row>
    <row s="18652" customFormat="1" customHeight="1" ht="17.25" hidden="1">
      <c r="A25" s="682"/>
      <c r="C25" s="681"/>
      <c r="D25" s="2417"/>
      <c r="E25" s="2419"/>
      <c r="F25" s="2421"/>
      <c r="G25" s="2419"/>
      <c r="H25" s="2424"/>
      <c r="I25" s="2426"/>
      <c r="J25" s="2429"/>
      <c r="K25" s="2411"/>
      <c r="L25" s="2411"/>
      <c r="M25" s="2411"/>
      <c r="N25" s="2414"/>
      <c r="O25" s="2411"/>
      <c r="P25" s="1784"/>
      <c r="Q25" s="1663"/>
      <c r="R25" s="1663"/>
      <c r="S25" s="690"/>
      <c r="T25" s="690"/>
      <c r="U25" s="690"/>
      <c r="V25" s="690"/>
      <c r="W25" s="1664"/>
      <c r="X25" s="1625"/>
      <c r="Y25" s="1625"/>
      <c r="Z25" s="1625"/>
      <c r="AA25" s="1625"/>
      <c r="AB25" s="1625"/>
      <c r="AC25" s="1625"/>
      <c r="AD25" s="1625"/>
      <c r="AE25" s="1625"/>
      <c r="AF25" s="1625"/>
      <c r="AG25" s="1625"/>
      <c r="AH25" s="1625"/>
      <c r="AI25" s="1625"/>
      <c r="AJ25" s="1625"/>
      <c r="AK25" s="1625"/>
      <c r="AL25" s="1625"/>
      <c r="AM25" s="1625"/>
      <c r="AN25" s="1625"/>
      <c r="AO25" s="1625"/>
      <c r="AP25" s="1625"/>
      <c r="AQ25" s="1625"/>
    </row>
    <row s="18652" customFormat="1" customHeight="1" ht="17.25" hidden="1">
      <c r="A26" s="682"/>
      <c r="C26" s="681"/>
      <c r="D26" s="2417"/>
      <c r="E26" s="2419"/>
      <c r="F26" s="2421"/>
      <c r="G26" s="2419"/>
      <c r="H26" s="2424"/>
      <c r="I26" s="2426"/>
      <c r="J26" s="2429"/>
      <c r="K26" s="2411"/>
      <c r="L26" s="1663"/>
      <c r="M26" s="1663"/>
      <c r="N26" s="1663"/>
      <c r="O26" s="1663"/>
      <c r="P26" s="1663"/>
      <c r="Q26" s="1663"/>
      <c r="R26" s="1663"/>
      <c r="S26" s="690"/>
      <c r="T26" s="690"/>
      <c r="U26" s="690"/>
      <c r="V26" s="690"/>
      <c r="W26" s="1664"/>
      <c r="X26" s="1625"/>
      <c r="Y26" s="1625"/>
      <c r="Z26" s="1625"/>
      <c r="AA26" s="1625"/>
      <c r="AB26" s="1625"/>
      <c r="AC26" s="1625"/>
      <c r="AD26" s="1625"/>
      <c r="AE26" s="1625"/>
      <c r="AF26" s="1625"/>
      <c r="AG26" s="1625"/>
      <c r="AH26" s="1625"/>
      <c r="AI26" s="1625"/>
      <c r="AJ26" s="1625"/>
      <c r="AK26" s="1625"/>
      <c r="AL26" s="1625"/>
      <c r="AM26" s="1625"/>
      <c r="AN26" s="1625"/>
      <c r="AO26" s="1625"/>
      <c r="AP26" s="1625"/>
      <c r="AQ26" s="1625"/>
    </row>
    <row s="18652" customFormat="1" customHeight="1" ht="17.25" hidden="1">
      <c r="A27" s="682"/>
      <c r="C27" s="681"/>
      <c r="D27" s="2417"/>
      <c r="E27" s="2419"/>
      <c r="F27" s="2422"/>
      <c r="G27" s="2419"/>
      <c r="H27" s="1665"/>
      <c r="I27" s="1666"/>
      <c r="J27" s="1666"/>
      <c r="K27" s="1666"/>
      <c r="L27" s="1666"/>
      <c r="M27" s="1666"/>
      <c r="N27" s="1666"/>
      <c r="O27" s="1666"/>
      <c r="P27" s="1666"/>
      <c r="Q27" s="1666"/>
      <c r="R27" s="1666"/>
      <c r="S27" s="1667"/>
      <c r="T27" s="1667"/>
      <c r="U27" s="1667"/>
      <c r="V27" s="1667"/>
      <c r="W27" s="1668"/>
      <c r="X27" s="1625"/>
      <c r="Y27" s="1625"/>
      <c r="Z27" s="1625"/>
      <c r="AA27" s="1625"/>
      <c r="AB27" s="1625"/>
      <c r="AC27" s="1625"/>
      <c r="AD27" s="1625"/>
      <c r="AE27" s="1625"/>
      <c r="AF27" s="1625"/>
      <c r="AG27" s="1625"/>
      <c r="AH27" s="1625"/>
      <c r="AI27" s="1625"/>
      <c r="AJ27" s="1625"/>
      <c r="AK27" s="1625"/>
      <c r="AL27" s="1625"/>
      <c r="AM27" s="1625"/>
      <c r="AN27" s="1625"/>
      <c r="AO27" s="1625"/>
      <c r="AP27" s="1625"/>
      <c r="AQ27" s="1625"/>
    </row>
    <row s="18652" customFormat="1" customHeight="1" ht="17.25" hidden="1">
      <c r="A28" s="682"/>
      <c r="C28" s="570"/>
      <c r="D28" s="2416">
        <v>4</v>
      </c>
      <c r="E28" s="2418" t="s">
        <v>169</v>
      </c>
      <c r="F28" s="2420" t="s">
        <v>54</v>
      </c>
      <c r="G28" s="2418"/>
      <c r="H28" s="2423"/>
      <c r="I28" s="2425"/>
      <c r="J28" s="2427"/>
      <c r="K28" s="2410"/>
      <c r="L28" s="2410"/>
      <c r="M28" s="2410"/>
      <c r="N28" s="2412"/>
      <c r="O28" s="2410"/>
      <c r="P28" s="2410"/>
      <c r="Q28" s="2410"/>
      <c r="R28" s="2415"/>
      <c r="S28" s="2410"/>
      <c r="T28" s="1786"/>
      <c r="U28" s="1786"/>
      <c r="V28" s="1785"/>
      <c r="W28" s="1662"/>
      <c r="X28" s="1633"/>
      <c r="Y28" s="1633"/>
      <c r="Z28" s="1633"/>
      <c r="AA28" s="1633"/>
      <c r="AB28" s="1633"/>
      <c r="AC28" s="1633" t="s">
        <v>170</v>
      </c>
      <c r="AD28" s="1633" t="s">
        <v>171</v>
      </c>
      <c r="AE28" s="1633" t="s">
        <v>172</v>
      </c>
      <c r="AF28" s="1633" t="s">
        <v>173</v>
      </c>
      <c r="AG28" s="1633" t="s">
        <v>174</v>
      </c>
      <c r="AH28" s="1633"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633" t="str">
        <f>IF($G$28=0,"",$G$28)</f>
        <v/>
      </c>
      <c r="AJ28" s="1633" t="str">
        <f>IF($J$28=0,"",$J$28)</f>
        <v/>
      </c>
      <c r="AK28" s="1633" t="str">
        <f>IF($K$28="нет","без дифференциации",IF($N$28=0,"",$N$28))</f>
        <v/>
      </c>
      <c r="AL28" s="1633" t="str">
        <f>IF($O$28="нет","без дифференциации",IF($R$28=0,"",$R$28))</f>
        <v/>
      </c>
      <c r="AM28" s="1633" t="str">
        <f>IF($S$28="нет","без дифференциации",IF($V$28=0,"",$V$28))</f>
        <v/>
      </c>
      <c r="AN28" s="2138">
        <f>$I$28</f>
        <v>0</v>
      </c>
      <c r="AO28" s="1633" t="str">
        <f>$I$28&amp;"."&amp;$M$28</f>
        <v>.</v>
      </c>
      <c r="AP28" s="1625" t="str">
        <f>$I$28&amp;"."&amp;$M$28&amp;"."&amp;$Q$28</f>
        <v>..</v>
      </c>
      <c r="AQ28" s="1625" t="str">
        <f>$I$28&amp;"."&amp;$M$28&amp;"."&amp;$Q$28&amp;"."&amp;$U$28</f>
        <v>...</v>
      </c>
    </row>
    <row s="18652" customFormat="1" customHeight="1" ht="17.25" hidden="1">
      <c r="A29" s="682"/>
      <c r="C29" s="681"/>
      <c r="D29" s="2416"/>
      <c r="E29" s="2418"/>
      <c r="F29" s="2421"/>
      <c r="G29" s="2418"/>
      <c r="H29" s="2424"/>
      <c r="I29" s="2426"/>
      <c r="J29" s="2428"/>
      <c r="K29" s="2411"/>
      <c r="L29" s="2411"/>
      <c r="M29" s="2411"/>
      <c r="N29" s="2413"/>
      <c r="O29" s="2411"/>
      <c r="P29" s="2411"/>
      <c r="Q29" s="2411"/>
      <c r="R29" s="2414"/>
      <c r="S29" s="2411"/>
      <c r="T29" s="1663"/>
      <c r="U29" s="1663"/>
      <c r="V29" s="1663"/>
      <c r="W29" s="1664"/>
      <c r="X29" s="1625"/>
      <c r="Y29" s="1625"/>
      <c r="Z29" s="1625"/>
      <c r="AA29" s="1625"/>
      <c r="AB29" s="1625"/>
      <c r="AC29" s="1625"/>
      <c r="AD29" s="1625"/>
      <c r="AE29" s="1625"/>
      <c r="AF29" s="1625"/>
      <c r="AG29" s="1625"/>
      <c r="AH29" s="1625"/>
      <c r="AI29" s="1625"/>
      <c r="AJ29" s="1625"/>
      <c r="AK29" s="1625"/>
      <c r="AL29" s="1625"/>
      <c r="AM29" s="1625"/>
      <c r="AN29" s="1625"/>
      <c r="AO29" s="1625"/>
      <c r="AP29" s="1625"/>
      <c r="AQ29" s="1625"/>
    </row>
    <row s="18652" customFormat="1" customHeight="1" ht="17.25" hidden="1">
      <c r="A30" s="682"/>
      <c r="C30" s="681"/>
      <c r="D30" s="2417"/>
      <c r="E30" s="2419"/>
      <c r="F30" s="2421"/>
      <c r="G30" s="2419"/>
      <c r="H30" s="2424"/>
      <c r="I30" s="2426"/>
      <c r="J30" s="2429"/>
      <c r="K30" s="2411"/>
      <c r="L30" s="2411"/>
      <c r="M30" s="2411"/>
      <c r="N30" s="2414"/>
      <c r="O30" s="2411"/>
      <c r="P30" s="1784"/>
      <c r="Q30" s="1663"/>
      <c r="R30" s="1663"/>
      <c r="S30" s="690"/>
      <c r="T30" s="690"/>
      <c r="U30" s="690"/>
      <c r="V30" s="690"/>
      <c r="W30" s="1664"/>
      <c r="X30" s="1625"/>
      <c r="Y30" s="1625"/>
      <c r="Z30" s="1625"/>
      <c r="AA30" s="1625"/>
      <c r="AB30" s="1625"/>
      <c r="AC30" s="1625"/>
      <c r="AD30" s="1625"/>
      <c r="AE30" s="1625"/>
      <c r="AF30" s="1625"/>
      <c r="AG30" s="1625"/>
      <c r="AH30" s="1625"/>
      <c r="AI30" s="1625"/>
      <c r="AJ30" s="1625"/>
      <c r="AK30" s="1625"/>
      <c r="AL30" s="1625"/>
      <c r="AM30" s="1625"/>
      <c r="AN30" s="1625"/>
      <c r="AO30" s="1625"/>
      <c r="AP30" s="1625"/>
      <c r="AQ30" s="1625"/>
    </row>
    <row s="18652" customFormat="1" customHeight="1" ht="17.25" hidden="1">
      <c r="A31" s="682"/>
      <c r="C31" s="681"/>
      <c r="D31" s="2417"/>
      <c r="E31" s="2419"/>
      <c r="F31" s="2421"/>
      <c r="G31" s="2419"/>
      <c r="H31" s="2424"/>
      <c r="I31" s="2426"/>
      <c r="J31" s="2429"/>
      <c r="K31" s="2411"/>
      <c r="L31" s="1663"/>
      <c r="M31" s="1663"/>
      <c r="N31" s="1663"/>
      <c r="O31" s="1663"/>
      <c r="P31" s="1663"/>
      <c r="Q31" s="1663"/>
      <c r="R31" s="1663"/>
      <c r="S31" s="690"/>
      <c r="T31" s="690"/>
      <c r="U31" s="690"/>
      <c r="V31" s="690"/>
      <c r="W31" s="1664"/>
      <c r="X31" s="1625"/>
      <c r="Y31" s="1625"/>
      <c r="Z31" s="1625"/>
      <c r="AA31" s="1625"/>
      <c r="AB31" s="1625"/>
      <c r="AC31" s="1625"/>
      <c r="AD31" s="1625"/>
      <c r="AE31" s="1625"/>
      <c r="AF31" s="1625"/>
      <c r="AG31" s="1625"/>
      <c r="AH31" s="1625"/>
      <c r="AI31" s="1625"/>
      <c r="AJ31" s="1625"/>
      <c r="AK31" s="1625"/>
      <c r="AL31" s="1625"/>
      <c r="AM31" s="1625"/>
      <c r="AN31" s="1625"/>
      <c r="AO31" s="1625"/>
      <c r="AP31" s="1625"/>
      <c r="AQ31" s="1625"/>
    </row>
    <row s="18652" customFormat="1" customHeight="1" ht="17.25" hidden="1">
      <c r="A32" s="682"/>
      <c r="C32" s="681"/>
      <c r="D32" s="2417"/>
      <c r="E32" s="2419"/>
      <c r="F32" s="2422"/>
      <c r="G32" s="2419"/>
      <c r="H32" s="1665"/>
      <c r="I32" s="1666"/>
      <c r="J32" s="1666"/>
      <c r="K32" s="1666"/>
      <c r="L32" s="1666"/>
      <c r="M32" s="1666"/>
      <c r="N32" s="1666"/>
      <c r="O32" s="1666"/>
      <c r="P32" s="1666"/>
      <c r="Q32" s="1666"/>
      <c r="R32" s="1666"/>
      <c r="S32" s="1667"/>
      <c r="T32" s="1667"/>
      <c r="U32" s="1667"/>
      <c r="V32" s="1667"/>
      <c r="W32" s="1668"/>
      <c r="X32" s="1625"/>
      <c r="Y32" s="1625"/>
      <c r="Z32" s="1625"/>
      <c r="AA32" s="1625"/>
      <c r="AB32" s="1625"/>
      <c r="AC32" s="1625"/>
      <c r="AD32" s="1625"/>
      <c r="AE32" s="1625"/>
      <c r="AF32" s="1625"/>
      <c r="AG32" s="1625"/>
      <c r="AH32" s="1625"/>
      <c r="AI32" s="1625"/>
      <c r="AJ32" s="1625"/>
      <c r="AK32" s="1625"/>
      <c r="AL32" s="1625"/>
      <c r="AM32" s="1625"/>
      <c r="AN32" s="1625"/>
      <c r="AO32" s="1625"/>
      <c r="AP32" s="1625"/>
      <c r="AQ32" s="1625"/>
    </row>
    <row s="18652" customFormat="1" customHeight="1" ht="17.25" hidden="1">
      <c r="A33" s="682"/>
      <c r="C33" s="570"/>
      <c r="D33" s="2416">
        <v>5</v>
      </c>
      <c r="E33" s="2418" t="s">
        <v>175</v>
      </c>
      <c r="F33" s="2420" t="s">
        <v>54</v>
      </c>
      <c r="G33" s="2418"/>
      <c r="H33" s="2423"/>
      <c r="I33" s="2425"/>
      <c r="J33" s="2427"/>
      <c r="K33" s="2410"/>
      <c r="L33" s="2410"/>
      <c r="M33" s="2410"/>
      <c r="N33" s="2412"/>
      <c r="O33" s="2410"/>
      <c r="P33" s="2410"/>
      <c r="Q33" s="2410"/>
      <c r="R33" s="2415"/>
      <c r="S33" s="2410"/>
      <c r="T33" s="1786"/>
      <c r="U33" s="1786"/>
      <c r="V33" s="1785"/>
      <c r="W33" s="1662"/>
      <c r="X33" s="1633"/>
      <c r="Y33" s="1633"/>
      <c r="Z33" s="1633"/>
      <c r="AA33" s="1633"/>
      <c r="AB33" s="1633"/>
      <c r="AC33" s="1633" t="s">
        <v>176</v>
      </c>
      <c r="AD33" s="1633" t="s">
        <v>177</v>
      </c>
      <c r="AE33" s="1633" t="s">
        <v>178</v>
      </c>
      <c r="AF33" s="1633" t="s">
        <v>179</v>
      </c>
      <c r="AG33" s="1633" t="s">
        <v>180</v>
      </c>
      <c r="AH33" s="1633" t="str">
        <f>IF($E$33=0,"",$E$33)</f>
        <v>Тарифы на услуги по передаче тепловой энергии</v>
      </c>
      <c r="AI33" s="1633" t="str">
        <f>IF($G$33=0,"",$G$33)</f>
        <v/>
      </c>
      <c r="AJ33" s="1633" t="str">
        <f>IF($J$33=0,"",$J$33)</f>
        <v/>
      </c>
      <c r="AK33" s="1633" t="str">
        <f>IF($K$33="нет","без дифференциации",IF($N$33=0,"",$N$33))</f>
        <v/>
      </c>
      <c r="AL33" s="1633" t="str">
        <f>IF($O$33="нет","без дифференциации",IF($R$33=0,"",$R$33))</f>
        <v/>
      </c>
      <c r="AM33" s="1633" t="str">
        <f>IF($S$33="нет","без дифференциации",IF($V$33=0,"",$V$33))</f>
        <v/>
      </c>
      <c r="AN33" s="2138">
        <f>$I$33</f>
        <v>0</v>
      </c>
      <c r="AO33" s="1633" t="str">
        <f>$I$33&amp;"."&amp;$M$33</f>
        <v>.</v>
      </c>
      <c r="AP33" s="1625" t="str">
        <f>$I$33&amp;"."&amp;$M$33&amp;"."&amp;$Q$33</f>
        <v>..</v>
      </c>
      <c r="AQ33" s="1625" t="str">
        <f>$I$33&amp;"."&amp;$M$33&amp;"."&amp;$Q$33&amp;"."&amp;$U$33</f>
        <v>...</v>
      </c>
    </row>
    <row s="18652" customFormat="1" customHeight="1" ht="17.25" hidden="1">
      <c r="A34" s="682"/>
      <c r="C34" s="681"/>
      <c r="D34" s="2416"/>
      <c r="E34" s="2418"/>
      <c r="F34" s="2421"/>
      <c r="G34" s="2418"/>
      <c r="H34" s="2424"/>
      <c r="I34" s="2426"/>
      <c r="J34" s="2428"/>
      <c r="K34" s="2411"/>
      <c r="L34" s="2411"/>
      <c r="M34" s="2411"/>
      <c r="N34" s="2413"/>
      <c r="O34" s="2411"/>
      <c r="P34" s="2411"/>
      <c r="Q34" s="2411"/>
      <c r="R34" s="2414"/>
      <c r="S34" s="2411"/>
      <c r="T34" s="1663"/>
      <c r="U34" s="1663"/>
      <c r="V34" s="1663"/>
      <c r="W34" s="1664"/>
      <c r="X34" s="1625"/>
      <c r="Y34" s="1625"/>
      <c r="Z34" s="1625"/>
      <c r="AA34" s="1625"/>
      <c r="AB34" s="1625"/>
      <c r="AC34" s="1625"/>
      <c r="AD34" s="1625"/>
      <c r="AE34" s="1625"/>
      <c r="AF34" s="1625"/>
      <c r="AG34" s="1625"/>
      <c r="AH34" s="1625"/>
      <c r="AI34" s="1625"/>
      <c r="AJ34" s="1625"/>
      <c r="AK34" s="1625"/>
      <c r="AL34" s="1625"/>
      <c r="AM34" s="1625"/>
      <c r="AN34" s="1625"/>
      <c r="AO34" s="1625"/>
      <c r="AP34" s="1625"/>
      <c r="AQ34" s="1625"/>
    </row>
    <row s="18652" customFormat="1" customHeight="1" ht="17.25" hidden="1">
      <c r="A35" s="682"/>
      <c r="C35" s="681"/>
      <c r="D35" s="2417"/>
      <c r="E35" s="2419"/>
      <c r="F35" s="2421"/>
      <c r="G35" s="2419"/>
      <c r="H35" s="2424"/>
      <c r="I35" s="2426"/>
      <c r="J35" s="2429"/>
      <c r="K35" s="2411"/>
      <c r="L35" s="2411"/>
      <c r="M35" s="2411"/>
      <c r="N35" s="2414"/>
      <c r="O35" s="2411"/>
      <c r="P35" s="1784"/>
      <c r="Q35" s="1663"/>
      <c r="R35" s="1663"/>
      <c r="S35" s="690"/>
      <c r="T35" s="690"/>
      <c r="U35" s="690"/>
      <c r="V35" s="690"/>
      <c r="W35" s="1664"/>
      <c r="X35" s="1625"/>
      <c r="Y35" s="1625"/>
      <c r="Z35" s="1625"/>
      <c r="AA35" s="1625"/>
      <c r="AB35" s="1625"/>
      <c r="AC35" s="1625"/>
      <c r="AD35" s="1625"/>
      <c r="AE35" s="1625"/>
      <c r="AF35" s="1625"/>
      <c r="AG35" s="1625"/>
      <c r="AH35" s="1625"/>
      <c r="AI35" s="1625"/>
      <c r="AJ35" s="1625"/>
      <c r="AK35" s="1625"/>
      <c r="AL35" s="1625"/>
      <c r="AM35" s="1625"/>
      <c r="AN35" s="1625"/>
      <c r="AO35" s="1625"/>
      <c r="AP35" s="1625"/>
      <c r="AQ35" s="1625"/>
    </row>
    <row s="18652" customFormat="1" customHeight="1" ht="17.25" hidden="1">
      <c r="A36" s="682"/>
      <c r="C36" s="681"/>
      <c r="D36" s="2417"/>
      <c r="E36" s="2419"/>
      <c r="F36" s="2421"/>
      <c r="G36" s="2419"/>
      <c r="H36" s="2424"/>
      <c r="I36" s="2426"/>
      <c r="J36" s="2429"/>
      <c r="K36" s="2411"/>
      <c r="L36" s="1663"/>
      <c r="M36" s="1663"/>
      <c r="N36" s="1663"/>
      <c r="O36" s="1663"/>
      <c r="P36" s="1663"/>
      <c r="Q36" s="1663"/>
      <c r="R36" s="1663"/>
      <c r="S36" s="690"/>
      <c r="T36" s="690"/>
      <c r="U36" s="690"/>
      <c r="V36" s="690"/>
      <c r="W36" s="1664"/>
      <c r="X36" s="1625"/>
      <c r="Y36" s="1625"/>
      <c r="Z36" s="1625"/>
      <c r="AA36" s="1625"/>
      <c r="AB36" s="1625"/>
      <c r="AC36" s="1625"/>
      <c r="AD36" s="1625"/>
      <c r="AE36" s="1625"/>
      <c r="AF36" s="1625"/>
      <c r="AG36" s="1625"/>
      <c r="AH36" s="1625"/>
      <c r="AI36" s="1625"/>
      <c r="AJ36" s="1625"/>
      <c r="AK36" s="1625"/>
      <c r="AL36" s="1625"/>
      <c r="AM36" s="1625"/>
      <c r="AN36" s="1625"/>
      <c r="AO36" s="1625"/>
      <c r="AP36" s="1625"/>
      <c r="AQ36" s="1625"/>
    </row>
    <row s="18652" customFormat="1" customHeight="1" ht="17.25" hidden="1">
      <c r="A37" s="682"/>
      <c r="C37" s="681"/>
      <c r="D37" s="2417"/>
      <c r="E37" s="2419"/>
      <c r="F37" s="2422"/>
      <c r="G37" s="2419"/>
      <c r="H37" s="1665"/>
      <c r="I37" s="1666"/>
      <c r="J37" s="1666"/>
      <c r="K37" s="1666"/>
      <c r="L37" s="1666"/>
      <c r="M37" s="1666"/>
      <c r="N37" s="1666"/>
      <c r="O37" s="1666"/>
      <c r="P37" s="1666"/>
      <c r="Q37" s="1666"/>
      <c r="R37" s="1666"/>
      <c r="S37" s="1667"/>
      <c r="T37" s="1667"/>
      <c r="U37" s="1667"/>
      <c r="V37" s="1667"/>
      <c r="W37" s="1668"/>
      <c r="X37" s="1625"/>
      <c r="Y37" s="1625"/>
      <c r="Z37" s="1625"/>
      <c r="AA37" s="1625"/>
      <c r="AB37" s="1625"/>
      <c r="AC37" s="1625"/>
      <c r="AD37" s="1625"/>
      <c r="AE37" s="1625"/>
      <c r="AF37" s="1625"/>
      <c r="AG37" s="1625"/>
      <c r="AH37" s="1625"/>
      <c r="AI37" s="1625"/>
      <c r="AJ37" s="1625"/>
      <c r="AK37" s="1625"/>
      <c r="AL37" s="1625"/>
      <c r="AM37" s="1625"/>
      <c r="AN37" s="1625"/>
      <c r="AO37" s="1625"/>
      <c r="AP37" s="1625"/>
      <c r="AQ37" s="1625"/>
    </row>
    <row s="18652" customFormat="1" customHeight="1" ht="17.25" hidden="1">
      <c r="A38" s="682"/>
      <c r="C38" s="570"/>
      <c r="D38" s="2416">
        <v>6</v>
      </c>
      <c r="E38" s="2418" t="s">
        <v>181</v>
      </c>
      <c r="F38" s="2420" t="s">
        <v>54</v>
      </c>
      <c r="G38" s="2418"/>
      <c r="H38" s="2423"/>
      <c r="I38" s="2425"/>
      <c r="J38" s="2427"/>
      <c r="K38" s="2410"/>
      <c r="L38" s="2410"/>
      <c r="M38" s="2410"/>
      <c r="N38" s="2412"/>
      <c r="O38" s="2410"/>
      <c r="P38" s="2410"/>
      <c r="Q38" s="2410"/>
      <c r="R38" s="2415"/>
      <c r="S38" s="2410"/>
      <c r="T38" s="1786"/>
      <c r="U38" s="1786"/>
      <c r="V38" s="1785"/>
      <c r="W38" s="1662"/>
      <c r="X38" s="1633"/>
      <c r="Y38" s="1633"/>
      <c r="Z38" s="1633"/>
      <c r="AA38" s="1633"/>
      <c r="AB38" s="1633"/>
      <c r="AC38" s="1633" t="s">
        <v>182</v>
      </c>
      <c r="AD38" s="1633" t="s">
        <v>183</v>
      </c>
      <c r="AE38" s="1633" t="s">
        <v>184</v>
      </c>
      <c r="AF38" s="1633" t="s">
        <v>185</v>
      </c>
      <c r="AG38" s="1633" t="s">
        <v>186</v>
      </c>
      <c r="AH38" s="1633" t="str">
        <f>IF($E$38=0,"",$E$38)</f>
        <v>Тарифы на услуги по передаче теплоносителя</v>
      </c>
      <c r="AI38" s="1633" t="str">
        <f>IF($G$38=0,"",$G$38)</f>
        <v/>
      </c>
      <c r="AJ38" s="1633" t="str">
        <f>IF($J$38=0,"",$J$38)</f>
        <v/>
      </c>
      <c r="AK38" s="1633" t="str">
        <f>IF($K$38="нет","без дифференциации",IF($N$38=0,"",$N$38))</f>
        <v/>
      </c>
      <c r="AL38" s="1633" t="str">
        <f>IF($O$38="нет","без дифференциации",IF($R$38=0,"",$R$38))</f>
        <v/>
      </c>
      <c r="AM38" s="1633" t="str">
        <f>IF($S$38="нет","без дифференциации",IF($V$38=0,"",$V$38))</f>
        <v/>
      </c>
      <c r="AN38" s="2138">
        <f>$I$38</f>
        <v>0</v>
      </c>
      <c r="AO38" s="1633" t="str">
        <f>$I$38&amp;"."&amp;$M$38</f>
        <v>.</v>
      </c>
      <c r="AP38" s="1625" t="str">
        <f>$I$38&amp;"."&amp;$M$38&amp;"."&amp;$Q$38</f>
        <v>..</v>
      </c>
      <c r="AQ38" s="1625" t="str">
        <f>$I$38&amp;"."&amp;$M$38&amp;"."&amp;$Q$38&amp;"."&amp;$U$38</f>
        <v>...</v>
      </c>
    </row>
    <row s="18652" customFormat="1" customHeight="1" ht="17.25" hidden="1">
      <c r="A39" s="682"/>
      <c r="C39" s="681"/>
      <c r="D39" s="2416"/>
      <c r="E39" s="2418"/>
      <c r="F39" s="2421"/>
      <c r="G39" s="2418"/>
      <c r="H39" s="2424"/>
      <c r="I39" s="2426"/>
      <c r="J39" s="2428"/>
      <c r="K39" s="2411"/>
      <c r="L39" s="2411"/>
      <c r="M39" s="2411"/>
      <c r="N39" s="2413"/>
      <c r="O39" s="2411"/>
      <c r="P39" s="2411"/>
      <c r="Q39" s="2411"/>
      <c r="R39" s="2414"/>
      <c r="S39" s="2411"/>
      <c r="T39" s="1663"/>
      <c r="U39" s="1663"/>
      <c r="V39" s="1663"/>
      <c r="W39" s="1664"/>
      <c r="X39" s="1625"/>
      <c r="Y39" s="1625"/>
      <c r="Z39" s="1625"/>
      <c r="AA39" s="1625"/>
      <c r="AB39" s="1625"/>
      <c r="AC39" s="1625"/>
      <c r="AD39" s="1625"/>
      <c r="AE39" s="1625"/>
      <c r="AF39" s="1625"/>
      <c r="AG39" s="1625"/>
      <c r="AH39" s="1625"/>
      <c r="AI39" s="1625"/>
      <c r="AJ39" s="1625"/>
      <c r="AK39" s="1625"/>
      <c r="AL39" s="1625"/>
      <c r="AM39" s="1625"/>
      <c r="AN39" s="1625"/>
      <c r="AO39" s="1625"/>
      <c r="AP39" s="1625"/>
      <c r="AQ39" s="1625"/>
    </row>
    <row s="18652" customFormat="1" customHeight="1" ht="17.25" hidden="1">
      <c r="A40" s="682"/>
      <c r="C40" s="681"/>
      <c r="D40" s="2417"/>
      <c r="E40" s="2419"/>
      <c r="F40" s="2421"/>
      <c r="G40" s="2419"/>
      <c r="H40" s="2424"/>
      <c r="I40" s="2426"/>
      <c r="J40" s="2429"/>
      <c r="K40" s="2411"/>
      <c r="L40" s="2411"/>
      <c r="M40" s="2411"/>
      <c r="N40" s="2414"/>
      <c r="O40" s="2411"/>
      <c r="P40" s="1784"/>
      <c r="Q40" s="1663"/>
      <c r="R40" s="1663"/>
      <c r="S40" s="690"/>
      <c r="T40" s="690"/>
      <c r="U40" s="690"/>
      <c r="V40" s="690"/>
      <c r="W40" s="1664"/>
      <c r="X40" s="1625"/>
      <c r="Y40" s="1625"/>
      <c r="Z40" s="1625"/>
      <c r="AA40" s="1625"/>
      <c r="AB40" s="1625"/>
      <c r="AC40" s="1625"/>
      <c r="AD40" s="1625"/>
      <c r="AE40" s="1625"/>
      <c r="AF40" s="1625"/>
      <c r="AG40" s="1625"/>
      <c r="AH40" s="1625"/>
      <c r="AI40" s="1625"/>
      <c r="AJ40" s="1625"/>
      <c r="AK40" s="1625"/>
      <c r="AL40" s="1625"/>
      <c r="AM40" s="1625"/>
      <c r="AN40" s="1625"/>
      <c r="AO40" s="1625"/>
      <c r="AP40" s="1625"/>
      <c r="AQ40" s="1625"/>
    </row>
    <row s="18654" customFormat="1" customHeight="1" ht="17.25" hidden="1">
      <c r="A41" s="682"/>
      <c r="C41" s="570"/>
      <c r="D41" s="2417"/>
      <c r="E41" s="2419"/>
      <c r="F41" s="2421"/>
      <c r="G41" s="2419"/>
      <c r="H41" s="2424"/>
      <c r="I41" s="2426"/>
      <c r="J41" s="2429"/>
      <c r="K41" s="2411"/>
      <c r="L41" s="1663"/>
      <c r="M41" s="1663"/>
      <c r="N41" s="1663"/>
      <c r="O41" s="1663"/>
      <c r="P41" s="1663"/>
      <c r="Q41" s="1663"/>
      <c r="R41" s="1663"/>
      <c r="S41" s="690"/>
      <c r="T41" s="690"/>
      <c r="U41" s="690"/>
      <c r="V41" s="690"/>
      <c r="W41" s="1664"/>
      <c r="Y41" s="1633"/>
      <c r="Z41" s="1633"/>
      <c r="AA41" s="1633"/>
      <c r="AB41" s="1633"/>
      <c r="AC41" s="1633"/>
      <c r="AD41" s="1633"/>
      <c r="AE41" s="1633"/>
      <c r="AF41" s="1633"/>
      <c r="AG41" s="1633"/>
      <c r="AH41" s="1633"/>
      <c r="AI41" s="1633"/>
      <c r="AJ41" s="1633"/>
      <c r="AK41" s="1633"/>
      <c r="AL41" s="1633"/>
      <c r="AM41" s="1633"/>
      <c r="AN41" s="1633"/>
      <c r="AO41" s="1633"/>
      <c r="AP41" s="1633"/>
      <c r="AQ41" s="1633"/>
    </row>
    <row s="18652" customFormat="1" customHeight="1" ht="17.25" hidden="1">
      <c r="A42" s="682"/>
      <c r="C42" s="681"/>
      <c r="D42" s="2417"/>
      <c r="E42" s="2419"/>
      <c r="F42" s="2422"/>
      <c r="G42" s="2419"/>
      <c r="H42" s="1665"/>
      <c r="I42" s="1666"/>
      <c r="J42" s="1666"/>
      <c r="K42" s="1666"/>
      <c r="L42" s="1666"/>
      <c r="M42" s="1666"/>
      <c r="N42" s="1666"/>
      <c r="O42" s="1666"/>
      <c r="P42" s="1666"/>
      <c r="Q42" s="1666"/>
      <c r="R42" s="1666"/>
      <c r="S42" s="1667"/>
      <c r="T42" s="1667"/>
      <c r="U42" s="1667"/>
      <c r="V42" s="1667"/>
      <c r="W42" s="1668"/>
      <c r="X42" s="1625"/>
      <c r="Y42" s="1625"/>
      <c r="Z42" s="1625"/>
      <c r="AA42" s="1625"/>
      <c r="AB42" s="1625"/>
      <c r="AC42" s="1625"/>
      <c r="AD42" s="1625"/>
      <c r="AE42" s="1625"/>
      <c r="AF42" s="1625"/>
      <c r="AG42" s="1625"/>
      <c r="AH42" s="1625"/>
      <c r="AI42" s="1625"/>
      <c r="AJ42" s="1625"/>
      <c r="AK42" s="1625"/>
      <c r="AL42" s="1625"/>
      <c r="AM42" s="1625"/>
      <c r="AN42" s="1625"/>
      <c r="AO42" s="1625"/>
      <c r="AP42" s="1625"/>
      <c r="AQ42" s="1625"/>
    </row>
    <row s="18655" customFormat="1" customHeight="1" ht="17.25" hidden="1">
      <c r="A43" s="682"/>
      <c r="C43" s="570"/>
      <c r="D43" s="2433">
        <v>7</v>
      </c>
      <c r="E43" s="2436" t="s">
        <v>187</v>
      </c>
      <c r="F43" s="2420" t="s">
        <v>54</v>
      </c>
      <c r="G43" s="2436"/>
      <c r="H43" s="2423"/>
      <c r="I43" s="2425"/>
      <c r="J43" s="2427"/>
      <c r="K43" s="2410"/>
      <c r="L43" s="2410"/>
      <c r="M43" s="2410"/>
      <c r="N43" s="2412"/>
      <c r="O43" s="2410"/>
      <c r="P43" s="2410"/>
      <c r="Q43" s="2410"/>
      <c r="R43" s="2415"/>
      <c r="S43" s="2410"/>
      <c r="T43" s="1786"/>
      <c r="U43" s="1786"/>
      <c r="V43" s="1785"/>
      <c r="W43" s="1662"/>
      <c r="X43" s="1633"/>
      <c r="Y43" s="1633"/>
      <c r="Z43" s="1633"/>
      <c r="AA43" s="1633"/>
      <c r="AB43" s="1633"/>
      <c r="AC43" s="1633" t="s">
        <v>188</v>
      </c>
      <c r="AD43" s="1633" t="s">
        <v>189</v>
      </c>
      <c r="AE43" s="1633" t="s">
        <v>190</v>
      </c>
      <c r="AF43" s="1633" t="s">
        <v>191</v>
      </c>
      <c r="AG43" s="1633" t="s">
        <v>192</v>
      </c>
      <c r="AH43" s="1633" t="str">
        <f>IF($E$43=0,"",$E$43)</f>
        <v>Плата за услуги по поддержанию резервной тепловой мощности при отсутствии потребления тепловой энергии</v>
      </c>
      <c r="AI43" s="1633" t="str">
        <f>IF($G$43=0,"",$G$43)</f>
        <v/>
      </c>
      <c r="AJ43" s="1633" t="str">
        <f>IF($J$43=0,"",$J$43)</f>
        <v/>
      </c>
      <c r="AK43" s="1633" t="str">
        <f>IF($K$43="нет","без дифференциации",IF($N$43=0,"",$N$43))</f>
        <v/>
      </c>
      <c r="AL43" s="1633" t="str">
        <f>IF($O$43="нет","без дифференциации",IF($R$43=0,"",$R$43))</f>
        <v/>
      </c>
      <c r="AM43" s="1633" t="str">
        <f>IF($S$43="нет","без дифференциации",IF($V$43=0,"",$V$43))</f>
        <v/>
      </c>
      <c r="AN43" s="2138">
        <f>$I$43</f>
        <v>0</v>
      </c>
      <c r="AO43" s="1633" t="str">
        <f>$I$43&amp;"."&amp;$M$43</f>
        <v>.</v>
      </c>
      <c r="AP43" s="1625" t="str">
        <f>$I$43&amp;"."&amp;$M$43&amp;"."&amp;$Q$43</f>
        <v>..</v>
      </c>
      <c r="AQ43" s="1625" t="str">
        <f>$I$43&amp;"."&amp;$M$43&amp;"."&amp;$Q$43&amp;"."&amp;$U$43</f>
        <v>...</v>
      </c>
    </row>
    <row s="18655" customFormat="1" customHeight="1" ht="17.25" hidden="1">
      <c r="A44" s="682"/>
      <c r="C44" s="681"/>
      <c r="D44" s="2434"/>
      <c r="E44" s="2437"/>
      <c r="F44" s="2421"/>
      <c r="G44" s="2437"/>
      <c r="H44" s="2424"/>
      <c r="I44" s="2426"/>
      <c r="J44" s="2428"/>
      <c r="K44" s="2411"/>
      <c r="L44" s="2411"/>
      <c r="M44" s="2411"/>
      <c r="N44" s="2413"/>
      <c r="O44" s="2411"/>
      <c r="P44" s="2411"/>
      <c r="Q44" s="2411"/>
      <c r="R44" s="2414"/>
      <c r="S44" s="2411"/>
      <c r="T44" s="1663"/>
      <c r="U44" s="1663"/>
      <c r="V44" s="1663"/>
      <c r="W44" s="1664"/>
      <c r="X44" s="1625"/>
      <c r="Y44" s="1625"/>
      <c r="Z44" s="1625"/>
      <c r="AA44" s="1625"/>
      <c r="AB44" s="1625"/>
      <c r="AC44" s="1625"/>
      <c r="AD44" s="1625"/>
      <c r="AE44" s="1625"/>
      <c r="AF44" s="1625"/>
      <c r="AG44" s="1625"/>
      <c r="AH44" s="1625"/>
      <c r="AI44" s="1625"/>
      <c r="AJ44" s="1625"/>
      <c r="AK44" s="1625"/>
      <c r="AL44" s="1625"/>
      <c r="AM44" s="1625"/>
      <c r="AN44" s="1625"/>
      <c r="AO44" s="1625"/>
      <c r="AP44" s="1625"/>
      <c r="AQ44" s="1625"/>
    </row>
    <row s="18655" customFormat="1" customHeight="1" ht="17.25" hidden="1">
      <c r="A45" s="682"/>
      <c r="C45" s="681"/>
      <c r="D45" s="2434"/>
      <c r="E45" s="2437"/>
      <c r="F45" s="2421"/>
      <c r="G45" s="2437"/>
      <c r="H45" s="2424"/>
      <c r="I45" s="2426"/>
      <c r="J45" s="2429"/>
      <c r="K45" s="2411"/>
      <c r="L45" s="2411"/>
      <c r="M45" s="2411"/>
      <c r="N45" s="2414"/>
      <c r="O45" s="2411"/>
      <c r="P45" s="1784"/>
      <c r="Q45" s="1663"/>
      <c r="R45" s="1663"/>
      <c r="S45" s="690"/>
      <c r="T45" s="690"/>
      <c r="U45" s="690"/>
      <c r="V45" s="690"/>
      <c r="W45" s="1664"/>
      <c r="X45" s="1625"/>
      <c r="Y45" s="1625"/>
      <c r="Z45" s="1625"/>
      <c r="AA45" s="1625"/>
      <c r="AB45" s="1625"/>
      <c r="AC45" s="1625"/>
      <c r="AD45" s="1625"/>
      <c r="AE45" s="1625"/>
      <c r="AF45" s="1625"/>
      <c r="AG45" s="1625"/>
      <c r="AH45" s="1625"/>
      <c r="AI45" s="1625"/>
      <c r="AJ45" s="1625"/>
      <c r="AK45" s="1625"/>
      <c r="AL45" s="1625"/>
      <c r="AM45" s="1625"/>
      <c r="AN45" s="1625"/>
      <c r="AO45" s="1625"/>
      <c r="AP45" s="1625"/>
      <c r="AQ45" s="1625"/>
    </row>
    <row s="18654" customFormat="1" customHeight="1" ht="17.25" hidden="1">
      <c r="A46" s="682"/>
      <c r="C46" s="570"/>
      <c r="D46" s="2434"/>
      <c r="E46" s="2437"/>
      <c r="F46" s="2421"/>
      <c r="G46" s="2437"/>
      <c r="H46" s="2424"/>
      <c r="I46" s="2426"/>
      <c r="J46" s="2429"/>
      <c r="K46" s="2411"/>
      <c r="L46" s="1663"/>
      <c r="M46" s="1663"/>
      <c r="N46" s="1663"/>
      <c r="O46" s="1663"/>
      <c r="P46" s="1663"/>
      <c r="Q46" s="1663"/>
      <c r="R46" s="1663"/>
      <c r="S46" s="690"/>
      <c r="T46" s="690"/>
      <c r="U46" s="690"/>
      <c r="V46" s="690"/>
      <c r="W46" s="1664"/>
      <c r="Y46" s="1633"/>
      <c r="Z46" s="1633"/>
      <c r="AA46" s="1633"/>
      <c r="AB46" s="1633"/>
      <c r="AC46" s="1633"/>
      <c r="AD46" s="1633"/>
      <c r="AE46" s="1633"/>
      <c r="AF46" s="1633"/>
      <c r="AG46" s="1633"/>
      <c r="AH46" s="1633"/>
      <c r="AI46" s="1633"/>
      <c r="AJ46" s="1633"/>
      <c r="AK46" s="1633"/>
      <c r="AL46" s="1633"/>
      <c r="AM46" s="1633"/>
      <c r="AN46" s="1633"/>
      <c r="AO46" s="1633"/>
      <c r="AP46" s="1633"/>
      <c r="AQ46" s="1633"/>
    </row>
    <row s="18655" customFormat="1" customHeight="1" ht="17.25" hidden="1">
      <c r="A47" s="682"/>
      <c r="C47" s="681"/>
      <c r="D47" s="2435"/>
      <c r="E47" s="2438"/>
      <c r="F47" s="2422"/>
      <c r="G47" s="2438"/>
      <c r="H47" s="1665"/>
      <c r="I47" s="1666"/>
      <c r="J47" s="1666"/>
      <c r="K47" s="1666"/>
      <c r="L47" s="1666"/>
      <c r="M47" s="1666"/>
      <c r="N47" s="1666"/>
      <c r="O47" s="1666"/>
      <c r="P47" s="1666"/>
      <c r="Q47" s="1666"/>
      <c r="R47" s="1666"/>
      <c r="S47" s="1667"/>
      <c r="T47" s="1667"/>
      <c r="U47" s="1667"/>
      <c r="V47" s="1667"/>
      <c r="W47" s="1668"/>
      <c r="X47" s="1625"/>
      <c r="Y47" s="1625"/>
      <c r="Z47" s="1625"/>
      <c r="AA47" s="1625"/>
      <c r="AB47" s="1625"/>
      <c r="AC47" s="1625"/>
      <c r="AD47" s="1625"/>
      <c r="AE47" s="1625"/>
      <c r="AF47" s="1625"/>
      <c r="AG47" s="1625"/>
      <c r="AH47" s="1625"/>
      <c r="AI47" s="1625"/>
      <c r="AJ47" s="1625"/>
      <c r="AK47" s="1625"/>
      <c r="AL47" s="1625"/>
      <c r="AM47" s="1625"/>
      <c r="AN47" s="1625"/>
      <c r="AO47" s="1625"/>
      <c r="AP47" s="1625"/>
      <c r="AQ47" s="1625"/>
    </row>
    <row s="18655" customFormat="1" customHeight="1" ht="17.25" hidden="1">
      <c r="A48" s="682"/>
      <c r="C48" s="570"/>
      <c r="D48" s="2416">
        <v>8</v>
      </c>
      <c r="E48" s="2418" t="s">
        <v>193</v>
      </c>
      <c r="F48" s="2420" t="s">
        <v>54</v>
      </c>
      <c r="G48" s="2418"/>
      <c r="H48" s="2423"/>
      <c r="I48" s="2425"/>
      <c r="J48" s="2427"/>
      <c r="K48" s="2410"/>
      <c r="L48" s="2410"/>
      <c r="M48" s="2410"/>
      <c r="N48" s="2412"/>
      <c r="O48" s="2410"/>
      <c r="P48" s="2410"/>
      <c r="Q48" s="2410"/>
      <c r="R48" s="2415"/>
      <c r="S48" s="2410"/>
      <c r="T48" s="1836"/>
      <c r="U48" s="1836"/>
      <c r="V48" s="1838"/>
      <c r="W48" s="1662"/>
      <c r="X48" s="1633"/>
      <c r="Y48" s="1633"/>
      <c r="Z48" s="1633"/>
      <c r="AA48" s="1633"/>
      <c r="AB48" s="1633"/>
      <c r="AC48" s="1633" t="s">
        <v>194</v>
      </c>
      <c r="AD48" s="1633" t="s">
        <v>195</v>
      </c>
      <c r="AE48" s="1633" t="s">
        <v>196</v>
      </c>
      <c r="AF48" s="1633" t="s">
        <v>197</v>
      </c>
      <c r="AG48" s="1633" t="s">
        <v>198</v>
      </c>
      <c r="AH48" s="1633" t="str">
        <f>IF($E$48=0,"",$E$48)</f>
        <v>Плата за подключение (технологическое присоединение) к системе теплоснабжения</v>
      </c>
      <c r="AI48" s="1633" t="str">
        <f>IF($G$48=0,"",$G$48)</f>
        <v/>
      </c>
      <c r="AJ48" s="1633" t="str">
        <f>IF($J$48=0,"",$J$48)</f>
        <v/>
      </c>
      <c r="AK48" s="1633" t="str">
        <f>IF($K$48="нет","без дифференциации",IF($N$48=0,"",$N$48))</f>
        <v/>
      </c>
      <c r="AL48" s="1633" t="str">
        <f>IF($O$48="нет","без дифференциации",IF($R$48=0,"",$R$48))</f>
        <v/>
      </c>
      <c r="AM48" s="1633" t="str">
        <f>IF($S$48="нет","без дифференциации",IF($V$48=0,"",$V$48))</f>
        <v/>
      </c>
      <c r="AN48" s="2138">
        <f>$I$48</f>
        <v>0</v>
      </c>
      <c r="AO48" s="1633" t="str">
        <f>$I$48&amp;"."&amp;$M$48</f>
        <v>.</v>
      </c>
      <c r="AP48" s="1625" t="str">
        <f>$I$48&amp;"."&amp;$M$48&amp;"."&amp;$Q$48</f>
        <v>..</v>
      </c>
      <c r="AQ48" s="1625" t="str">
        <f>$I$48&amp;"."&amp;$M$48&amp;"."&amp;$Q$48&amp;"."&amp;$U$48</f>
        <v>...</v>
      </c>
    </row>
    <row s="18655" customFormat="1" customHeight="1" ht="17.25" hidden="1">
      <c r="A49" s="682"/>
      <c r="C49" s="681"/>
      <c r="D49" s="2416"/>
      <c r="E49" s="2418"/>
      <c r="F49" s="2421"/>
      <c r="G49" s="2418"/>
      <c r="H49" s="2424"/>
      <c r="I49" s="2426"/>
      <c r="J49" s="2428"/>
      <c r="K49" s="2411"/>
      <c r="L49" s="2411"/>
      <c r="M49" s="2411"/>
      <c r="N49" s="2413"/>
      <c r="O49" s="2411"/>
      <c r="P49" s="2411"/>
      <c r="Q49" s="2411"/>
      <c r="R49" s="2414"/>
      <c r="S49" s="2411"/>
      <c r="T49" s="1663"/>
      <c r="U49" s="1663"/>
      <c r="V49" s="1663"/>
      <c r="W49" s="1664"/>
      <c r="X49" s="1625"/>
      <c r="Y49" s="1625"/>
      <c r="Z49" s="1625"/>
      <c r="AA49" s="1625"/>
      <c r="AB49" s="1625"/>
      <c r="AC49" s="1625"/>
      <c r="AD49" s="1625"/>
      <c r="AE49" s="1625"/>
      <c r="AF49" s="1625"/>
      <c r="AG49" s="1625"/>
      <c r="AH49" s="1625"/>
      <c r="AI49" s="1625"/>
      <c r="AJ49" s="1625"/>
      <c r="AK49" s="1625"/>
      <c r="AL49" s="1625"/>
      <c r="AM49" s="1625"/>
      <c r="AN49" s="1625"/>
      <c r="AO49" s="1625"/>
      <c r="AP49" s="1625"/>
      <c r="AQ49" s="1625"/>
    </row>
    <row s="18655" customFormat="1" customHeight="1" ht="17.25" hidden="1">
      <c r="A50" s="682"/>
      <c r="C50" s="681"/>
      <c r="D50" s="2417"/>
      <c r="E50" s="2419"/>
      <c r="F50" s="2421"/>
      <c r="G50" s="2419"/>
      <c r="H50" s="2424"/>
      <c r="I50" s="2426"/>
      <c r="J50" s="2429"/>
      <c r="K50" s="2411"/>
      <c r="L50" s="2411"/>
      <c r="M50" s="2411"/>
      <c r="N50" s="2414"/>
      <c r="O50" s="2411"/>
      <c r="P50" s="1837"/>
      <c r="Q50" s="1663"/>
      <c r="R50" s="1663"/>
      <c r="S50" s="690"/>
      <c r="T50" s="690"/>
      <c r="U50" s="690"/>
      <c r="V50" s="690"/>
      <c r="W50" s="1664"/>
      <c r="X50" s="1625"/>
      <c r="Y50" s="1625"/>
      <c r="Z50" s="1625"/>
      <c r="AA50" s="1625"/>
      <c r="AB50" s="1625"/>
      <c r="AC50" s="1625"/>
      <c r="AD50" s="1625"/>
      <c r="AE50" s="1625"/>
      <c r="AF50" s="1625"/>
      <c r="AG50" s="1625"/>
      <c r="AH50" s="1625"/>
      <c r="AI50" s="1625"/>
      <c r="AJ50" s="1625"/>
      <c r="AK50" s="1625"/>
      <c r="AL50" s="1625"/>
      <c r="AM50" s="1625"/>
      <c r="AN50" s="1625"/>
      <c r="AO50" s="1625"/>
      <c r="AP50" s="1625"/>
      <c r="AQ50" s="1625"/>
    </row>
    <row s="18654" customFormat="1" customHeight="1" ht="17.25" hidden="1">
      <c r="A51" s="682"/>
      <c r="C51" s="570"/>
      <c r="D51" s="2417"/>
      <c r="E51" s="2419"/>
      <c r="F51" s="2421"/>
      <c r="G51" s="2419"/>
      <c r="H51" s="2424"/>
      <c r="I51" s="2426"/>
      <c r="J51" s="2429"/>
      <c r="K51" s="2411"/>
      <c r="L51" s="1663"/>
      <c r="M51" s="1663"/>
      <c r="N51" s="1663"/>
      <c r="O51" s="1663"/>
      <c r="P51" s="1663"/>
      <c r="Q51" s="1663"/>
      <c r="R51" s="1663"/>
      <c r="S51" s="690"/>
      <c r="T51" s="690"/>
      <c r="U51" s="690"/>
      <c r="V51" s="690"/>
      <c r="W51" s="1664"/>
      <c r="Y51" s="1633"/>
      <c r="Z51" s="1633"/>
      <c r="AA51" s="1633"/>
      <c r="AB51" s="1633"/>
      <c r="AC51" s="1633"/>
      <c r="AD51" s="1633"/>
      <c r="AE51" s="1633"/>
      <c r="AF51" s="1633"/>
      <c r="AG51" s="1633"/>
      <c r="AH51" s="1633"/>
      <c r="AI51" s="1633"/>
      <c r="AJ51" s="1633"/>
      <c r="AK51" s="1633"/>
      <c r="AL51" s="1633"/>
      <c r="AM51" s="1633"/>
      <c r="AN51" s="1633"/>
      <c r="AO51" s="1633"/>
      <c r="AP51" s="1633"/>
      <c r="AQ51" s="1633"/>
    </row>
    <row s="18655" customFormat="1" customHeight="1" ht="17.25" hidden="1">
      <c r="A52" s="682"/>
      <c r="C52" s="681"/>
      <c r="D52" s="2417"/>
      <c r="E52" s="2419"/>
      <c r="F52" s="2422"/>
      <c r="G52" s="2419"/>
      <c r="H52" s="1665"/>
      <c r="I52" s="1666"/>
      <c r="J52" s="1666"/>
      <c r="K52" s="1666"/>
      <c r="L52" s="1666"/>
      <c r="M52" s="1666"/>
      <c r="N52" s="1666"/>
      <c r="O52" s="1666"/>
      <c r="P52" s="1666"/>
      <c r="Q52" s="1666"/>
      <c r="R52" s="1666"/>
      <c r="S52" s="1667"/>
      <c r="T52" s="1667"/>
      <c r="U52" s="1667"/>
      <c r="V52" s="1667"/>
      <c r="W52" s="1668"/>
      <c r="X52" s="1625"/>
      <c r="Y52" s="1625"/>
      <c r="Z52" s="1625"/>
      <c r="AA52" s="1625"/>
      <c r="AB52" s="1625"/>
      <c r="AC52" s="1625"/>
      <c r="AD52" s="1625"/>
      <c r="AE52" s="1625"/>
      <c r="AF52" s="1625"/>
      <c r="AG52" s="1625"/>
      <c r="AH52" s="1625"/>
      <c r="AI52" s="1625"/>
      <c r="AJ52" s="1625"/>
      <c r="AK52" s="1625"/>
      <c r="AL52" s="1625"/>
      <c r="AM52" s="1625"/>
      <c r="AN52" s="1625"/>
      <c r="AO52" s="1625"/>
      <c r="AP52" s="1625"/>
      <c r="AQ52" s="1625"/>
    </row>
    <row s="18665" customFormat="1" customHeight="1" ht="17.25" hidden="1">
      <c r="A53" s="682"/>
      <c r="C53" s="570"/>
      <c r="D53" s="2416">
        <v>9</v>
      </c>
      <c r="E53" s="2418" t="s">
        <v>199</v>
      </c>
      <c r="F53" s="2420" t="s">
        <v>54</v>
      </c>
      <c r="G53" s="2418"/>
      <c r="H53" s="2423"/>
      <c r="I53" s="2425"/>
      <c r="J53" s="2427"/>
      <c r="K53" s="2410"/>
      <c r="L53" s="2410"/>
      <c r="M53" s="2410"/>
      <c r="N53" s="2412"/>
      <c r="O53" s="2410"/>
      <c r="P53" s="2410"/>
      <c r="Q53" s="2410"/>
      <c r="R53" s="2415"/>
      <c r="S53" s="2410"/>
      <c r="T53" s="2298"/>
      <c r="U53" s="2298"/>
      <c r="V53" s="2300"/>
      <c r="W53" s="1662"/>
      <c r="X53" s="1633"/>
      <c r="Y53" s="1633"/>
      <c r="Z53" s="1633"/>
      <c r="AA53" s="1633"/>
      <c r="AB53" s="1633"/>
      <c r="AC53" s="1633" t="s">
        <v>200</v>
      </c>
      <c r="AD53" s="1633" t="s">
        <v>201</v>
      </c>
      <c r="AE53" s="1633" t="s">
        <v>202</v>
      </c>
      <c r="AF53" s="1633" t="s">
        <v>203</v>
      </c>
      <c r="AG53" s="1633" t="s">
        <v>204</v>
      </c>
      <c r="AH53" s="1633" t="str">
        <f>IF($E$53=0,"",$E$53)</f>
        <v>Плата за подключение к системе теплоснабжения (индивидуальная)</v>
      </c>
      <c r="AI53" s="1633" t="str">
        <f>IF($G$53=0,"",$G$53)</f>
        <v/>
      </c>
      <c r="AJ53" s="1633" t="str">
        <f>IF($J$53=0,"",$J$53)</f>
        <v/>
      </c>
      <c r="AK53" s="1633" t="str">
        <f>IF($K$53="нет","без дифференциации",IF($N$53=0,"",$N$53))</f>
        <v/>
      </c>
      <c r="AL53" s="1633" t="str">
        <f>IF($O$53="нет","без дифференциации",IF($R$53=0,"",$R$53))</f>
        <v/>
      </c>
      <c r="AM53" s="1633" t="str">
        <f>IF($S$53="нет","без дифференциации",IF($V$53=0,"",$V$53))</f>
        <v/>
      </c>
      <c r="AN53" s="2138">
        <f>$I$53</f>
        <v>0</v>
      </c>
      <c r="AO53" s="1633" t="str">
        <f>$I$53&amp;"."&amp;$M$53</f>
        <v>.</v>
      </c>
      <c r="AP53" s="1632" t="str">
        <f>$I$53&amp;"."&amp;$M$53&amp;"."&amp;$Q$53</f>
        <v>..</v>
      </c>
      <c r="AQ53" s="1632" t="str">
        <f>$I$53&amp;"."&amp;$M$53&amp;"."&amp;$Q$53&amp;"."&amp;$U$53</f>
        <v>...</v>
      </c>
    </row>
    <row s="18665" customFormat="1" customHeight="1" ht="17.25" hidden="1">
      <c r="A54" s="682"/>
      <c r="C54" s="681"/>
      <c r="D54" s="2416"/>
      <c r="E54" s="2418"/>
      <c r="F54" s="2421"/>
      <c r="G54" s="2418"/>
      <c r="H54" s="2424"/>
      <c r="I54" s="2426"/>
      <c r="J54" s="2428"/>
      <c r="K54" s="2411"/>
      <c r="L54" s="2411"/>
      <c r="M54" s="2411"/>
      <c r="N54" s="2413"/>
      <c r="O54" s="2411"/>
      <c r="P54" s="2411"/>
      <c r="Q54" s="2411"/>
      <c r="R54" s="2414"/>
      <c r="S54" s="2411"/>
      <c r="T54" s="2301"/>
      <c r="U54" s="2301"/>
      <c r="V54" s="2301"/>
      <c r="W54" s="2302"/>
      <c r="X54" s="1632"/>
      <c r="Y54" s="1632"/>
      <c r="Z54" s="1632"/>
      <c r="AA54" s="1632"/>
      <c r="AB54" s="1632"/>
      <c r="AC54" s="1632"/>
      <c r="AD54" s="1632"/>
      <c r="AE54" s="1632"/>
      <c r="AF54" s="1632"/>
      <c r="AG54" s="1632"/>
      <c r="AH54" s="1632"/>
      <c r="AI54" s="1632"/>
      <c r="AJ54" s="1632"/>
      <c r="AK54" s="1632"/>
      <c r="AL54" s="1632"/>
      <c r="AM54" s="1632"/>
      <c r="AN54" s="1632"/>
      <c r="AO54" s="1632"/>
      <c r="AP54" s="1632"/>
      <c r="AQ54" s="1632"/>
    </row>
    <row s="18665" customFormat="1" customHeight="1" ht="17.25" hidden="1">
      <c r="A55" s="682"/>
      <c r="C55" s="681"/>
      <c r="D55" s="2417"/>
      <c r="E55" s="2419"/>
      <c r="F55" s="2421"/>
      <c r="G55" s="2419"/>
      <c r="H55" s="2424"/>
      <c r="I55" s="2426"/>
      <c r="J55" s="2429"/>
      <c r="K55" s="2411"/>
      <c r="L55" s="2411"/>
      <c r="M55" s="2411"/>
      <c r="N55" s="2414"/>
      <c r="O55" s="2411"/>
      <c r="P55" s="2299"/>
      <c r="Q55" s="2301"/>
      <c r="R55" s="2301"/>
      <c r="S55" s="690"/>
      <c r="T55" s="690"/>
      <c r="U55" s="690"/>
      <c r="V55" s="690"/>
      <c r="W55" s="2302"/>
      <c r="X55" s="1632"/>
      <c r="Y55" s="1632"/>
      <c r="Z55" s="1632"/>
      <c r="AA55" s="1632"/>
      <c r="AB55" s="1632"/>
      <c r="AC55" s="1632"/>
      <c r="AD55" s="1632"/>
      <c r="AE55" s="1632"/>
      <c r="AF55" s="1632"/>
      <c r="AG55" s="1632"/>
      <c r="AH55" s="1632"/>
      <c r="AI55" s="1632"/>
      <c r="AJ55" s="1632"/>
      <c r="AK55" s="1632"/>
      <c r="AL55" s="1632"/>
      <c r="AM55" s="1632"/>
      <c r="AN55" s="1632"/>
      <c r="AO55" s="1632"/>
      <c r="AP55" s="1632"/>
      <c r="AQ55" s="1632"/>
    </row>
    <row s="18665" customFormat="1" customHeight="1" ht="17.25" hidden="1">
      <c r="A56" s="682"/>
      <c r="C56" s="570"/>
      <c r="D56" s="2417"/>
      <c r="E56" s="2419"/>
      <c r="F56" s="2421"/>
      <c r="G56" s="2419"/>
      <c r="H56" s="2424"/>
      <c r="I56" s="2426"/>
      <c r="J56" s="2429"/>
      <c r="K56" s="2411"/>
      <c r="L56" s="2301"/>
      <c r="M56" s="2301"/>
      <c r="N56" s="2301"/>
      <c r="O56" s="2301"/>
      <c r="P56" s="2301"/>
      <c r="Q56" s="2301"/>
      <c r="R56" s="2301"/>
      <c r="S56" s="690"/>
      <c r="T56" s="690"/>
      <c r="U56" s="690"/>
      <c r="V56" s="690"/>
      <c r="W56" s="2302"/>
      <c r="Y56" s="1633"/>
      <c r="Z56" s="1633"/>
      <c r="AA56" s="1633"/>
      <c r="AB56" s="1633"/>
      <c r="AC56" s="1633"/>
      <c r="AD56" s="1633"/>
      <c r="AE56" s="1633"/>
      <c r="AF56" s="1633"/>
      <c r="AG56" s="1633"/>
      <c r="AH56" s="1633"/>
      <c r="AI56" s="1633"/>
      <c r="AJ56" s="1633"/>
      <c r="AK56" s="1633"/>
      <c r="AL56" s="1633"/>
      <c r="AM56" s="1633"/>
      <c r="AN56" s="1633"/>
      <c r="AO56" s="1633"/>
      <c r="AP56" s="1633"/>
      <c r="AQ56" s="1633"/>
    </row>
    <row s="18665" customFormat="1" customHeight="1" ht="17.25" hidden="1">
      <c r="A57" s="682"/>
      <c r="C57" s="681"/>
      <c r="D57" s="2417"/>
      <c r="E57" s="2419"/>
      <c r="F57" s="2422"/>
      <c r="G57" s="2419"/>
      <c r="H57" s="1665"/>
      <c r="I57" s="2303"/>
      <c r="J57" s="2303"/>
      <c r="K57" s="2303"/>
      <c r="L57" s="2303"/>
      <c r="M57" s="2303"/>
      <c r="N57" s="2303"/>
      <c r="O57" s="2303"/>
      <c r="P57" s="2303"/>
      <c r="Q57" s="2303"/>
      <c r="R57" s="2303"/>
      <c r="S57" s="1667"/>
      <c r="T57" s="1667"/>
      <c r="U57" s="1667"/>
      <c r="V57" s="1667"/>
      <c r="W57" s="2304"/>
      <c r="X57" s="1632"/>
      <c r="Y57" s="1632"/>
      <c r="Z57" s="1632"/>
      <c r="AA57" s="1632"/>
      <c r="AB57" s="1632"/>
      <c r="AC57" s="1632"/>
      <c r="AD57" s="1632"/>
      <c r="AE57" s="1632"/>
      <c r="AF57" s="1632"/>
      <c r="AG57" s="1632"/>
      <c r="AH57" s="1632"/>
      <c r="AI57" s="1632"/>
      <c r="AJ57" s="1632"/>
      <c r="AK57" s="1632"/>
      <c r="AL57" s="1632"/>
      <c r="AM57" s="1632"/>
      <c r="AN57" s="1632"/>
      <c r="AO57" s="1632"/>
      <c r="AP57" s="1632"/>
      <c r="AQ57" s="1632"/>
    </row>
    <row s="18665" customFormat="1" customHeight="1" ht="17.25" hidden="1">
      <c r="A58" s="682"/>
      <c r="C58" s="570"/>
      <c r="D58" s="2416">
        <v>10</v>
      </c>
      <c r="E58" s="2418" t="s">
        <v>205</v>
      </c>
      <c r="F58" s="2420" t="s">
        <v>54</v>
      </c>
      <c r="G58" s="2418"/>
      <c r="H58" s="2423"/>
      <c r="I58" s="2425"/>
      <c r="J58" s="2427"/>
      <c r="K58" s="2410"/>
      <c r="L58" s="2410"/>
      <c r="M58" s="2410"/>
      <c r="N58" s="2412"/>
      <c r="O58" s="2410"/>
      <c r="P58" s="2410"/>
      <c r="Q58" s="2410"/>
      <c r="R58" s="2415"/>
      <c r="S58" s="2410"/>
      <c r="T58" s="2298"/>
      <c r="U58" s="2298"/>
      <c r="V58" s="2300"/>
      <c r="W58" s="1662"/>
      <c r="X58" s="1633"/>
      <c r="Y58" s="1633"/>
      <c r="Z58" s="1633"/>
      <c r="AA58" s="1633"/>
      <c r="AB58" s="1633"/>
      <c r="AC58" s="1633" t="s">
        <v>206</v>
      </c>
      <c r="AD58" s="1633" t="s">
        <v>207</v>
      </c>
      <c r="AE58" s="1633" t="s">
        <v>208</v>
      </c>
      <c r="AF58" s="1633" t="s">
        <v>209</v>
      </c>
      <c r="AG58" s="1633" t="s">
        <v>210</v>
      </c>
      <c r="AH58" s="1633" t="str">
        <f>IF($E$58=0,"",$E$58)</f>
        <v>Предельный уровень цены на тепловую энергию (мощность), поставляемую теплоснабжающими организациями потребителям</v>
      </c>
      <c r="AI58" s="1633" t="str">
        <f>IF($G$58=0,"",$G$58)</f>
        <v/>
      </c>
      <c r="AJ58" s="1633" t="str">
        <f>IF($J$58=0,"",$J$58)</f>
        <v/>
      </c>
      <c r="AK58" s="1633" t="str">
        <f>IF($K$58="нет","без дифференциации",IF($N$58=0,"",$N$58))</f>
        <v/>
      </c>
      <c r="AL58" s="1633" t="str">
        <f>IF($O$58="нет","без дифференциации",IF($R$58=0,"",$R$58))</f>
        <v/>
      </c>
      <c r="AM58" s="1633" t="str">
        <f>IF($S$58="нет","без дифференциации",IF($V$58=0,"",$V$58))</f>
        <v/>
      </c>
      <c r="AN58" s="2138">
        <f>$I$58</f>
        <v>0</v>
      </c>
      <c r="AO58" s="1633" t="str">
        <f>$I$58&amp;"."&amp;$M$58</f>
        <v>.</v>
      </c>
      <c r="AP58" s="1632" t="str">
        <f>$I$58&amp;"."&amp;$M$58&amp;"."&amp;$Q$58</f>
        <v>..</v>
      </c>
      <c r="AQ58" s="1632" t="str">
        <f>$I$58&amp;"."&amp;$M$58&amp;"."&amp;$Q$58&amp;"."&amp;$U$58</f>
        <v>...</v>
      </c>
    </row>
    <row s="18665" customFormat="1" customHeight="1" ht="17.25" hidden="1">
      <c r="A59" s="682"/>
      <c r="C59" s="681"/>
      <c r="D59" s="2416"/>
      <c r="E59" s="2418"/>
      <c r="F59" s="2421"/>
      <c r="G59" s="2418"/>
      <c r="H59" s="2424"/>
      <c r="I59" s="2426"/>
      <c r="J59" s="2428"/>
      <c r="K59" s="2411"/>
      <c r="L59" s="2411"/>
      <c r="M59" s="2411"/>
      <c r="N59" s="2413"/>
      <c r="O59" s="2411"/>
      <c r="P59" s="2411"/>
      <c r="Q59" s="2411"/>
      <c r="R59" s="2414"/>
      <c r="S59" s="2411"/>
      <c r="T59" s="2301"/>
      <c r="U59" s="2301"/>
      <c r="V59" s="2301"/>
      <c r="W59" s="2302"/>
      <c r="X59" s="1632"/>
      <c r="Y59" s="1632"/>
      <c r="Z59" s="1632"/>
      <c r="AA59" s="1632"/>
      <c r="AB59" s="1632"/>
      <c r="AC59" s="1632"/>
      <c r="AD59" s="1632"/>
      <c r="AE59" s="1632"/>
      <c r="AF59" s="1632"/>
      <c r="AG59" s="1632"/>
      <c r="AH59" s="1632"/>
      <c r="AI59" s="1632"/>
      <c r="AJ59" s="1632"/>
      <c r="AK59" s="1632"/>
      <c r="AL59" s="1632"/>
      <c r="AM59" s="1632"/>
      <c r="AN59" s="1632"/>
      <c r="AO59" s="1632"/>
      <c r="AP59" s="1632"/>
      <c r="AQ59" s="1632"/>
    </row>
    <row s="18665" customFormat="1" customHeight="1" ht="17.25" hidden="1">
      <c r="A60" s="682"/>
      <c r="C60" s="681"/>
      <c r="D60" s="2417"/>
      <c r="E60" s="2419"/>
      <c r="F60" s="2421"/>
      <c r="G60" s="2419"/>
      <c r="H60" s="2424"/>
      <c r="I60" s="2426"/>
      <c r="J60" s="2429"/>
      <c r="K60" s="2411"/>
      <c r="L60" s="2411"/>
      <c r="M60" s="2411"/>
      <c r="N60" s="2414"/>
      <c r="O60" s="2411"/>
      <c r="P60" s="2299"/>
      <c r="Q60" s="2301"/>
      <c r="R60" s="2301"/>
      <c r="S60" s="690"/>
      <c r="T60" s="690"/>
      <c r="U60" s="690"/>
      <c r="V60" s="690"/>
      <c r="W60" s="2302"/>
      <c r="X60" s="1632"/>
      <c r="Y60" s="1632"/>
      <c r="Z60" s="1632"/>
      <c r="AA60" s="1632"/>
      <c r="AB60" s="1632"/>
      <c r="AC60" s="1632"/>
      <c r="AD60" s="1632"/>
      <c r="AE60" s="1632"/>
      <c r="AF60" s="1632"/>
      <c r="AG60" s="1632"/>
      <c r="AH60" s="1632"/>
      <c r="AI60" s="1632"/>
      <c r="AJ60" s="1632"/>
      <c r="AK60" s="1632"/>
      <c r="AL60" s="1632"/>
      <c r="AM60" s="1632"/>
      <c r="AN60" s="1632"/>
      <c r="AO60" s="1632"/>
      <c r="AP60" s="1632"/>
      <c r="AQ60" s="1632"/>
    </row>
    <row s="18665" customFormat="1" customHeight="1" ht="17.25" hidden="1">
      <c r="A61" s="682"/>
      <c r="C61" s="570"/>
      <c r="D61" s="2417"/>
      <c r="E61" s="2419"/>
      <c r="F61" s="2421"/>
      <c r="G61" s="2419"/>
      <c r="H61" s="2424"/>
      <c r="I61" s="2426"/>
      <c r="J61" s="2429"/>
      <c r="K61" s="2411"/>
      <c r="L61" s="2301"/>
      <c r="M61" s="2301"/>
      <c r="N61" s="2301"/>
      <c r="O61" s="2301"/>
      <c r="P61" s="2301"/>
      <c r="Q61" s="2301"/>
      <c r="R61" s="2301"/>
      <c r="S61" s="690"/>
      <c r="T61" s="690"/>
      <c r="U61" s="690"/>
      <c r="V61" s="690"/>
      <c r="W61" s="2302"/>
      <c r="Y61" s="1633"/>
      <c r="Z61" s="1633"/>
      <c r="AA61" s="1633"/>
      <c r="AB61" s="1633"/>
      <c r="AC61" s="1633"/>
      <c r="AD61" s="1633"/>
      <c r="AE61" s="1633"/>
      <c r="AF61" s="1633"/>
      <c r="AG61" s="1633"/>
      <c r="AH61" s="1633"/>
      <c r="AI61" s="1633"/>
      <c r="AJ61" s="1633"/>
      <c r="AK61" s="1633"/>
      <c r="AL61" s="1633"/>
      <c r="AM61" s="1633"/>
      <c r="AN61" s="1633"/>
      <c r="AO61" s="1633"/>
      <c r="AP61" s="1633"/>
      <c r="AQ61" s="1633"/>
    </row>
    <row s="18665" customFormat="1" customHeight="1" ht="17.25" hidden="1">
      <c r="A62" s="682"/>
      <c r="C62" s="681"/>
      <c r="D62" s="2417"/>
      <c r="E62" s="2419"/>
      <c r="F62" s="2422"/>
      <c r="G62" s="2419"/>
      <c r="H62" s="1665"/>
      <c r="I62" s="2303"/>
      <c r="J62" s="2303"/>
      <c r="K62" s="2303"/>
      <c r="L62" s="2303"/>
      <c r="M62" s="2303"/>
      <c r="N62" s="2303"/>
      <c r="O62" s="2303"/>
      <c r="P62" s="2303"/>
      <c r="Q62" s="2303"/>
      <c r="R62" s="2303"/>
      <c r="S62" s="1667"/>
      <c r="T62" s="1667"/>
      <c r="U62" s="1667"/>
      <c r="V62" s="1667"/>
      <c r="W62" s="2304"/>
      <c r="X62" s="1632"/>
      <c r="Y62" s="1632"/>
      <c r="Z62" s="1632"/>
      <c r="AA62" s="1632"/>
      <c r="AB62" s="1632"/>
      <c r="AC62" s="1632"/>
      <c r="AD62" s="1632"/>
      <c r="AE62" s="1632"/>
      <c r="AF62" s="1632"/>
      <c r="AG62" s="1632"/>
      <c r="AH62" s="1632"/>
      <c r="AI62" s="1632"/>
      <c r="AJ62" s="1632"/>
      <c r="AK62" s="1632"/>
      <c r="AL62" s="1632"/>
      <c r="AM62" s="1632"/>
      <c r="AN62" s="1632"/>
      <c r="AO62" s="1632"/>
      <c r="AP62" s="1632"/>
      <c r="AQ62" s="1632"/>
    </row>
    <row customHeight="1" ht="11.25" hidden="1"/>
    <row customHeight="1" ht="11.25" hidden="1">
      <c r="E64" s="2432" t="s">
        <v>211</v>
      </c>
      <c r="F64" s="2432"/>
      <c r="G64" s="2432"/>
      <c r="H64" s="2432"/>
      <c r="I64" s="2432"/>
      <c r="J64" s="2432"/>
      <c r="K64" s="2432"/>
      <c r="L64" s="2432"/>
      <c r="M64" s="2432"/>
      <c r="N64" s="2432"/>
      <c r="O64" s="2432"/>
      <c r="P64" s="2432"/>
      <c r="Q64" s="2432"/>
      <c r="R64" s="2432"/>
      <c r="S64" s="2432"/>
      <c r="T64" s="2432"/>
      <c r="U64" s="2432"/>
      <c r="V64" s="2432"/>
      <c r="W64" s="2432"/>
    </row>
    <row customHeight="1" ht="36.75" hidden="1">
      <c r="E65" s="2430" t="s">
        <v>212</v>
      </c>
      <c r="F65" s="2430"/>
      <c r="G65" s="2431"/>
      <c r="H65" s="2431"/>
      <c r="I65" s="2431"/>
      <c r="J65" s="2431"/>
      <c r="K65" s="2431"/>
      <c r="L65" s="2431"/>
      <c r="M65" s="2431"/>
      <c r="N65" s="2431"/>
      <c r="O65" s="2431"/>
      <c r="P65" s="2431"/>
      <c r="Q65" s="2431"/>
      <c r="R65" s="2431"/>
      <c r="S65" s="2431"/>
      <c r="T65" s="2431"/>
      <c r="U65" s="2431"/>
      <c r="V65" s="2431"/>
      <c r="W65" s="2431"/>
    </row>
    <row customHeight="1" ht="28.5" hidden="1">
      <c r="E66" s="2430" t="s">
        <v>213</v>
      </c>
      <c r="F66" s="2430"/>
      <c r="G66" s="2431"/>
      <c r="H66" s="2431"/>
      <c r="I66" s="2431"/>
      <c r="J66" s="2431"/>
      <c r="K66" s="2431"/>
      <c r="L66" s="2431"/>
      <c r="M66" s="2431"/>
      <c r="N66" s="2431"/>
      <c r="O66" s="2431"/>
      <c r="P66" s="2431"/>
      <c r="Q66" s="2431"/>
      <c r="R66" s="2431"/>
      <c r="S66" s="2431"/>
      <c r="T66" s="2431"/>
      <c r="U66" s="2431"/>
      <c r="V66" s="2431"/>
      <c r="W66" s="2431"/>
    </row>
    <row customHeight="1" ht="27" hidden="1">
      <c r="E67" s="2430" t="s">
        <v>214</v>
      </c>
      <c r="F67" s="2430"/>
      <c r="G67" s="2431"/>
      <c r="H67" s="2431"/>
      <c r="I67" s="2431"/>
      <c r="J67" s="2431"/>
      <c r="K67" s="2431"/>
      <c r="L67" s="2431"/>
      <c r="M67" s="2431"/>
      <c r="N67" s="2431"/>
      <c r="O67" s="2431"/>
      <c r="P67" s="2431"/>
      <c r="Q67" s="2431"/>
      <c r="R67" s="2431"/>
      <c r="S67" s="2431"/>
      <c r="T67" s="2431"/>
      <c r="U67" s="2431"/>
      <c r="V67" s="2431"/>
      <c r="W67" s="2431"/>
    </row>
    <row customHeight="1" ht="17.25" hidden="1">
      <c r="E68" s="2430" t="s">
        <v>215</v>
      </c>
      <c r="F68" s="2430"/>
      <c r="G68" s="2431"/>
      <c r="H68" s="2431"/>
      <c r="I68" s="2431"/>
      <c r="J68" s="2431"/>
      <c r="K68" s="2431"/>
      <c r="L68" s="2431"/>
      <c r="M68" s="2431"/>
      <c r="N68" s="2431"/>
      <c r="O68" s="2431"/>
      <c r="P68" s="2431"/>
      <c r="Q68" s="2431"/>
      <c r="R68" s="2431"/>
      <c r="S68" s="2431"/>
      <c r="T68" s="2431"/>
      <c r="U68" s="2431"/>
      <c r="V68" s="2431"/>
      <c r="W68" s="2431"/>
    </row>
    <row customHeight="1" ht="15" hidden="1">
      <c r="E69" s="701"/>
      <c r="F69" s="1651"/>
      <c r="G69" s="519"/>
      <c r="H69" s="519"/>
      <c r="I69" s="519"/>
      <c r="J69" s="519"/>
      <c r="K69" s="519"/>
      <c r="L69" s="519"/>
      <c r="M69" s="519"/>
      <c r="N69" s="519"/>
      <c r="O69" s="519"/>
      <c r="P69" s="519"/>
      <c r="Q69" s="519"/>
      <c r="R69" s="519"/>
      <c r="S69" s="519"/>
      <c r="T69" s="519"/>
      <c r="U69" s="519"/>
      <c r="V69" s="519"/>
      <c r="W69" s="519"/>
    </row>
    <row customHeight="1" ht="15" hidden="1">
      <c r="E70" s="2432" t="s">
        <v>216</v>
      </c>
      <c r="F70" s="2432"/>
      <c r="G70" s="2432"/>
      <c r="H70" s="2432"/>
      <c r="I70" s="2432"/>
      <c r="J70" s="2432"/>
      <c r="K70" s="2432"/>
      <c r="L70" s="2432"/>
      <c r="M70" s="2432"/>
      <c r="N70" s="2432"/>
      <c r="O70" s="2432"/>
      <c r="P70" s="2432"/>
      <c r="Q70" s="2432"/>
      <c r="R70" s="2432"/>
      <c r="S70" s="2432"/>
      <c r="T70" s="2432"/>
      <c r="U70" s="2432"/>
      <c r="V70" s="2432"/>
      <c r="W70" s="2432"/>
    </row>
    <row customHeight="1" ht="17.25" hidden="1">
      <c r="E71" s="2430" t="s">
        <v>217</v>
      </c>
      <c r="F71" s="2430"/>
      <c r="G71" s="2431"/>
      <c r="H71" s="2431"/>
      <c r="I71" s="2431"/>
      <c r="J71" s="2431"/>
      <c r="K71" s="2431"/>
      <c r="L71" s="2431"/>
      <c r="M71" s="2431"/>
      <c r="N71" s="2431"/>
      <c r="O71" s="2431"/>
      <c r="P71" s="2431"/>
      <c r="Q71" s="2431"/>
      <c r="R71" s="2431"/>
      <c r="S71" s="2431"/>
      <c r="T71" s="2431"/>
      <c r="U71" s="2431"/>
      <c r="V71" s="2431"/>
      <c r="W71" s="2431"/>
    </row>
    <row customHeight="1" ht="17.25" hidden="1">
      <c r="E72" s="2430" t="s">
        <v>218</v>
      </c>
      <c r="F72" s="2430"/>
      <c r="G72" s="2431"/>
      <c r="H72" s="2431"/>
      <c r="I72" s="2431"/>
      <c r="J72" s="2431"/>
      <c r="K72" s="2431"/>
      <c r="L72" s="2431"/>
      <c r="M72" s="2431"/>
      <c r="N72" s="2431"/>
      <c r="O72" s="2431"/>
      <c r="P72" s="2431"/>
      <c r="Q72" s="2431"/>
      <c r="R72" s="2431"/>
      <c r="S72" s="2431"/>
      <c r="T72" s="2431"/>
      <c r="U72" s="2431"/>
      <c r="V72" s="2431"/>
      <c r="W72" s="2431"/>
    </row>
    <row s="18679" customFormat="1" customHeight="1" ht="11.25" hidden="1">
      <c r="A73" s="638"/>
      <c r="B73" s="638"/>
      <c r="Y73" s="1625"/>
      <c r="Z73" s="1625"/>
      <c r="AA73" s="1625"/>
      <c r="AB73" s="1625"/>
      <c r="AC73" s="1625"/>
      <c r="AD73" s="1625"/>
      <c r="AE73" s="1625"/>
      <c r="AF73" s="1625"/>
      <c r="AG73" s="1625"/>
      <c r="AH73" s="1625"/>
      <c r="AI73" s="1625"/>
      <c r="AJ73" s="1625"/>
      <c r="AK73" s="1625"/>
      <c r="AL73" s="1625"/>
      <c r="AM73" s="1625"/>
      <c r="AN73" s="1625"/>
      <c r="AO73" s="1625"/>
      <c r="AP73" s="1625"/>
      <c r="AQ73" s="1625"/>
    </row>
    <row s="18679" customFormat="1" customHeight="1" ht="17.25" hidden="1">
      <c r="A74" s="682"/>
      <c r="C74" s="570"/>
      <c r="D74" s="2416">
        <v>1</v>
      </c>
      <c r="E74" s="2418" t="s">
        <v>219</v>
      </c>
      <c r="F74" s="2420" t="s">
        <v>54</v>
      </c>
      <c r="G74" s="2418"/>
      <c r="H74" s="2423"/>
      <c r="I74" s="2425"/>
      <c r="J74" s="2427"/>
      <c r="K74" s="2410"/>
      <c r="L74" s="2410"/>
      <c r="M74" s="2410"/>
      <c r="N74" s="2412"/>
      <c r="O74" s="2410"/>
      <c r="P74" s="2410"/>
      <c r="Q74" s="2410"/>
      <c r="R74" s="2415"/>
      <c r="S74" s="2410"/>
      <c r="T74" s="1836"/>
      <c r="U74" s="1836"/>
      <c r="V74" s="1838"/>
      <c r="W74" s="1662"/>
      <c r="Y74" s="1633"/>
      <c r="Z74" s="1633"/>
      <c r="AA74" s="1633"/>
      <c r="AB74" s="1633"/>
      <c r="AC74" s="1633" t="s">
        <v>220</v>
      </c>
      <c r="AD74" s="1633" t="s">
        <v>221</v>
      </c>
      <c r="AE74" s="1633" t="s">
        <v>222</v>
      </c>
      <c r="AF74" s="1633" t="s">
        <v>223</v>
      </c>
      <c r="AG74" s="1633"/>
      <c r="AH74" s="1633" t="str">
        <f>IF($E$74=0,"",$E$74)</f>
        <v>Тариф на питьевую воду (питьевое водоснабжение)</v>
      </c>
      <c r="AI74" s="1633" t="str">
        <f>IF($G$74=0,"",$G$74)</f>
        <v/>
      </c>
      <c r="AJ74" s="1633" t="str">
        <f>IF($J$74=0,"",$J$74)</f>
        <v/>
      </c>
      <c r="AK74" s="1633" t="str">
        <f>IF($K$74="нет","без дифференциации",IF($N$74=0,"",$N$74))</f>
        <v/>
      </c>
      <c r="AL74" s="1633" t="str">
        <f>IF($O$74="нет","без дифференциации",IF($R$74=0,"",$R$74))</f>
        <v/>
      </c>
      <c r="AM74" s="1633" t="str">
        <f>IF($S$74="нет","без дифференциации",IF($V$74=0,"",$V$74))</f>
        <v/>
      </c>
      <c r="AN74" s="1633">
        <f>$I$74</f>
        <v>0</v>
      </c>
      <c r="AO74" s="1633" t="str">
        <f>$I$74&amp;"."&amp;$M$74</f>
        <v>.</v>
      </c>
      <c r="AP74" s="1633" t="str">
        <f>$I$74&amp;"."&amp;$M$74&amp;"."&amp;$Q$74</f>
        <v>..</v>
      </c>
      <c r="AQ74" s="1633" t="str">
        <f>$I$74&amp;"."&amp;$M$74&amp;"."&amp;$Q$74&amp;"."&amp;$U$74</f>
        <v>...</v>
      </c>
    </row>
    <row s="18679" customFormat="1" customHeight="1" ht="17.25" hidden="1">
      <c r="A75" s="682"/>
      <c r="C75" s="681"/>
      <c r="D75" s="2416"/>
      <c r="E75" s="2418"/>
      <c r="F75" s="2421"/>
      <c r="G75" s="2418"/>
      <c r="H75" s="2424"/>
      <c r="I75" s="2426"/>
      <c r="J75" s="2428"/>
      <c r="K75" s="2411"/>
      <c r="L75" s="2411"/>
      <c r="M75" s="2411"/>
      <c r="N75" s="2413"/>
      <c r="O75" s="2411"/>
      <c r="P75" s="2411"/>
      <c r="Q75" s="2411"/>
      <c r="R75" s="2414"/>
      <c r="S75" s="2411"/>
      <c r="T75" s="1663"/>
      <c r="U75" s="1663"/>
      <c r="V75" s="1663"/>
      <c r="W75" s="1664"/>
      <c r="Y75" s="1625"/>
      <c r="Z75" s="1625"/>
      <c r="AA75" s="1625"/>
      <c r="AB75" s="1625"/>
      <c r="AC75" s="1625"/>
      <c r="AD75" s="1625"/>
      <c r="AE75" s="1625"/>
      <c r="AF75" s="1625"/>
      <c r="AG75" s="1625"/>
      <c r="AH75" s="1625"/>
      <c r="AI75" s="1625"/>
      <c r="AJ75" s="1625"/>
      <c r="AK75" s="1625"/>
      <c r="AL75" s="1625"/>
      <c r="AM75" s="1625"/>
      <c r="AN75" s="1625"/>
      <c r="AO75" s="1625"/>
      <c r="AP75" s="1625"/>
      <c r="AQ75" s="1625"/>
    </row>
    <row s="18681" customFormat="1" customHeight="1" ht="17.25" hidden="1">
      <c r="A76" s="682"/>
      <c r="C76" s="570"/>
      <c r="D76" s="2416"/>
      <c r="E76" s="2418"/>
      <c r="F76" s="2421"/>
      <c r="G76" s="2418"/>
      <c r="H76" s="2424"/>
      <c r="I76" s="2426"/>
      <c r="J76" s="2429"/>
      <c r="K76" s="2411"/>
      <c r="L76" s="2411"/>
      <c r="M76" s="2411"/>
      <c r="N76" s="2414"/>
      <c r="O76" s="2411"/>
      <c r="P76" s="1837"/>
      <c r="Q76" s="1663"/>
      <c r="R76" s="1663"/>
      <c r="S76" s="690"/>
      <c r="T76" s="690"/>
      <c r="U76" s="690"/>
      <c r="V76" s="690"/>
      <c r="W76" s="1664"/>
      <c r="Y76" s="1633"/>
      <c r="Z76" s="1633"/>
      <c r="AA76" s="1633"/>
      <c r="AB76" s="1633"/>
      <c r="AC76" s="1633"/>
      <c r="AD76" s="1633"/>
      <c r="AE76" s="1633"/>
      <c r="AF76" s="1633"/>
      <c r="AG76" s="1633"/>
      <c r="AH76" s="1633"/>
      <c r="AI76" s="1633"/>
      <c r="AJ76" s="1633"/>
      <c r="AK76" s="1633"/>
      <c r="AL76" s="1633"/>
      <c r="AM76" s="1633"/>
      <c r="AN76" s="1633"/>
      <c r="AO76" s="1633"/>
      <c r="AP76" s="1633"/>
      <c r="AQ76" s="1633"/>
    </row>
    <row s="18681" customFormat="1" customHeight="1" ht="17.25" hidden="1">
      <c r="A77" s="682"/>
      <c r="C77" s="681"/>
      <c r="D77" s="2416"/>
      <c r="E77" s="2418"/>
      <c r="F77" s="2421"/>
      <c r="G77" s="2418"/>
      <c r="H77" s="2424"/>
      <c r="I77" s="2426"/>
      <c r="J77" s="2429"/>
      <c r="K77" s="2411"/>
      <c r="L77" s="1663"/>
      <c r="M77" s="1663"/>
      <c r="N77" s="1663"/>
      <c r="O77" s="1663"/>
      <c r="P77" s="1663"/>
      <c r="Q77" s="1663"/>
      <c r="R77" s="1663"/>
      <c r="S77" s="690"/>
      <c r="T77" s="690"/>
      <c r="U77" s="690"/>
      <c r="V77" s="690"/>
      <c r="W77" s="1664"/>
      <c r="Y77" s="1625"/>
      <c r="Z77" s="1625"/>
      <c r="AA77" s="1625"/>
      <c r="AB77" s="1625"/>
      <c r="AC77" s="1625"/>
      <c r="AD77" s="1625"/>
      <c r="AE77" s="1625"/>
      <c r="AF77" s="1625"/>
      <c r="AG77" s="1625"/>
      <c r="AH77" s="1625"/>
      <c r="AI77" s="1625"/>
      <c r="AJ77" s="1625"/>
      <c r="AK77" s="1625"/>
      <c r="AL77" s="1625"/>
      <c r="AM77" s="1625"/>
      <c r="AN77" s="1625"/>
      <c r="AO77" s="1625"/>
      <c r="AP77" s="1625"/>
      <c r="AQ77" s="1625"/>
    </row>
    <row s="18679" customFormat="1" customHeight="1" ht="17.25" hidden="1">
      <c r="A78" s="682"/>
      <c r="C78" s="681"/>
      <c r="D78" s="2417"/>
      <c r="E78" s="2419"/>
      <c r="F78" s="2422"/>
      <c r="G78" s="2419"/>
      <c r="H78" s="1665"/>
      <c r="I78" s="1666"/>
      <c r="J78" s="1666"/>
      <c r="K78" s="1666"/>
      <c r="L78" s="1666"/>
      <c r="M78" s="1666"/>
      <c r="N78" s="1666"/>
      <c r="O78" s="1666"/>
      <c r="P78" s="1666"/>
      <c r="Q78" s="1666"/>
      <c r="R78" s="1666"/>
      <c r="S78" s="1667"/>
      <c r="T78" s="1667"/>
      <c r="U78" s="1667"/>
      <c r="V78" s="1667"/>
      <c r="W78" s="1668"/>
      <c r="Y78" s="1625"/>
      <c r="Z78" s="1625"/>
      <c r="AA78" s="1625"/>
      <c r="AB78" s="1625"/>
      <c r="AC78" s="1625"/>
      <c r="AD78" s="1625"/>
      <c r="AE78" s="1625"/>
      <c r="AF78" s="1625"/>
      <c r="AG78" s="1625"/>
      <c r="AH78" s="1625"/>
      <c r="AI78" s="1625"/>
      <c r="AJ78" s="1625"/>
      <c r="AK78" s="1625"/>
      <c r="AL78" s="1625"/>
      <c r="AM78" s="1625"/>
      <c r="AN78" s="1625"/>
      <c r="AO78" s="1625"/>
      <c r="AP78" s="1625"/>
      <c r="AQ78" s="1625"/>
    </row>
    <row s="18679" customFormat="1" customHeight="1" ht="17.25" hidden="1">
      <c r="A79" s="682"/>
      <c r="C79" s="570"/>
      <c r="D79" s="2416">
        <v>2</v>
      </c>
      <c r="E79" s="2418" t="s">
        <v>224</v>
      </c>
      <c r="F79" s="2420" t="s">
        <v>54</v>
      </c>
      <c r="G79" s="2418"/>
      <c r="H79" s="2423"/>
      <c r="I79" s="2425"/>
      <c r="J79" s="2427"/>
      <c r="K79" s="2410"/>
      <c r="L79" s="2410"/>
      <c r="M79" s="2410"/>
      <c r="N79" s="2412"/>
      <c r="O79" s="2410"/>
      <c r="P79" s="2410"/>
      <c r="Q79" s="2410"/>
      <c r="R79" s="2415"/>
      <c r="S79" s="2410"/>
      <c r="T79" s="1809"/>
      <c r="U79" s="1809"/>
      <c r="V79" s="1811"/>
      <c r="W79" s="1662"/>
      <c r="X79" s="1633"/>
      <c r="Y79" s="1633"/>
      <c r="Z79" s="1633"/>
      <c r="AA79" s="1633"/>
      <c r="AB79" s="1633"/>
      <c r="AC79" s="1633" t="s">
        <v>225</v>
      </c>
      <c r="AD79" s="1633" t="s">
        <v>226</v>
      </c>
      <c r="AE79" s="1633" t="s">
        <v>227</v>
      </c>
      <c r="AF79" s="1633" t="s">
        <v>228</v>
      </c>
      <c r="AG79" s="1633"/>
      <c r="AH79" s="1633" t="str">
        <f>IF($E$79=0,"",$E$79)</f>
        <v>Тариф на техническую воду</v>
      </c>
      <c r="AI79" s="1633" t="str">
        <f>IF($G$79=0,"",$G$79)</f>
        <v/>
      </c>
      <c r="AJ79" s="1633" t="str">
        <f>IF($J$79=0,"",$J$79)</f>
        <v/>
      </c>
      <c r="AK79" s="1633" t="str">
        <f>IF($K$79="нет","без дифференциации",IF($N$79=0,"",$N$79))</f>
        <v/>
      </c>
      <c r="AL79" s="1633" t="str">
        <f>IF($O$79="нет","без дифференциации",IF($R$79=0,"",$R$79))</f>
        <v/>
      </c>
      <c r="AM79" s="1633" t="str">
        <f>IF($S$79="нет","без дифференциации",IF($V$79=0,"",$V$79))</f>
        <v/>
      </c>
      <c r="AN79" s="2138">
        <f>$I$79</f>
        <v>0</v>
      </c>
      <c r="AO79" s="1633" t="str">
        <f>$I$79&amp;"."&amp;$M$79</f>
        <v>.</v>
      </c>
      <c r="AP79" s="1625" t="str">
        <f>$I$79&amp;"."&amp;$M$79&amp;"."&amp;$Q$79</f>
        <v>..</v>
      </c>
      <c r="AQ79" s="1625" t="str">
        <f>$I$79&amp;"."&amp;$M$79&amp;"."&amp;$Q$79&amp;"."&amp;$U$79</f>
        <v>...</v>
      </c>
    </row>
    <row s="18679" customFormat="1" customHeight="1" ht="17.25" hidden="1">
      <c r="A80" s="682"/>
      <c r="C80" s="681"/>
      <c r="D80" s="2416"/>
      <c r="E80" s="2418"/>
      <c r="F80" s="2421"/>
      <c r="G80" s="2418"/>
      <c r="H80" s="2424"/>
      <c r="I80" s="2426"/>
      <c r="J80" s="2428"/>
      <c r="K80" s="2411"/>
      <c r="L80" s="2411"/>
      <c r="M80" s="2411"/>
      <c r="N80" s="2413"/>
      <c r="O80" s="2411"/>
      <c r="P80" s="2411"/>
      <c r="Q80" s="2411"/>
      <c r="R80" s="2414"/>
      <c r="S80" s="2411"/>
      <c r="T80" s="1663"/>
      <c r="U80" s="1663"/>
      <c r="V80" s="1663"/>
      <c r="W80" s="1664"/>
      <c r="X80" s="1625"/>
      <c r="Y80" s="1625"/>
      <c r="Z80" s="1625"/>
      <c r="AA80" s="1625"/>
      <c r="AB80" s="1625"/>
      <c r="AC80" s="1625"/>
      <c r="AD80" s="1625"/>
      <c r="AE80" s="1625"/>
      <c r="AF80" s="1625"/>
      <c r="AG80" s="1625"/>
      <c r="AH80" s="1625"/>
      <c r="AI80" s="1625"/>
      <c r="AJ80" s="1625"/>
      <c r="AK80" s="1625"/>
      <c r="AL80" s="1625"/>
      <c r="AM80" s="1625"/>
      <c r="AN80" s="1625"/>
      <c r="AO80" s="1625"/>
      <c r="AP80" s="1625"/>
      <c r="AQ80" s="1625"/>
    </row>
    <row s="18679" customFormat="1" customHeight="1" ht="17.25" hidden="1">
      <c r="A81" s="682"/>
      <c r="C81" s="681"/>
      <c r="D81" s="2417"/>
      <c r="E81" s="2419"/>
      <c r="F81" s="2421"/>
      <c r="G81" s="2419"/>
      <c r="H81" s="2424"/>
      <c r="I81" s="2426"/>
      <c r="J81" s="2429"/>
      <c r="K81" s="2411"/>
      <c r="L81" s="2411"/>
      <c r="M81" s="2411"/>
      <c r="N81" s="2414"/>
      <c r="O81" s="2411"/>
      <c r="P81" s="1810"/>
      <c r="Q81" s="1663"/>
      <c r="R81" s="1663"/>
      <c r="S81" s="690"/>
      <c r="T81" s="690"/>
      <c r="U81" s="690"/>
      <c r="V81" s="690"/>
      <c r="W81" s="1664"/>
      <c r="X81" s="1625"/>
      <c r="Y81" s="1625"/>
      <c r="Z81" s="1625"/>
      <c r="AA81" s="1625"/>
      <c r="AB81" s="1625"/>
      <c r="AC81" s="1625"/>
      <c r="AD81" s="1625"/>
      <c r="AE81" s="1625"/>
      <c r="AF81" s="1625"/>
      <c r="AG81" s="1625"/>
      <c r="AH81" s="1625"/>
      <c r="AI81" s="1625"/>
      <c r="AJ81" s="1625"/>
      <c r="AK81" s="1625"/>
      <c r="AL81" s="1625"/>
      <c r="AM81" s="1625"/>
      <c r="AN81" s="1625"/>
      <c r="AO81" s="1625"/>
      <c r="AP81" s="1625"/>
      <c r="AQ81" s="1625"/>
    </row>
    <row s="18679" customFormat="1" customHeight="1" ht="17.25" hidden="1">
      <c r="A82" s="682"/>
      <c r="C82" s="681"/>
      <c r="D82" s="2417"/>
      <c r="E82" s="2419"/>
      <c r="F82" s="2421"/>
      <c r="G82" s="2419"/>
      <c r="H82" s="2424"/>
      <c r="I82" s="2426"/>
      <c r="J82" s="2429"/>
      <c r="K82" s="2411"/>
      <c r="L82" s="1663"/>
      <c r="M82" s="1663"/>
      <c r="N82" s="1663"/>
      <c r="O82" s="1663"/>
      <c r="P82" s="1663"/>
      <c r="Q82" s="1663"/>
      <c r="R82" s="1663"/>
      <c r="S82" s="690"/>
      <c r="T82" s="690"/>
      <c r="U82" s="690"/>
      <c r="V82" s="690"/>
      <c r="W82" s="1664"/>
      <c r="X82" s="1625"/>
      <c r="Y82" s="1625"/>
      <c r="Z82" s="1625"/>
      <c r="AA82" s="1625"/>
      <c r="AB82" s="1625"/>
      <c r="AC82" s="1625"/>
      <c r="AD82" s="1625"/>
      <c r="AE82" s="1625"/>
      <c r="AF82" s="1625"/>
      <c r="AG82" s="1625"/>
      <c r="AH82" s="1625"/>
      <c r="AI82" s="1625"/>
      <c r="AJ82" s="1625"/>
      <c r="AK82" s="1625"/>
      <c r="AL82" s="1625"/>
      <c r="AM82" s="1625"/>
      <c r="AN82" s="1625"/>
      <c r="AO82" s="1625"/>
      <c r="AP82" s="1625"/>
      <c r="AQ82" s="1625"/>
    </row>
    <row s="18679" customFormat="1" customHeight="1" ht="17.25" hidden="1">
      <c r="A83" s="682"/>
      <c r="C83" s="681"/>
      <c r="D83" s="2417"/>
      <c r="E83" s="2419"/>
      <c r="F83" s="2422"/>
      <c r="G83" s="2419"/>
      <c r="H83" s="1665"/>
      <c r="I83" s="1666"/>
      <c r="J83" s="1666"/>
      <c r="K83" s="1666"/>
      <c r="L83" s="1666"/>
      <c r="M83" s="1666"/>
      <c r="N83" s="1666"/>
      <c r="O83" s="1666"/>
      <c r="P83" s="1666"/>
      <c r="Q83" s="1666"/>
      <c r="R83" s="1666"/>
      <c r="S83" s="1667"/>
      <c r="T83" s="1667"/>
      <c r="U83" s="1667"/>
      <c r="V83" s="1667"/>
      <c r="W83" s="1668"/>
      <c r="X83" s="1625"/>
      <c r="Y83" s="1625"/>
      <c r="Z83" s="1625"/>
      <c r="AA83" s="1625"/>
      <c r="AB83" s="1625"/>
      <c r="AC83" s="1625"/>
      <c r="AD83" s="1625"/>
      <c r="AE83" s="1625"/>
      <c r="AF83" s="1625"/>
      <c r="AG83" s="1625"/>
      <c r="AH83" s="1625"/>
      <c r="AI83" s="1625"/>
      <c r="AJ83" s="1625"/>
      <c r="AK83" s="1625"/>
      <c r="AL83" s="1625"/>
      <c r="AM83" s="1625"/>
      <c r="AN83" s="1625"/>
      <c r="AO83" s="1625"/>
      <c r="AP83" s="1625"/>
      <c r="AQ83" s="1625"/>
    </row>
    <row s="18679" customFormat="1" customHeight="1" ht="17.25" hidden="1">
      <c r="A84" s="682"/>
      <c r="C84" s="570"/>
      <c r="D84" s="2416">
        <v>3</v>
      </c>
      <c r="E84" s="2418" t="s">
        <v>229</v>
      </c>
      <c r="F84" s="2420" t="s">
        <v>54</v>
      </c>
      <c r="G84" s="2418"/>
      <c r="H84" s="2423"/>
      <c r="I84" s="2425"/>
      <c r="J84" s="2427"/>
      <c r="K84" s="2410"/>
      <c r="L84" s="2410"/>
      <c r="M84" s="2410"/>
      <c r="N84" s="2412"/>
      <c r="O84" s="2410"/>
      <c r="P84" s="2410"/>
      <c r="Q84" s="2410"/>
      <c r="R84" s="2415"/>
      <c r="S84" s="2410"/>
      <c r="T84" s="1809"/>
      <c r="U84" s="1809"/>
      <c r="V84" s="1811"/>
      <c r="W84" s="1662"/>
      <c r="X84" s="1633"/>
      <c r="Y84" s="1633"/>
      <c r="Z84" s="1633"/>
      <c r="AA84" s="1633"/>
      <c r="AB84" s="1633"/>
      <c r="AC84" s="1633" t="s">
        <v>230</v>
      </c>
      <c r="AD84" s="1633" t="s">
        <v>231</v>
      </c>
      <c r="AE84" s="1633" t="s">
        <v>232</v>
      </c>
      <c r="AF84" s="1633" t="s">
        <v>233</v>
      </c>
      <c r="AG84" s="1633"/>
      <c r="AH84" s="1633" t="str">
        <f>IF($E$84=0,"",$E$84)</f>
        <v>Тариф на транспортировку воды</v>
      </c>
      <c r="AI84" s="1633" t="str">
        <f>IF($G$84=0,"",$G$84)</f>
        <v/>
      </c>
      <c r="AJ84" s="1633" t="str">
        <f>IF($J$84=0,"",$J$84)</f>
        <v/>
      </c>
      <c r="AK84" s="1633" t="str">
        <f>IF($K$84="нет","без дифференциации",IF($N$84=0,"",$N$84))</f>
        <v/>
      </c>
      <c r="AL84" s="1633" t="str">
        <f>IF($O$84="нет","без дифференциации",IF($R$84=0,"",$R$84))</f>
        <v/>
      </c>
      <c r="AM84" s="1633" t="str">
        <f>IF($S$84="нет","без дифференциации",IF($V$84=0,"",$V$84))</f>
        <v/>
      </c>
      <c r="AN84" s="2138">
        <f>$I$84</f>
        <v>0</v>
      </c>
      <c r="AO84" s="1633" t="str">
        <f>$I$84&amp;"."&amp;$M$84</f>
        <v>.</v>
      </c>
      <c r="AP84" s="1625" t="str">
        <f>$I$84&amp;"."&amp;$M$84&amp;"."&amp;$Q$84</f>
        <v>..</v>
      </c>
      <c r="AQ84" s="1625" t="str">
        <f>$I$84&amp;"."&amp;$M$84&amp;"."&amp;$Q$84&amp;"."&amp;$U$84</f>
        <v>...</v>
      </c>
    </row>
    <row s="18679" customFormat="1" customHeight="1" ht="17.25" hidden="1">
      <c r="A85" s="682"/>
      <c r="C85" s="681"/>
      <c r="D85" s="2416"/>
      <c r="E85" s="2418"/>
      <c r="F85" s="2421"/>
      <c r="G85" s="2418"/>
      <c r="H85" s="2424"/>
      <c r="I85" s="2426"/>
      <c r="J85" s="2428"/>
      <c r="K85" s="2411"/>
      <c r="L85" s="2411"/>
      <c r="M85" s="2411"/>
      <c r="N85" s="2413"/>
      <c r="O85" s="2411"/>
      <c r="P85" s="2411"/>
      <c r="Q85" s="2411"/>
      <c r="R85" s="2414"/>
      <c r="S85" s="2411"/>
      <c r="T85" s="1663"/>
      <c r="U85" s="1663"/>
      <c r="V85" s="1663"/>
      <c r="W85" s="1664"/>
      <c r="X85" s="1625"/>
      <c r="Y85" s="1625"/>
      <c r="Z85" s="1625"/>
      <c r="AA85" s="1625"/>
      <c r="AB85" s="1625"/>
      <c r="AC85" s="1625"/>
      <c r="AD85" s="1625"/>
      <c r="AE85" s="1625"/>
      <c r="AF85" s="1625"/>
      <c r="AG85" s="1625"/>
      <c r="AH85" s="1625"/>
      <c r="AI85" s="1625"/>
      <c r="AJ85" s="1625"/>
      <c r="AK85" s="1625"/>
      <c r="AL85" s="1625"/>
      <c r="AM85" s="1625"/>
      <c r="AN85" s="1625"/>
      <c r="AO85" s="1625"/>
      <c r="AP85" s="1625"/>
      <c r="AQ85" s="1625"/>
    </row>
    <row s="18679" customFormat="1" customHeight="1" ht="17.25" hidden="1">
      <c r="A86" s="682"/>
      <c r="C86" s="681"/>
      <c r="D86" s="2417"/>
      <c r="E86" s="2419"/>
      <c r="F86" s="2421"/>
      <c r="G86" s="2419"/>
      <c r="H86" s="2424"/>
      <c r="I86" s="2426"/>
      <c r="J86" s="2429"/>
      <c r="K86" s="2411"/>
      <c r="L86" s="2411"/>
      <c r="M86" s="2411"/>
      <c r="N86" s="2414"/>
      <c r="O86" s="2411"/>
      <c r="P86" s="1810"/>
      <c r="Q86" s="1663"/>
      <c r="R86" s="1663"/>
      <c r="S86" s="690"/>
      <c r="T86" s="690"/>
      <c r="U86" s="690"/>
      <c r="V86" s="690"/>
      <c r="W86" s="1664"/>
      <c r="X86" s="1625"/>
      <c r="Y86" s="1625"/>
      <c r="Z86" s="1625"/>
      <c r="AA86" s="1625"/>
      <c r="AB86" s="1625"/>
      <c r="AC86" s="1625"/>
      <c r="AD86" s="1625"/>
      <c r="AE86" s="1625"/>
      <c r="AF86" s="1625"/>
      <c r="AG86" s="1625"/>
      <c r="AH86" s="1625"/>
      <c r="AI86" s="1625"/>
      <c r="AJ86" s="1625"/>
      <c r="AK86" s="1625"/>
      <c r="AL86" s="1625"/>
      <c r="AM86" s="1625"/>
      <c r="AN86" s="1625"/>
      <c r="AO86" s="1625"/>
      <c r="AP86" s="1625"/>
      <c r="AQ86" s="1625"/>
    </row>
    <row s="18679" customFormat="1" customHeight="1" ht="17.25" hidden="1">
      <c r="A87" s="682"/>
      <c r="C87" s="681"/>
      <c r="D87" s="2417"/>
      <c r="E87" s="2419"/>
      <c r="F87" s="2421"/>
      <c r="G87" s="2419"/>
      <c r="H87" s="2424"/>
      <c r="I87" s="2426"/>
      <c r="J87" s="2429"/>
      <c r="K87" s="2411"/>
      <c r="L87" s="1663"/>
      <c r="M87" s="1663"/>
      <c r="N87" s="1663"/>
      <c r="O87" s="1663"/>
      <c r="P87" s="1663"/>
      <c r="Q87" s="1663"/>
      <c r="R87" s="1663"/>
      <c r="S87" s="690"/>
      <c r="T87" s="690"/>
      <c r="U87" s="690"/>
      <c r="V87" s="690"/>
      <c r="W87" s="1664"/>
      <c r="X87" s="1625"/>
      <c r="Y87" s="1625"/>
      <c r="Z87" s="1625"/>
      <c r="AA87" s="1625"/>
      <c r="AB87" s="1625"/>
      <c r="AC87" s="1625"/>
      <c r="AD87" s="1625"/>
      <c r="AE87" s="1625"/>
      <c r="AF87" s="1625"/>
      <c r="AG87" s="1625"/>
      <c r="AH87" s="1625"/>
      <c r="AI87" s="1625"/>
      <c r="AJ87" s="1625"/>
      <c r="AK87" s="1625"/>
      <c r="AL87" s="1625"/>
      <c r="AM87" s="1625"/>
      <c r="AN87" s="1625"/>
      <c r="AO87" s="1625"/>
      <c r="AP87" s="1625"/>
      <c r="AQ87" s="1625"/>
    </row>
    <row s="18679" customFormat="1" customHeight="1" ht="17.25" hidden="1">
      <c r="A88" s="682"/>
      <c r="C88" s="681"/>
      <c r="D88" s="2417"/>
      <c r="E88" s="2419"/>
      <c r="F88" s="2422"/>
      <c r="G88" s="2419"/>
      <c r="H88" s="1665"/>
      <c r="I88" s="1666"/>
      <c r="J88" s="1666"/>
      <c r="K88" s="1666"/>
      <c r="L88" s="1666"/>
      <c r="M88" s="1666"/>
      <c r="N88" s="1666"/>
      <c r="O88" s="1666"/>
      <c r="P88" s="1666"/>
      <c r="Q88" s="1666"/>
      <c r="R88" s="1666"/>
      <c r="S88" s="1667"/>
      <c r="T88" s="1667"/>
      <c r="U88" s="1667"/>
      <c r="V88" s="1667"/>
      <c r="W88" s="1668"/>
      <c r="X88" s="1625"/>
      <c r="Y88" s="1625"/>
      <c r="Z88" s="1625"/>
      <c r="AA88" s="1625"/>
      <c r="AB88" s="1625"/>
      <c r="AC88" s="1625"/>
      <c r="AD88" s="1625"/>
      <c r="AE88" s="1625"/>
      <c r="AF88" s="1625"/>
      <c r="AG88" s="1625"/>
      <c r="AH88" s="1625"/>
      <c r="AI88" s="1625"/>
      <c r="AJ88" s="1625"/>
      <c r="AK88" s="1625"/>
      <c r="AL88" s="1625"/>
      <c r="AM88" s="1625"/>
      <c r="AN88" s="1625"/>
      <c r="AO88" s="1625"/>
      <c r="AP88" s="1625"/>
      <c r="AQ88" s="1625"/>
    </row>
    <row s="18679" customFormat="1" customHeight="1" ht="17.25" hidden="1">
      <c r="A89" s="682"/>
      <c r="C89" s="570"/>
      <c r="D89" s="2416">
        <v>4</v>
      </c>
      <c r="E89" s="2418" t="s">
        <v>234</v>
      </c>
      <c r="F89" s="2420" t="s">
        <v>54</v>
      </c>
      <c r="G89" s="2418"/>
      <c r="H89" s="2423"/>
      <c r="I89" s="2425"/>
      <c r="J89" s="2427"/>
      <c r="K89" s="2410"/>
      <c r="L89" s="2410"/>
      <c r="M89" s="2410"/>
      <c r="N89" s="2412"/>
      <c r="O89" s="2410"/>
      <c r="P89" s="2410"/>
      <c r="Q89" s="2410"/>
      <c r="R89" s="2415"/>
      <c r="S89" s="2410"/>
      <c r="T89" s="1809"/>
      <c r="U89" s="1809"/>
      <c r="V89" s="1811"/>
      <c r="W89" s="1662"/>
      <c r="X89" s="1633"/>
      <c r="Y89" s="1633"/>
      <c r="Z89" s="1633"/>
      <c r="AA89" s="1633"/>
      <c r="AB89" s="1633"/>
      <c r="AC89" s="1633" t="s">
        <v>235</v>
      </c>
      <c r="AD89" s="1633" t="s">
        <v>236</v>
      </c>
      <c r="AE89" s="1633" t="s">
        <v>237</v>
      </c>
      <c r="AF89" s="1633" t="s">
        <v>238</v>
      </c>
      <c r="AG89" s="1633"/>
      <c r="AH89" s="1633" t="str">
        <f>IF($E$89=0,"",$E$89)</f>
        <v>Тариф на подвоз воды</v>
      </c>
      <c r="AI89" s="1633" t="str">
        <f>IF($G$89=0,"",$G$89)</f>
        <v/>
      </c>
      <c r="AJ89" s="1633" t="str">
        <f>IF($J$89=0,"",$J$89)</f>
        <v/>
      </c>
      <c r="AK89" s="1633" t="str">
        <f>IF($K$89="нет","без дифференциации",IF($N$89=0,"",$N$89))</f>
        <v/>
      </c>
      <c r="AL89" s="1633" t="str">
        <f>IF($O$89="нет","без дифференциации",IF($R$89=0,"",$R$89))</f>
        <v/>
      </c>
      <c r="AM89" s="1633" t="str">
        <f>IF($S$89="нет","без дифференциации",IF($V$89=0,"",$V$89))</f>
        <v/>
      </c>
      <c r="AN89" s="2138">
        <f>$I$89</f>
        <v>0</v>
      </c>
      <c r="AO89" s="1633" t="str">
        <f>$I$89&amp;"."&amp;$M$89</f>
        <v>.</v>
      </c>
      <c r="AP89" s="1625" t="str">
        <f>$I$89&amp;"."&amp;$M$89&amp;"."&amp;$Q$89</f>
        <v>..</v>
      </c>
      <c r="AQ89" s="1625" t="str">
        <f>$I$89&amp;"."&amp;$M$89&amp;"."&amp;$Q$89&amp;"."&amp;$U$89</f>
        <v>...</v>
      </c>
    </row>
    <row s="18679" customFormat="1" customHeight="1" ht="17.25" hidden="1">
      <c r="A90" s="682"/>
      <c r="C90" s="681"/>
      <c r="D90" s="2416"/>
      <c r="E90" s="2418"/>
      <c r="F90" s="2421"/>
      <c r="G90" s="2418"/>
      <c r="H90" s="2424"/>
      <c r="I90" s="2426"/>
      <c r="J90" s="2428"/>
      <c r="K90" s="2411"/>
      <c r="L90" s="2411"/>
      <c r="M90" s="2411"/>
      <c r="N90" s="2413"/>
      <c r="O90" s="2411"/>
      <c r="P90" s="2411"/>
      <c r="Q90" s="2411"/>
      <c r="R90" s="2414"/>
      <c r="S90" s="2411"/>
      <c r="T90" s="1663"/>
      <c r="U90" s="1663"/>
      <c r="V90" s="1663"/>
      <c r="W90" s="1664"/>
      <c r="X90" s="1625"/>
      <c r="Y90" s="1625"/>
      <c r="Z90" s="1625"/>
      <c r="AA90" s="1625"/>
      <c r="AB90" s="1625"/>
      <c r="AC90" s="1625"/>
      <c r="AD90" s="1625"/>
      <c r="AE90" s="1625"/>
      <c r="AF90" s="1625"/>
      <c r="AG90" s="1625"/>
      <c r="AH90" s="1625"/>
      <c r="AI90" s="1625"/>
      <c r="AJ90" s="1625"/>
      <c r="AK90" s="1625"/>
      <c r="AL90" s="1625"/>
      <c r="AM90" s="1625"/>
      <c r="AN90" s="1625"/>
      <c r="AO90" s="1625"/>
      <c r="AP90" s="1625"/>
      <c r="AQ90" s="1625"/>
    </row>
    <row s="18679" customFormat="1" customHeight="1" ht="17.25" hidden="1">
      <c r="A91" s="682"/>
      <c r="C91" s="681"/>
      <c r="D91" s="2417"/>
      <c r="E91" s="2419"/>
      <c r="F91" s="2421"/>
      <c r="G91" s="2419"/>
      <c r="H91" s="2424"/>
      <c r="I91" s="2426"/>
      <c r="J91" s="2429"/>
      <c r="K91" s="2411"/>
      <c r="L91" s="2411"/>
      <c r="M91" s="2411"/>
      <c r="N91" s="2414"/>
      <c r="O91" s="2411"/>
      <c r="P91" s="1810"/>
      <c r="Q91" s="1663"/>
      <c r="R91" s="1663"/>
      <c r="S91" s="690"/>
      <c r="T91" s="690"/>
      <c r="U91" s="690"/>
      <c r="V91" s="690"/>
      <c r="W91" s="1664"/>
      <c r="X91" s="1625"/>
      <c r="Y91" s="1625"/>
      <c r="Z91" s="1625"/>
      <c r="AA91" s="1625"/>
      <c r="AB91" s="1625"/>
      <c r="AC91" s="1625"/>
      <c r="AD91" s="1625"/>
      <c r="AE91" s="1625"/>
      <c r="AF91" s="1625"/>
      <c r="AG91" s="1625"/>
      <c r="AH91" s="1625"/>
      <c r="AI91" s="1625"/>
      <c r="AJ91" s="1625"/>
      <c r="AK91" s="1625"/>
      <c r="AL91" s="1625"/>
      <c r="AM91" s="1625"/>
      <c r="AN91" s="1625"/>
      <c r="AO91" s="1625"/>
      <c r="AP91" s="1625"/>
      <c r="AQ91" s="1625"/>
    </row>
    <row s="18679" customFormat="1" customHeight="1" ht="17.25" hidden="1">
      <c r="A92" s="682"/>
      <c r="C92" s="681"/>
      <c r="D92" s="2417"/>
      <c r="E92" s="2419"/>
      <c r="F92" s="2421"/>
      <c r="G92" s="2419"/>
      <c r="H92" s="2424"/>
      <c r="I92" s="2426"/>
      <c r="J92" s="2429"/>
      <c r="K92" s="2411"/>
      <c r="L92" s="1663"/>
      <c r="M92" s="1663"/>
      <c r="N92" s="1663"/>
      <c r="O92" s="1663"/>
      <c r="P92" s="1663"/>
      <c r="Q92" s="1663"/>
      <c r="R92" s="1663"/>
      <c r="S92" s="690"/>
      <c r="T92" s="690"/>
      <c r="U92" s="690"/>
      <c r="V92" s="690"/>
      <c r="W92" s="1664"/>
      <c r="X92" s="1625"/>
      <c r="Y92" s="1625"/>
      <c r="Z92" s="1625"/>
      <c r="AA92" s="1625"/>
      <c r="AB92" s="1625"/>
      <c r="AC92" s="1625"/>
      <c r="AD92" s="1625"/>
      <c r="AE92" s="1625"/>
      <c r="AF92" s="1625"/>
      <c r="AG92" s="1625"/>
      <c r="AH92" s="1625"/>
      <c r="AI92" s="1625"/>
      <c r="AJ92" s="1625"/>
      <c r="AK92" s="1625"/>
      <c r="AL92" s="1625"/>
      <c r="AM92" s="1625"/>
      <c r="AN92" s="1625"/>
      <c r="AO92" s="1625"/>
      <c r="AP92" s="1625"/>
      <c r="AQ92" s="1625"/>
    </row>
    <row s="18679" customFormat="1" customHeight="1" ht="17.25" hidden="1">
      <c r="A93" s="682"/>
      <c r="C93" s="681"/>
      <c r="D93" s="2417"/>
      <c r="E93" s="2419"/>
      <c r="F93" s="2422"/>
      <c r="G93" s="2419"/>
      <c r="H93" s="1665"/>
      <c r="I93" s="1666"/>
      <c r="J93" s="1666"/>
      <c r="K93" s="1666"/>
      <c r="L93" s="1666"/>
      <c r="M93" s="1666"/>
      <c r="N93" s="1666"/>
      <c r="O93" s="1666"/>
      <c r="P93" s="1666"/>
      <c r="Q93" s="1666"/>
      <c r="R93" s="1666"/>
      <c r="S93" s="1667"/>
      <c r="T93" s="1667"/>
      <c r="U93" s="1667"/>
      <c r="V93" s="1667"/>
      <c r="W93" s="1668"/>
      <c r="X93" s="1625"/>
      <c r="Y93" s="1625"/>
      <c r="Z93" s="1625"/>
      <c r="AA93" s="1625"/>
      <c r="AB93" s="1625"/>
      <c r="AC93" s="1625"/>
      <c r="AD93" s="1625"/>
      <c r="AE93" s="1625"/>
      <c r="AF93" s="1625"/>
      <c r="AG93" s="1625"/>
      <c r="AH93" s="1625"/>
      <c r="AI93" s="1625"/>
      <c r="AJ93" s="1625"/>
      <c r="AK93" s="1625"/>
      <c r="AL93" s="1625"/>
      <c r="AM93" s="1625"/>
      <c r="AN93" s="1625"/>
      <c r="AO93" s="1625"/>
      <c r="AP93" s="1625"/>
      <c r="AQ93" s="1625"/>
    </row>
    <row s="18665" customFormat="1" customHeight="1" ht="17.25" hidden="1">
      <c r="A94" s="682"/>
      <c r="C94" s="570"/>
      <c r="D94" s="2416">
        <v>5</v>
      </c>
      <c r="E94" s="2418" t="s">
        <v>239</v>
      </c>
      <c r="F94" s="2420" t="s">
        <v>54</v>
      </c>
      <c r="G94" s="2418"/>
      <c r="H94" s="2423"/>
      <c r="I94" s="2425"/>
      <c r="J94" s="2427"/>
      <c r="K94" s="2410"/>
      <c r="L94" s="2410"/>
      <c r="M94" s="2410"/>
      <c r="N94" s="2412"/>
      <c r="O94" s="2410"/>
      <c r="P94" s="2410"/>
      <c r="Q94" s="2410"/>
      <c r="R94" s="2415"/>
      <c r="S94" s="2410"/>
      <c r="T94" s="2310"/>
      <c r="U94" s="2310"/>
      <c r="V94" s="2312"/>
      <c r="W94" s="1662"/>
      <c r="X94" s="1633"/>
      <c r="Y94" s="1633"/>
      <c r="Z94" s="1633"/>
      <c r="AA94" s="1633"/>
      <c r="AB94" s="1633"/>
      <c r="AC94" s="1633" t="s">
        <v>240</v>
      </c>
      <c r="AD94" s="1633" t="s">
        <v>241</v>
      </c>
      <c r="AE94" s="1633" t="s">
        <v>242</v>
      </c>
      <c r="AF94" s="1633" t="s">
        <v>243</v>
      </c>
      <c r="AG94" s="1633"/>
      <c r="AH94" s="1633" t="str">
        <f>IF($E$94=0,"",$E$94)</f>
        <v>Тариф на подключение (технологическое присоединение) к централизованной системе холодного водоснабжения</v>
      </c>
      <c r="AI94" s="1633" t="str">
        <f>IF($G$94=0,"",$G$94)</f>
        <v/>
      </c>
      <c r="AJ94" s="1633" t="str">
        <f>IF($J$94=0,"",$J$94)</f>
        <v/>
      </c>
      <c r="AK94" s="1633" t="str">
        <f>IF($K$94="нет","без дифференциации",IF($N$94=0,"",$N$94))</f>
        <v/>
      </c>
      <c r="AL94" s="1633" t="str">
        <f>IF($O$94="нет","без дифференциации",IF($R$94=0,"",$R$94))</f>
        <v/>
      </c>
      <c r="AM94" s="1633" t="str">
        <f>IF($S$94="нет","без дифференциации",IF($V$94=0,"",$V$94))</f>
        <v/>
      </c>
      <c r="AN94" s="2138">
        <f>$I$94</f>
        <v>0</v>
      </c>
      <c r="AO94" s="1633" t="str">
        <f>$I$94&amp;"."&amp;$M$94</f>
        <v>.</v>
      </c>
      <c r="AP94" s="1632" t="str">
        <f>$I$94&amp;"."&amp;$M$94&amp;"."&amp;$Q$94</f>
        <v>..</v>
      </c>
      <c r="AQ94" s="1632" t="str">
        <f>$I$94&amp;"."&amp;$M$94&amp;"."&amp;$Q$94&amp;"."&amp;$U$94</f>
        <v>...</v>
      </c>
    </row>
    <row s="18665" customFormat="1" customHeight="1" ht="17.25" hidden="1">
      <c r="A95" s="682"/>
      <c r="C95" s="681"/>
      <c r="D95" s="2416"/>
      <c r="E95" s="2418"/>
      <c r="F95" s="2421"/>
      <c r="G95" s="2418"/>
      <c r="H95" s="2424"/>
      <c r="I95" s="2426"/>
      <c r="J95" s="2428"/>
      <c r="K95" s="2411"/>
      <c r="L95" s="2411"/>
      <c r="M95" s="2411"/>
      <c r="N95" s="2413"/>
      <c r="O95" s="2411"/>
      <c r="P95" s="2411"/>
      <c r="Q95" s="2411"/>
      <c r="R95" s="2414"/>
      <c r="S95" s="2411"/>
      <c r="T95" s="2315"/>
      <c r="U95" s="2315"/>
      <c r="V95" s="2315"/>
      <c r="W95" s="2316"/>
      <c r="X95" s="1632"/>
      <c r="Y95" s="1632"/>
      <c r="Z95" s="1632"/>
      <c r="AA95" s="1632"/>
      <c r="AB95" s="1632"/>
      <c r="AC95" s="1632"/>
      <c r="AD95" s="1632"/>
      <c r="AE95" s="1632"/>
      <c r="AF95" s="1632"/>
      <c r="AG95" s="1632"/>
      <c r="AH95" s="1632"/>
      <c r="AI95" s="1632"/>
      <c r="AJ95" s="1632"/>
      <c r="AK95" s="1632"/>
      <c r="AL95" s="1632"/>
      <c r="AM95" s="1632"/>
      <c r="AN95" s="1632"/>
      <c r="AO95" s="1632"/>
      <c r="AP95" s="1632"/>
      <c r="AQ95" s="1632"/>
    </row>
    <row s="18665" customFormat="1" customHeight="1" ht="17.25" hidden="1">
      <c r="A96" s="682"/>
      <c r="C96" s="681"/>
      <c r="D96" s="2417"/>
      <c r="E96" s="2419"/>
      <c r="F96" s="2421"/>
      <c r="G96" s="2419"/>
      <c r="H96" s="2424"/>
      <c r="I96" s="2426"/>
      <c r="J96" s="2429"/>
      <c r="K96" s="2411"/>
      <c r="L96" s="2411"/>
      <c r="M96" s="2411"/>
      <c r="N96" s="2414"/>
      <c r="O96" s="2411"/>
      <c r="P96" s="2311"/>
      <c r="Q96" s="2315"/>
      <c r="R96" s="2315"/>
      <c r="S96" s="690"/>
      <c r="T96" s="690"/>
      <c r="U96" s="690"/>
      <c r="V96" s="690"/>
      <c r="W96" s="2316"/>
      <c r="X96" s="1632"/>
      <c r="Y96" s="1632"/>
      <c r="Z96" s="1632"/>
      <c r="AA96" s="1632"/>
      <c r="AB96" s="1632"/>
      <c r="AC96" s="1632"/>
      <c r="AD96" s="1632"/>
      <c r="AE96" s="1632"/>
      <c r="AF96" s="1632"/>
      <c r="AG96" s="1632"/>
      <c r="AH96" s="1632"/>
      <c r="AI96" s="1632"/>
      <c r="AJ96" s="1632"/>
      <c r="AK96" s="1632"/>
      <c r="AL96" s="1632"/>
      <c r="AM96" s="1632"/>
      <c r="AN96" s="1632"/>
      <c r="AO96" s="1632"/>
      <c r="AP96" s="1632"/>
      <c r="AQ96" s="1632"/>
    </row>
    <row s="18665" customFormat="1" customHeight="1" ht="17.25" hidden="1">
      <c r="A97" s="682"/>
      <c r="C97" s="681"/>
      <c r="D97" s="2417"/>
      <c r="E97" s="2419"/>
      <c r="F97" s="2421"/>
      <c r="G97" s="2419"/>
      <c r="H97" s="2424"/>
      <c r="I97" s="2426"/>
      <c r="J97" s="2429"/>
      <c r="K97" s="2411"/>
      <c r="L97" s="2315"/>
      <c r="M97" s="2315"/>
      <c r="N97" s="2315"/>
      <c r="O97" s="2315"/>
      <c r="P97" s="2315"/>
      <c r="Q97" s="2315"/>
      <c r="R97" s="2315"/>
      <c r="S97" s="690"/>
      <c r="T97" s="690"/>
      <c r="U97" s="690"/>
      <c r="V97" s="690"/>
      <c r="W97" s="2316"/>
      <c r="X97" s="1632"/>
      <c r="Y97" s="1632"/>
      <c r="Z97" s="1632"/>
      <c r="AA97" s="1632"/>
      <c r="AB97" s="1632"/>
      <c r="AC97" s="1632"/>
      <c r="AD97" s="1632"/>
      <c r="AE97" s="1632"/>
      <c r="AF97" s="1632"/>
      <c r="AG97" s="1632"/>
      <c r="AH97" s="1632"/>
      <c r="AI97" s="1632"/>
      <c r="AJ97" s="1632"/>
      <c r="AK97" s="1632"/>
      <c r="AL97" s="1632"/>
      <c r="AM97" s="1632"/>
      <c r="AN97" s="1632"/>
      <c r="AO97" s="1632"/>
      <c r="AP97" s="1632"/>
      <c r="AQ97" s="1632"/>
    </row>
    <row s="18665" customFormat="1" customHeight="1" ht="17.25" hidden="1">
      <c r="A98" s="682"/>
      <c r="C98" s="681"/>
      <c r="D98" s="2417"/>
      <c r="E98" s="2419"/>
      <c r="F98" s="2422"/>
      <c r="G98" s="2419"/>
      <c r="H98" s="1665"/>
      <c r="I98" s="2313"/>
      <c r="J98" s="2313"/>
      <c r="K98" s="2313"/>
      <c r="L98" s="2313"/>
      <c r="M98" s="2313"/>
      <c r="N98" s="2313"/>
      <c r="O98" s="2313"/>
      <c r="P98" s="2313"/>
      <c r="Q98" s="2313"/>
      <c r="R98" s="2313"/>
      <c r="S98" s="1667"/>
      <c r="T98" s="1667"/>
      <c r="U98" s="1667"/>
      <c r="V98" s="1667"/>
      <c r="W98" s="2314"/>
      <c r="X98" s="1632"/>
      <c r="Y98" s="1632"/>
      <c r="Z98" s="1632"/>
      <c r="AA98" s="1632"/>
      <c r="AB98" s="1632"/>
      <c r="AC98" s="1632"/>
      <c r="AD98" s="1632"/>
      <c r="AE98" s="1632"/>
      <c r="AF98" s="1632"/>
      <c r="AG98" s="1632"/>
      <c r="AH98" s="1632"/>
      <c r="AI98" s="1632"/>
      <c r="AJ98" s="1632"/>
      <c r="AK98" s="1632"/>
      <c r="AL98" s="1632"/>
      <c r="AM98" s="1632"/>
      <c r="AN98" s="1632"/>
      <c r="AO98" s="1632"/>
      <c r="AP98" s="1632"/>
      <c r="AQ98" s="1632"/>
    </row>
    <row s="18665" customFormat="1" customHeight="1" ht="11.25" hidden="1">
      <c r="A99" s="638"/>
      <c r="B99" s="638"/>
      <c r="Y99" s="1625"/>
      <c r="Z99" s="1625"/>
      <c r="AA99" s="1625"/>
      <c r="AB99" s="1625"/>
      <c r="AC99" s="1625"/>
      <c r="AD99" s="1625"/>
      <c r="AE99" s="1625"/>
      <c r="AF99" s="1625"/>
      <c r="AG99" s="1625"/>
      <c r="AH99" s="1625"/>
      <c r="AI99" s="1625"/>
      <c r="AJ99" s="1625"/>
      <c r="AK99" s="1625"/>
      <c r="AL99" s="1625"/>
      <c r="AM99" s="1625"/>
      <c r="AN99" s="1625"/>
      <c r="AO99" s="1625"/>
      <c r="AP99" s="1625"/>
      <c r="AQ99" s="1625"/>
    </row>
    <row s="18665" customFormat="1" customHeight="1" ht="17.25">
      <c r="A100" s="682"/>
      <c r="C100" s="570"/>
      <c r="D100" s="2416">
        <v>1</v>
      </c>
      <c r="E100" s="2418" t="s">
        <v>244</v>
      </c>
      <c r="F100" s="2420" t="s">
        <v>59</v>
      </c>
      <c r="G100" s="15889" t="str">
        <f>INDEX(HOTVSNA_PT_VED_NAME,MATCH(4189706,HOTVSNA_PT_VED_ID,0))</f>
        <v>Горячее водоснабжение</v>
      </c>
      <c r="H100" s="15890"/>
      <c r="I100" s="15890">
        <v>1</v>
      </c>
      <c r="J100" s="15891" t="s">
        <v>245</v>
      </c>
      <c r="K100" s="15892" t="s">
        <v>54</v>
      </c>
      <c r="L100" s="15893"/>
      <c r="M100" s="15893" t="s">
        <v>106</v>
      </c>
      <c r="N100" s="15894" t="s">
        <v>24</v>
      </c>
      <c r="O100" s="15892" t="s">
        <v>54</v>
      </c>
      <c r="P100" s="15893"/>
      <c r="Q100" s="15893" t="s">
        <v>106</v>
      </c>
      <c r="R100" s="15895" t="s">
        <v>24</v>
      </c>
      <c r="S100" s="15896" t="s">
        <v>54</v>
      </c>
      <c r="T100" s="15896"/>
      <c r="U100" s="15896" t="s">
        <v>106</v>
      </c>
      <c r="V100" s="15897"/>
      <c r="W100" s="15891"/>
      <c r="Y100" s="1633"/>
      <c r="Z100" s="1633"/>
      <c r="AA100" s="1633"/>
      <c r="AB100" s="1633" t="s">
        <v>246</v>
      </c>
      <c r="AC100" s="1633" t="s">
        <v>247</v>
      </c>
      <c r="AD100" s="1633" t="s">
        <v>248</v>
      </c>
      <c r="AE100" s="1633" t="s">
        <v>249</v>
      </c>
      <c r="AF100" s="1633" t="s">
        <v>250</v>
      </c>
      <c r="AG100" s="1633"/>
      <c r="AH100" s="1633" t="str">
        <f>IF($E$100=0,"",$E$100)</f>
        <v>Тариф на горячую воду (горячее водоснабжение)</v>
      </c>
      <c r="AI100" s="1633" t="str">
        <f>IF($G$100=0,"",$G$100)</f>
        <v>Горячее водоснабжение</v>
      </c>
      <c r="AJ100" s="1633" t="str">
        <f>IF($J$100=0,"",$J$100)</f>
        <v>Тарифы на горячую воду в закрытых системах горячего водоснабжения</v>
      </c>
      <c r="AK100" s="1633" t="str">
        <f>IF($K$100="нет","без дифференциации",IF($N$100=0,"",$N$100))</f>
        <v>без дифференциации</v>
      </c>
      <c r="AL100" s="1633" t="str">
        <f>IF($O$100="нет","без дифференциации",IF($R$100=0,"",$R$100))</f>
        <v>без дифференциации</v>
      </c>
      <c r="AM100" s="1633" t="str">
        <f>IF($S$100="нет","без дифференциации",IF($V$100=0,"",$V$100))</f>
        <v>без дифференциации</v>
      </c>
      <c r="AN100" s="1633">
        <f>$I$100</f>
        <v>1</v>
      </c>
      <c r="AO100" s="1633" t="str">
        <f>$I$100&amp;"."&amp;$M$100</f>
        <v>1.1</v>
      </c>
      <c r="AP100" s="1633" t="str">
        <f>$I$100&amp;"."&amp;$M$100&amp;"."&amp;$Q$100</f>
        <v>1.1.1</v>
      </c>
      <c r="AQ100" s="1633" t="str">
        <f>$I$100&amp;"."&amp;$M$100&amp;"."&amp;$Q$100&amp;"."&amp;$U$100</f>
        <v>1.1.1.1</v>
      </c>
    </row>
    <row s="18665" customFormat="1" customHeight="1" ht="17.25">
      <c r="A101" s="682"/>
      <c r="C101" s="681"/>
      <c r="D101" s="2416"/>
      <c r="E101" s="2418"/>
      <c r="F101" s="2421"/>
      <c r="G101" s="15889"/>
      <c r="H101" s="15890"/>
      <c r="I101" s="15890"/>
      <c r="J101" s="15891"/>
      <c r="K101" s="15898"/>
      <c r="L101" s="15893"/>
      <c r="M101" s="15893"/>
      <c r="N101" s="15894" t="s">
        <v>24</v>
      </c>
      <c r="O101" s="15898"/>
      <c r="P101" s="15893"/>
      <c r="Q101" s="15893"/>
      <c r="R101" s="15895" t="s">
        <v>24</v>
      </c>
      <c r="S101" s="15896"/>
      <c r="T101" s="15899"/>
      <c r="U101" s="15900"/>
      <c r="V101" s="15900"/>
      <c r="W101" s="15891"/>
      <c r="Y101" s="1625"/>
      <c r="Z101" s="1625"/>
      <c r="AA101" s="1625"/>
      <c r="AB101" s="1625"/>
      <c r="AC101" s="1625"/>
      <c r="AD101" s="1625"/>
      <c r="AE101" s="1625"/>
      <c r="AF101" s="1625"/>
      <c r="AG101" s="1625"/>
      <c r="AH101" s="1625"/>
      <c r="AI101" s="1625"/>
      <c r="AJ101" s="1625"/>
      <c r="AK101" s="1625"/>
      <c r="AL101" s="1625"/>
      <c r="AM101" s="1625"/>
      <c r="AN101" s="1625"/>
      <c r="AO101" s="1625"/>
      <c r="AP101" s="1625"/>
      <c r="AQ101" s="1625"/>
    </row>
    <row s="18665" customFormat="1" customHeight="1" ht="17.25">
      <c r="A102" s="682"/>
      <c r="C102" s="570"/>
      <c r="D102" s="2416"/>
      <c r="E102" s="2418"/>
      <c r="F102" s="2421"/>
      <c r="G102" s="15889"/>
      <c r="H102" s="15901"/>
      <c r="I102" s="15901"/>
      <c r="J102" s="15902"/>
      <c r="K102" s="15898"/>
      <c r="L102" s="15901"/>
      <c r="M102" s="15901"/>
      <c r="N102" s="15895" t="s">
        <v>24</v>
      </c>
      <c r="O102" s="15903"/>
      <c r="P102" s="15904"/>
      <c r="Q102" s="15905"/>
      <c r="R102" s="15906" t="s">
        <v>251</v>
      </c>
      <c r="S102" s="15907"/>
      <c r="T102" s="15908"/>
      <c r="U102" s="15909"/>
      <c r="V102" s="15910"/>
      <c r="W102" s="15911"/>
      <c r="Y102" s="1633"/>
      <c r="Z102" s="1633"/>
      <c r="AA102" s="1633"/>
      <c r="AB102" s="1633"/>
      <c r="AC102" s="1633"/>
      <c r="AD102" s="1633"/>
      <c r="AE102" s="1633"/>
      <c r="AF102" s="1633"/>
      <c r="AG102" s="1633"/>
      <c r="AH102" s="1633"/>
      <c r="AI102" s="1633"/>
      <c r="AJ102" s="1633"/>
      <c r="AK102" s="1633"/>
      <c r="AL102" s="1633"/>
      <c r="AM102" s="1633"/>
      <c r="AN102" s="1633"/>
      <c r="AO102" s="1633"/>
      <c r="AP102" s="1633"/>
      <c r="AQ102" s="1633"/>
    </row>
    <row s="18665" customFormat="1" customHeight="1" ht="17.25">
      <c r="A103" s="682"/>
      <c r="C103" s="681"/>
      <c r="D103" s="2416"/>
      <c r="E103" s="2418"/>
      <c r="F103" s="2421"/>
      <c r="G103" s="15889"/>
      <c r="H103" s="15901"/>
      <c r="I103" s="15901"/>
      <c r="J103" s="15902"/>
      <c r="K103" s="15903"/>
      <c r="L103" s="15912"/>
      <c r="M103" s="15913"/>
      <c r="N103" s="15914" t="s">
        <v>252</v>
      </c>
      <c r="O103" s="15915"/>
      <c r="P103" s="15916"/>
      <c r="Q103" s="15917"/>
      <c r="R103" s="15918"/>
      <c r="S103" s="15919"/>
      <c r="T103" s="15920"/>
      <c r="U103" s="15921"/>
      <c r="V103" s="15922"/>
      <c r="W103" s="15923"/>
      <c r="Y103" s="1625"/>
      <c r="Z103" s="1625"/>
      <c r="AA103" s="1625"/>
      <c r="AB103" s="1625"/>
      <c r="AC103" s="1625"/>
      <c r="AD103" s="1625"/>
      <c r="AE103" s="1625"/>
      <c r="AF103" s="1625"/>
      <c r="AG103" s="1625"/>
      <c r="AH103" s="1625"/>
      <c r="AI103" s="1625"/>
      <c r="AJ103" s="1625"/>
      <c r="AK103" s="1625"/>
      <c r="AL103" s="1625"/>
      <c r="AM103" s="1625"/>
      <c r="AN103" s="1625"/>
      <c r="AO103" s="1625"/>
      <c r="AP103" s="1625"/>
      <c r="AQ103" s="1625"/>
    </row>
    <row s="18665" customFormat="1" customHeight="1" ht="17.25">
      <c r="A104" s="682"/>
      <c r="C104" s="681"/>
      <c r="D104" s="2417"/>
      <c r="E104" s="2419"/>
      <c r="F104" s="2422"/>
      <c r="G104" s="15924"/>
      <c r="H104" s="15925"/>
      <c r="I104" s="15926"/>
      <c r="J104" s="15927" t="s">
        <v>253</v>
      </c>
      <c r="K104" s="15928"/>
      <c r="L104" s="15929"/>
      <c r="M104" s="15930"/>
      <c r="N104" s="15931"/>
      <c r="O104" s="15932"/>
      <c r="P104" s="15933"/>
      <c r="Q104" s="15934"/>
      <c r="R104" s="15935"/>
      <c r="S104" s="15936"/>
      <c r="T104" s="15937"/>
      <c r="U104" s="15938"/>
      <c r="V104" s="15939"/>
      <c r="W104" s="15940"/>
      <c r="Y104" s="1625"/>
      <c r="Z104" s="1625"/>
      <c r="AA104" s="1625"/>
      <c r="AB104" s="1625"/>
      <c r="AC104" s="1625"/>
      <c r="AD104" s="1625"/>
      <c r="AE104" s="1625"/>
      <c r="AF104" s="1625"/>
      <c r="AG104" s="1625"/>
      <c r="AH104" s="1625"/>
      <c r="AI104" s="1625"/>
      <c r="AJ104" s="1625"/>
      <c r="AK104" s="1625"/>
      <c r="AL104" s="1625"/>
      <c r="AM104" s="1625"/>
      <c r="AN104" s="1625"/>
      <c r="AO104" s="1625"/>
      <c r="AP104" s="1625"/>
      <c r="AQ104" s="1625"/>
    </row>
    <row s="18665" customFormat="1" customHeight="1" ht="17.25">
      <c r="A105" s="682"/>
      <c r="C105" s="570"/>
      <c r="D105" s="2416">
        <v>2</v>
      </c>
      <c r="E105" s="2418" t="s">
        <v>254</v>
      </c>
      <c r="F105" s="2420" t="s">
        <v>54</v>
      </c>
      <c r="G105" s="2418"/>
      <c r="H105" s="2423"/>
      <c r="I105" s="2425"/>
      <c r="J105" s="2427"/>
      <c r="K105" s="2410"/>
      <c r="L105" s="2410"/>
      <c r="M105" s="2410"/>
      <c r="N105" s="2412"/>
      <c r="O105" s="2410"/>
      <c r="P105" s="2410"/>
      <c r="Q105" s="2410"/>
      <c r="R105" s="2415"/>
      <c r="S105" s="2410"/>
      <c r="T105" s="1836"/>
      <c r="U105" s="1836"/>
      <c r="V105" s="1838"/>
      <c r="W105" s="1662"/>
      <c r="X105" s="1633"/>
      <c r="Y105" s="1633"/>
      <c r="Z105" s="1633"/>
      <c r="AA105" s="1633"/>
      <c r="AB105" s="1633"/>
      <c r="AC105" s="1633" t="s">
        <v>255</v>
      </c>
      <c r="AD105" s="1633" t="s">
        <v>256</v>
      </c>
      <c r="AE105" s="1633" t="s">
        <v>257</v>
      </c>
      <c r="AF105" s="1633" t="s">
        <v>258</v>
      </c>
      <c r="AG105" s="1633"/>
      <c r="AH105" s="1633" t="str">
        <f>IF($E$105=0,"",$E$105)</f>
        <v>Тариф на транспортировку горячей воды</v>
      </c>
      <c r="AI105" s="1633" t="str">
        <f>IF($G$105=0,"",$G$105)</f>
        <v/>
      </c>
      <c r="AJ105" s="1633" t="str">
        <f>IF($J$105=0,"",$J$105)</f>
        <v/>
      </c>
      <c r="AK105" s="1633" t="str">
        <f>IF($K$105="нет","без дифференциации",IF($N$105=0,"",$N$105))</f>
        <v/>
      </c>
      <c r="AL105" s="1633" t="str">
        <f>IF($O$105="нет","без дифференциации",IF($R$105=0,"",$R$105))</f>
        <v/>
      </c>
      <c r="AM105" s="1633" t="str">
        <f>IF($S$105="нет","без дифференциации",IF($V$105=0,"",$V$105))</f>
        <v/>
      </c>
      <c r="AN105" s="2138">
        <f>$I$105</f>
        <v>0</v>
      </c>
      <c r="AO105" s="1633" t="str">
        <f>$I$105&amp;"."&amp;$M$105</f>
        <v>.</v>
      </c>
      <c r="AP105" s="1625" t="str">
        <f>$I$105&amp;"."&amp;$M$105&amp;"."&amp;$Q$105</f>
        <v>..</v>
      </c>
      <c r="AQ105" s="1625" t="str">
        <f>$I$105&amp;"."&amp;$M$105&amp;"."&amp;$Q$105&amp;"."&amp;$U$105</f>
        <v>...</v>
      </c>
    </row>
    <row s="18665" customFormat="1" customHeight="1" ht="17.25">
      <c r="A106" s="682"/>
      <c r="C106" s="681"/>
      <c r="D106" s="2416"/>
      <c r="E106" s="2418"/>
      <c r="F106" s="2421"/>
      <c r="G106" s="2418"/>
      <c r="H106" s="2424"/>
      <c r="I106" s="2426"/>
      <c r="J106" s="2428"/>
      <c r="K106" s="2411"/>
      <c r="L106" s="2411"/>
      <c r="M106" s="2411"/>
      <c r="N106" s="2413"/>
      <c r="O106" s="2411"/>
      <c r="P106" s="2411"/>
      <c r="Q106" s="2411"/>
      <c r="R106" s="2414"/>
      <c r="S106" s="2411"/>
      <c r="T106" s="1663"/>
      <c r="U106" s="1663"/>
      <c r="V106" s="1663"/>
      <c r="W106" s="1664"/>
      <c r="X106" s="1625"/>
      <c r="Y106" s="1625"/>
      <c r="Z106" s="1625"/>
      <c r="AA106" s="1625"/>
      <c r="AB106" s="1625"/>
      <c r="AC106" s="1625"/>
      <c r="AD106" s="1625"/>
      <c r="AE106" s="1625"/>
      <c r="AF106" s="1625"/>
      <c r="AG106" s="1625"/>
      <c r="AH106" s="1625"/>
      <c r="AI106" s="1625"/>
      <c r="AJ106" s="1625"/>
      <c r="AK106" s="1625"/>
      <c r="AL106" s="1625"/>
      <c r="AM106" s="1625"/>
      <c r="AN106" s="1625"/>
      <c r="AO106" s="1625"/>
      <c r="AP106" s="1625"/>
      <c r="AQ106" s="1625"/>
    </row>
    <row s="18665" customFormat="1" customHeight="1" ht="17.25">
      <c r="A107" s="682"/>
      <c r="C107" s="681"/>
      <c r="D107" s="2417"/>
      <c r="E107" s="2419"/>
      <c r="F107" s="2421"/>
      <c r="G107" s="2419"/>
      <c r="H107" s="2424"/>
      <c r="I107" s="2426"/>
      <c r="J107" s="2429"/>
      <c r="K107" s="2411"/>
      <c r="L107" s="2411"/>
      <c r="M107" s="2411"/>
      <c r="N107" s="2414"/>
      <c r="O107" s="2411"/>
      <c r="P107" s="1837"/>
      <c r="Q107" s="1663"/>
      <c r="R107" s="1663"/>
      <c r="S107" s="690"/>
      <c r="T107" s="690"/>
      <c r="U107" s="690"/>
      <c r="V107" s="690"/>
      <c r="W107" s="1664"/>
      <c r="X107" s="1625"/>
      <c r="Y107" s="1625"/>
      <c r="Z107" s="1625"/>
      <c r="AA107" s="1625"/>
      <c r="AB107" s="1625"/>
      <c r="AC107" s="1625"/>
      <c r="AD107" s="1625"/>
      <c r="AE107" s="1625"/>
      <c r="AF107" s="1625"/>
      <c r="AG107" s="1625"/>
      <c r="AH107" s="1625"/>
      <c r="AI107" s="1625"/>
      <c r="AJ107" s="1625"/>
      <c r="AK107" s="1625"/>
      <c r="AL107" s="1625"/>
      <c r="AM107" s="1625"/>
      <c r="AN107" s="1625"/>
      <c r="AO107" s="1625"/>
      <c r="AP107" s="1625"/>
      <c r="AQ107" s="1625"/>
    </row>
    <row s="18665" customFormat="1" customHeight="1" ht="17.25">
      <c r="A108" s="682"/>
      <c r="C108" s="681"/>
      <c r="D108" s="2417"/>
      <c r="E108" s="2419"/>
      <c r="F108" s="2421"/>
      <c r="G108" s="2419"/>
      <c r="H108" s="2424"/>
      <c r="I108" s="2426"/>
      <c r="J108" s="2429"/>
      <c r="K108" s="2411"/>
      <c r="L108" s="1663"/>
      <c r="M108" s="1663"/>
      <c r="N108" s="1663"/>
      <c r="O108" s="1663"/>
      <c r="P108" s="1663"/>
      <c r="Q108" s="1663"/>
      <c r="R108" s="1663"/>
      <c r="S108" s="690"/>
      <c r="T108" s="690"/>
      <c r="U108" s="690"/>
      <c r="V108" s="690"/>
      <c r="W108" s="1664"/>
      <c r="X108" s="1625"/>
      <c r="Y108" s="1625"/>
      <c r="Z108" s="1625"/>
      <c r="AA108" s="1625"/>
      <c r="AB108" s="1625"/>
      <c r="AC108" s="1625"/>
      <c r="AD108" s="1625"/>
      <c r="AE108" s="1625"/>
      <c r="AF108" s="1625"/>
      <c r="AG108" s="1625"/>
      <c r="AH108" s="1625"/>
      <c r="AI108" s="1625"/>
      <c r="AJ108" s="1625"/>
      <c r="AK108" s="1625"/>
      <c r="AL108" s="1625"/>
      <c r="AM108" s="1625"/>
      <c r="AN108" s="1625"/>
      <c r="AO108" s="1625"/>
      <c r="AP108" s="1625"/>
      <c r="AQ108" s="1625"/>
    </row>
    <row s="18665" customFormat="1" customHeight="1" ht="17.25">
      <c r="A109" s="682"/>
      <c r="C109" s="681"/>
      <c r="D109" s="2417"/>
      <c r="E109" s="2419"/>
      <c r="F109" s="2422"/>
      <c r="G109" s="2419"/>
      <c r="H109" s="1665"/>
      <c r="I109" s="1666"/>
      <c r="J109" s="1666"/>
      <c r="K109" s="1666"/>
      <c r="L109" s="1666"/>
      <c r="M109" s="1666"/>
      <c r="N109" s="1666"/>
      <c r="O109" s="1666"/>
      <c r="P109" s="1666"/>
      <c r="Q109" s="1666"/>
      <c r="R109" s="1666"/>
      <c r="S109" s="1667"/>
      <c r="T109" s="1667"/>
      <c r="U109" s="1667"/>
      <c r="V109" s="1667"/>
      <c r="W109" s="1668"/>
      <c r="X109" s="1625"/>
      <c r="Y109" s="1625"/>
      <c r="Z109" s="1625"/>
      <c r="AA109" s="1625"/>
      <c r="AB109" s="1625"/>
      <c r="AC109" s="1625"/>
      <c r="AD109" s="1625"/>
      <c r="AE109" s="1625"/>
      <c r="AF109" s="1625"/>
      <c r="AG109" s="1625"/>
      <c r="AH109" s="1625"/>
      <c r="AI109" s="1625"/>
      <c r="AJ109" s="1625"/>
      <c r="AK109" s="1625"/>
      <c r="AL109" s="1625"/>
      <c r="AM109" s="1625"/>
      <c r="AN109" s="1625"/>
      <c r="AO109" s="1625"/>
      <c r="AP109" s="1625"/>
      <c r="AQ109" s="1625"/>
    </row>
    <row s="18665" customFormat="1" customHeight="1" ht="17.25">
      <c r="A110" s="682"/>
      <c r="C110" s="570"/>
      <c r="D110" s="2416">
        <v>3</v>
      </c>
      <c r="E110" s="2418" t="s">
        <v>259</v>
      </c>
      <c r="F110" s="2420" t="s">
        <v>54</v>
      </c>
      <c r="G110" s="15941" t="s">
        <v>24</v>
      </c>
      <c r="H110" s="15942"/>
      <c r="I110" s="15943"/>
      <c r="J110" s="15944"/>
      <c r="K110" s="15945"/>
      <c r="L110" s="15945"/>
      <c r="M110" s="15945"/>
      <c r="N110" s="15946"/>
      <c r="O110" s="15945"/>
      <c r="P110" s="15945"/>
      <c r="Q110" s="15945"/>
      <c r="R110" s="15947"/>
      <c r="S110" s="15945"/>
      <c r="T110" s="15945"/>
      <c r="U110" s="15945"/>
      <c r="V110" s="15947"/>
      <c r="W110" s="15948"/>
      <c r="X110" s="1633"/>
      <c r="Y110" s="1633"/>
      <c r="Z110" s="1633"/>
      <c r="AA110" s="1633"/>
      <c r="AB110" s="1633"/>
      <c r="AC110" s="1633" t="s">
        <v>260</v>
      </c>
      <c r="AD110" s="1633" t="s">
        <v>261</v>
      </c>
      <c r="AE110" s="1633" t="s">
        <v>262</v>
      </c>
      <c r="AF110" s="1633" t="s">
        <v>263</v>
      </c>
      <c r="AG110" s="1633"/>
      <c r="AH110" s="1633" t="str">
        <f>IF($E$110=0,"",$E$110)</f>
        <v>Тариф на подключение (технологическое присоединение) к централизованной системе горячего водоснабжения</v>
      </c>
      <c r="AI110" s="1633" t="str">
        <f>IF($G$110=0,"",$G$110)</f>
        <v/>
      </c>
      <c r="AJ110" s="1633" t="str">
        <f>IF($J$110=0,"",$J$110)</f>
        <v/>
      </c>
      <c r="AK110" s="1633" t="str">
        <f>IF($K$110="нет","без дифференциации",IF($N$110=0,"",$N$110))</f>
        <v/>
      </c>
      <c r="AL110" s="1633" t="str">
        <f>IF($O$110="нет","без дифференциации",IF($R$110=0,"",$R$110))</f>
        <v/>
      </c>
      <c r="AM110" s="1633" t="str">
        <f>IF($S$110="нет","без дифференциации",IF($V$110=0,"",$V$110))</f>
        <v/>
      </c>
      <c r="AN110" s="2138">
        <f>$I$110</f>
        <v>0</v>
      </c>
      <c r="AO110" s="1633" t="str">
        <f>$I$110&amp;"."&amp;$M$110</f>
        <v>.</v>
      </c>
      <c r="AP110" s="1632" t="str">
        <f>$I$110&amp;"."&amp;$M$110&amp;"."&amp;$Q$110</f>
        <v>..</v>
      </c>
      <c r="AQ110" s="1632" t="str">
        <f>$I$110&amp;"."&amp;$M$110&amp;"."&amp;$Q$110&amp;"."&amp;$U$110</f>
        <v>...</v>
      </c>
    </row>
    <row s="18665" customFormat="1" customHeight="1" ht="17.25">
      <c r="A111" s="682"/>
      <c r="C111" s="681"/>
      <c r="D111" s="2416"/>
      <c r="E111" s="2418"/>
      <c r="F111" s="2421"/>
      <c r="G111" s="15941" t="s">
        <v>24</v>
      </c>
      <c r="H111" s="15949"/>
      <c r="I111" s="15950"/>
      <c r="J111" s="15951"/>
      <c r="K111" s="15952"/>
      <c r="L111" s="15952"/>
      <c r="M111" s="15952"/>
      <c r="N111" s="15953"/>
      <c r="O111" s="15952"/>
      <c r="P111" s="15952"/>
      <c r="Q111" s="15952"/>
      <c r="R111" s="15954"/>
      <c r="S111" s="15952"/>
      <c r="T111" s="15955"/>
      <c r="U111" s="15955"/>
      <c r="V111" s="15955"/>
      <c r="W111" s="15956"/>
      <c r="X111" s="1632"/>
      <c r="Y111" s="1632"/>
      <c r="Z111" s="1632"/>
      <c r="AA111" s="1632"/>
      <c r="AB111" s="1632"/>
      <c r="AC111" s="1632"/>
      <c r="AD111" s="1632"/>
      <c r="AE111" s="1632"/>
      <c r="AF111" s="1632"/>
      <c r="AG111" s="1632"/>
      <c r="AH111" s="1632"/>
      <c r="AI111" s="1632"/>
      <c r="AJ111" s="1632"/>
      <c r="AK111" s="1632"/>
      <c r="AL111" s="1632"/>
      <c r="AM111" s="1632"/>
      <c r="AN111" s="1632"/>
      <c r="AO111" s="1632"/>
      <c r="AP111" s="1632"/>
      <c r="AQ111" s="1632"/>
    </row>
    <row s="18665" customFormat="1" customHeight="1" ht="17.25">
      <c r="A112" s="682"/>
      <c r="C112" s="681"/>
      <c r="D112" s="2417"/>
      <c r="E112" s="2419"/>
      <c r="F112" s="2421"/>
      <c r="G112" s="15957" t="s">
        <v>24</v>
      </c>
      <c r="H112" s="15949"/>
      <c r="I112" s="15950"/>
      <c r="J112" s="15958"/>
      <c r="K112" s="15952"/>
      <c r="L112" s="15952"/>
      <c r="M112" s="15952"/>
      <c r="N112" s="15954"/>
      <c r="O112" s="15952"/>
      <c r="P112" s="15952"/>
      <c r="Q112" s="15955"/>
      <c r="R112" s="15955"/>
      <c r="S112" s="15959"/>
      <c r="T112" s="15959"/>
      <c r="U112" s="15959"/>
      <c r="V112" s="15959"/>
      <c r="W112" s="15956"/>
      <c r="X112" s="1632"/>
      <c r="Y112" s="1632"/>
      <c r="Z112" s="1632"/>
      <c r="AA112" s="1632"/>
      <c r="AB112" s="1632"/>
      <c r="AC112" s="1632"/>
      <c r="AD112" s="1632"/>
      <c r="AE112" s="1632"/>
      <c r="AF112" s="1632"/>
      <c r="AG112" s="1632"/>
      <c r="AH112" s="1632"/>
      <c r="AI112" s="1632"/>
      <c r="AJ112" s="1632"/>
      <c r="AK112" s="1632"/>
      <c r="AL112" s="1632"/>
      <c r="AM112" s="1632"/>
      <c r="AN112" s="1632"/>
      <c r="AO112" s="1632"/>
      <c r="AP112" s="1632"/>
      <c r="AQ112" s="1632"/>
    </row>
    <row s="18665" customFormat="1" customHeight="1" ht="17.25">
      <c r="A113" s="682"/>
      <c r="C113" s="681"/>
      <c r="D113" s="2417"/>
      <c r="E113" s="2419"/>
      <c r="F113" s="2421"/>
      <c r="G113" s="15957" t="s">
        <v>24</v>
      </c>
      <c r="H113" s="15949"/>
      <c r="I113" s="15950"/>
      <c r="J113" s="15958"/>
      <c r="K113" s="15952"/>
      <c r="L113" s="15955"/>
      <c r="M113" s="15955"/>
      <c r="N113" s="15955"/>
      <c r="O113" s="15955"/>
      <c r="P113" s="15955"/>
      <c r="Q113" s="15955"/>
      <c r="R113" s="15955"/>
      <c r="S113" s="15959"/>
      <c r="T113" s="15959"/>
      <c r="U113" s="15959"/>
      <c r="V113" s="15959"/>
      <c r="W113" s="15956"/>
      <c r="X113" s="1632"/>
      <c r="Y113" s="1632"/>
      <c r="Z113" s="1632"/>
      <c r="AA113" s="1632"/>
      <c r="AB113" s="1632"/>
      <c r="AC113" s="1632"/>
      <c r="AD113" s="1632"/>
      <c r="AE113" s="1632"/>
      <c r="AF113" s="1632"/>
      <c r="AG113" s="1632"/>
      <c r="AH113" s="1632"/>
      <c r="AI113" s="1632"/>
      <c r="AJ113" s="1632"/>
      <c r="AK113" s="1632"/>
      <c r="AL113" s="1632"/>
      <c r="AM113" s="1632"/>
      <c r="AN113" s="1632"/>
      <c r="AO113" s="1632"/>
      <c r="AP113" s="1632"/>
      <c r="AQ113" s="1632"/>
    </row>
    <row s="18665" customFormat="1" customHeight="1" ht="17.25">
      <c r="A114" s="682"/>
      <c r="C114" s="681"/>
      <c r="D114" s="2417"/>
      <c r="E114" s="2419"/>
      <c r="F114" s="2422"/>
      <c r="G114" s="15957" t="s">
        <v>24</v>
      </c>
      <c r="H114" s="15960"/>
      <c r="I114" s="15961"/>
      <c r="J114" s="15961"/>
      <c r="K114" s="15961"/>
      <c r="L114" s="15961"/>
      <c r="M114" s="15961"/>
      <c r="N114" s="15961"/>
      <c r="O114" s="15961"/>
      <c r="P114" s="15961"/>
      <c r="Q114" s="15961"/>
      <c r="R114" s="15961"/>
      <c r="S114" s="15962"/>
      <c r="T114" s="15962"/>
      <c r="U114" s="15962"/>
      <c r="V114" s="15962"/>
      <c r="W114" s="15963"/>
      <c r="X114" s="1632"/>
      <c r="Y114" s="1632"/>
      <c r="Z114" s="1632"/>
      <c r="AA114" s="1632"/>
      <c r="AB114" s="1632"/>
      <c r="AC114" s="1632"/>
      <c r="AD114" s="1632"/>
      <c r="AE114" s="1632"/>
      <c r="AF114" s="1632"/>
      <c r="AG114" s="1632"/>
      <c r="AH114" s="1632"/>
      <c r="AI114" s="1632"/>
      <c r="AJ114" s="1632"/>
      <c r="AK114" s="1632"/>
      <c r="AL114" s="1632"/>
      <c r="AM114" s="1632"/>
      <c r="AN114" s="1632"/>
      <c r="AO114" s="1632"/>
      <c r="AP114" s="1632"/>
      <c r="AQ114" s="1632"/>
    </row>
    <row s="18665" customFormat="1" customHeight="1" ht="11.25" hidden="1">
      <c r="A115" s="638"/>
      <c r="B115" s="638"/>
      <c r="Y115" s="1625"/>
      <c r="Z115" s="1625"/>
      <c r="AA115" s="1625"/>
      <c r="AB115" s="1625"/>
      <c r="AC115" s="1625"/>
      <c r="AD115" s="1625"/>
      <c r="AE115" s="1625"/>
      <c r="AF115" s="1625"/>
      <c r="AG115" s="1625"/>
      <c r="AH115" s="1625"/>
      <c r="AI115" s="1625"/>
      <c r="AJ115" s="1625"/>
      <c r="AK115" s="1625"/>
      <c r="AL115" s="1625"/>
      <c r="AM115" s="1625"/>
      <c r="AN115" s="1625"/>
      <c r="AO115" s="1625"/>
      <c r="AP115" s="1625"/>
      <c r="AQ115" s="1625"/>
    </row>
    <row s="18665" customFormat="1" customHeight="1" ht="17.25" hidden="1">
      <c r="A116" s="682"/>
      <c r="C116" s="570"/>
      <c r="D116" s="2416">
        <v>1</v>
      </c>
      <c r="E116" s="2418" t="s">
        <v>264</v>
      </c>
      <c r="F116" s="2420" t="s">
        <v>54</v>
      </c>
      <c r="G116" s="2418"/>
      <c r="H116" s="2423"/>
      <c r="I116" s="2425"/>
      <c r="J116" s="2427"/>
      <c r="K116" s="2410"/>
      <c r="L116" s="2410"/>
      <c r="M116" s="2410"/>
      <c r="N116" s="2412"/>
      <c r="O116" s="2410"/>
      <c r="P116" s="2410"/>
      <c r="Q116" s="2410"/>
      <c r="R116" s="2415"/>
      <c r="S116" s="2410"/>
      <c r="T116" s="1836"/>
      <c r="U116" s="1836"/>
      <c r="V116" s="1838"/>
      <c r="W116" s="1662"/>
      <c r="Y116" s="1633"/>
      <c r="Z116" s="1633"/>
      <c r="AA116" s="1633"/>
      <c r="AB116" s="1633"/>
      <c r="AC116" s="1633" t="s">
        <v>265</v>
      </c>
      <c r="AD116" s="1633" t="s">
        <v>266</v>
      </c>
      <c r="AE116" s="1633" t="s">
        <v>267</v>
      </c>
      <c r="AF116" s="1633" t="s">
        <v>268</v>
      </c>
      <c r="AG116" s="1633"/>
      <c r="AH116" s="1633" t="str">
        <f>IF($E$116=0,"",$E$116)</f>
        <v>Тариф на водоотведение</v>
      </c>
      <c r="AI116" s="1633" t="str">
        <f>IF($G$116=0,"",$G$116)</f>
        <v/>
      </c>
      <c r="AJ116" s="1633" t="str">
        <f>IF($J$116=0,"",$J$116)</f>
        <v/>
      </c>
      <c r="AK116" s="1633" t="str">
        <f>IF($K$116="нет","без дифференциации",IF($N$116=0,"",$N$116))</f>
        <v/>
      </c>
      <c r="AL116" s="1633" t="str">
        <f>IF($O$116="нет","без дифференциации",IF($R$116=0,"",$R$116))</f>
        <v/>
      </c>
      <c r="AM116" s="1633" t="str">
        <f>IF($S$116="нет","без дифференциации",IF($V$116=0,"",$V$116))</f>
        <v/>
      </c>
      <c r="AN116" s="1633">
        <f>$I$116</f>
        <v>0</v>
      </c>
      <c r="AO116" s="1633" t="str">
        <f>$I$116&amp;"."&amp;$M$116</f>
        <v>.</v>
      </c>
      <c r="AP116" s="1633" t="str">
        <f>$I$116&amp;"."&amp;$M$116&amp;"."&amp;$Q$116</f>
        <v>..</v>
      </c>
      <c r="AQ116" s="1633" t="str">
        <f>$I$116&amp;"."&amp;$M$116&amp;"."&amp;$Q$116&amp;"."&amp;$U$116</f>
        <v>...</v>
      </c>
    </row>
    <row s="18665" customFormat="1" customHeight="1" ht="17.25" hidden="1">
      <c r="A117" s="682"/>
      <c r="C117" s="681"/>
      <c r="D117" s="2416"/>
      <c r="E117" s="2418"/>
      <c r="F117" s="2421"/>
      <c r="G117" s="2418"/>
      <c r="H117" s="2424"/>
      <c r="I117" s="2426"/>
      <c r="J117" s="2428"/>
      <c r="K117" s="2411"/>
      <c r="L117" s="2411"/>
      <c r="M117" s="2411"/>
      <c r="N117" s="2413"/>
      <c r="O117" s="2411"/>
      <c r="P117" s="2411"/>
      <c r="Q117" s="2411"/>
      <c r="R117" s="2414"/>
      <c r="S117" s="2411"/>
      <c r="T117" s="1663"/>
      <c r="U117" s="1663"/>
      <c r="V117" s="1663"/>
      <c r="W117" s="1664"/>
      <c r="Y117" s="1625"/>
      <c r="Z117" s="1625"/>
      <c r="AA117" s="1625"/>
      <c r="AB117" s="1625"/>
      <c r="AC117" s="1625"/>
      <c r="AD117" s="1625"/>
      <c r="AE117" s="1625"/>
      <c r="AF117" s="1625"/>
      <c r="AG117" s="1625"/>
      <c r="AH117" s="1625"/>
      <c r="AI117" s="1625"/>
      <c r="AJ117" s="1625"/>
      <c r="AK117" s="1625"/>
      <c r="AL117" s="1625"/>
      <c r="AM117" s="1625"/>
      <c r="AN117" s="1625"/>
      <c r="AO117" s="1625"/>
      <c r="AP117" s="1625"/>
      <c r="AQ117" s="1625"/>
    </row>
    <row s="18665" customFormat="1" customHeight="1" ht="17.25" hidden="1">
      <c r="A118" s="682"/>
      <c r="C118" s="570"/>
      <c r="D118" s="2416"/>
      <c r="E118" s="2418"/>
      <c r="F118" s="2421"/>
      <c r="G118" s="2418"/>
      <c r="H118" s="2424"/>
      <c r="I118" s="2426"/>
      <c r="J118" s="2429"/>
      <c r="K118" s="2411"/>
      <c r="L118" s="2411"/>
      <c r="M118" s="2411"/>
      <c r="N118" s="2414"/>
      <c r="O118" s="2411"/>
      <c r="P118" s="1837"/>
      <c r="Q118" s="1663"/>
      <c r="R118" s="1663"/>
      <c r="S118" s="690"/>
      <c r="T118" s="690"/>
      <c r="U118" s="690"/>
      <c r="V118" s="690"/>
      <c r="W118" s="1664"/>
      <c r="Y118" s="1633"/>
      <c r="Z118" s="1633"/>
      <c r="AA118" s="1633"/>
      <c r="AB118" s="1633"/>
      <c r="AC118" s="1633"/>
      <c r="AD118" s="1633"/>
      <c r="AE118" s="1633"/>
      <c r="AF118" s="1633"/>
      <c r="AG118" s="1633"/>
      <c r="AH118" s="1633"/>
      <c r="AI118" s="1633"/>
      <c r="AJ118" s="1633"/>
      <c r="AK118" s="1633"/>
      <c r="AL118" s="1633"/>
      <c r="AM118" s="1633"/>
      <c r="AN118" s="1633"/>
      <c r="AO118" s="1633"/>
      <c r="AP118" s="1633"/>
      <c r="AQ118" s="1633"/>
    </row>
    <row s="18665" customFormat="1" customHeight="1" ht="17.25" hidden="1">
      <c r="A119" s="682"/>
      <c r="C119" s="681"/>
      <c r="D119" s="2416"/>
      <c r="E119" s="2418"/>
      <c r="F119" s="2421"/>
      <c r="G119" s="2418"/>
      <c r="H119" s="2424"/>
      <c r="I119" s="2426"/>
      <c r="J119" s="2429"/>
      <c r="K119" s="2411"/>
      <c r="L119" s="1663"/>
      <c r="M119" s="1663"/>
      <c r="N119" s="1663"/>
      <c r="O119" s="1663"/>
      <c r="P119" s="1663"/>
      <c r="Q119" s="1663"/>
      <c r="R119" s="1663"/>
      <c r="S119" s="690"/>
      <c r="T119" s="690"/>
      <c r="U119" s="690"/>
      <c r="V119" s="690"/>
      <c r="W119" s="1664"/>
      <c r="Y119" s="1625"/>
      <c r="Z119" s="1625"/>
      <c r="AA119" s="1625"/>
      <c r="AB119" s="1625"/>
      <c r="AC119" s="1625"/>
      <c r="AD119" s="1625"/>
      <c r="AE119" s="1625"/>
      <c r="AF119" s="1625"/>
      <c r="AG119" s="1625"/>
      <c r="AH119" s="1625"/>
      <c r="AI119" s="1625"/>
      <c r="AJ119" s="1625"/>
      <c r="AK119" s="1625"/>
      <c r="AL119" s="1625"/>
      <c r="AM119" s="1625"/>
      <c r="AN119" s="1625"/>
      <c r="AO119" s="1625"/>
      <c r="AP119" s="1625"/>
      <c r="AQ119" s="1625"/>
    </row>
    <row s="18665" customFormat="1" customHeight="1" ht="17.25" hidden="1">
      <c r="A120" s="682"/>
      <c r="C120" s="681"/>
      <c r="D120" s="2417"/>
      <c r="E120" s="2419"/>
      <c r="F120" s="2422"/>
      <c r="G120" s="2419"/>
      <c r="H120" s="1665"/>
      <c r="I120" s="1666"/>
      <c r="J120" s="1666"/>
      <c r="K120" s="1666"/>
      <c r="L120" s="1666"/>
      <c r="M120" s="1666"/>
      <c r="N120" s="1666"/>
      <c r="O120" s="1666"/>
      <c r="P120" s="1666"/>
      <c r="Q120" s="1666"/>
      <c r="R120" s="1666"/>
      <c r="S120" s="1667"/>
      <c r="T120" s="1667"/>
      <c r="U120" s="1667"/>
      <c r="V120" s="1667"/>
      <c r="W120" s="1668"/>
      <c r="Y120" s="1625"/>
      <c r="Z120" s="1625"/>
      <c r="AA120" s="1625"/>
      <c r="AB120" s="1625"/>
      <c r="AC120" s="1625"/>
      <c r="AD120" s="1625"/>
      <c r="AE120" s="1625"/>
      <c r="AF120" s="1625"/>
      <c r="AG120" s="1625"/>
      <c r="AH120" s="1625"/>
      <c r="AI120" s="1625"/>
      <c r="AJ120" s="1625"/>
      <c r="AK120" s="1625"/>
      <c r="AL120" s="1625"/>
      <c r="AM120" s="1625"/>
      <c r="AN120" s="1625"/>
      <c r="AO120" s="1625"/>
      <c r="AP120" s="1625"/>
      <c r="AQ120" s="1625"/>
    </row>
    <row s="18665" customFormat="1" customHeight="1" ht="17.25" hidden="1">
      <c r="A121" s="682"/>
      <c r="C121" s="570"/>
      <c r="D121" s="2416">
        <v>2</v>
      </c>
      <c r="E121" s="2418" t="s">
        <v>269</v>
      </c>
      <c r="F121" s="2420" t="s">
        <v>54</v>
      </c>
      <c r="G121" s="2418"/>
      <c r="H121" s="2423"/>
      <c r="I121" s="2425"/>
      <c r="J121" s="2427"/>
      <c r="K121" s="2410"/>
      <c r="L121" s="2410"/>
      <c r="M121" s="2410"/>
      <c r="N121" s="2412"/>
      <c r="O121" s="2410"/>
      <c r="P121" s="2410"/>
      <c r="Q121" s="2410"/>
      <c r="R121" s="2415"/>
      <c r="S121" s="2410"/>
      <c r="T121" s="1836"/>
      <c r="U121" s="1836"/>
      <c r="V121" s="1838"/>
      <c r="W121" s="1662"/>
      <c r="X121" s="1633"/>
      <c r="Y121" s="1633"/>
      <c r="Z121" s="1633"/>
      <c r="AA121" s="1633"/>
      <c r="AB121" s="1633"/>
      <c r="AC121" s="1633" t="s">
        <v>270</v>
      </c>
      <c r="AD121" s="1633" t="s">
        <v>271</v>
      </c>
      <c r="AE121" s="1633" t="s">
        <v>272</v>
      </c>
      <c r="AF121" s="1633" t="s">
        <v>273</v>
      </c>
      <c r="AG121" s="1633"/>
      <c r="AH121" s="1633" t="str">
        <f>IF($E$121=0,"",$E$121)</f>
        <v>Тариф на транспортировку сточных вод</v>
      </c>
      <c r="AI121" s="1633" t="str">
        <f>IF($G$121=0,"",$G$121)</f>
        <v/>
      </c>
      <c r="AJ121" s="1633" t="str">
        <f>IF($J$121=0,"",$J$121)</f>
        <v/>
      </c>
      <c r="AK121" s="1633" t="str">
        <f>IF($K$121="нет","без дифференциации",IF($N$121=0,"",$N$121))</f>
        <v/>
      </c>
      <c r="AL121" s="1633" t="str">
        <f>IF($O$121="нет","без дифференциации",IF($R$121=0,"",$R$121))</f>
        <v/>
      </c>
      <c r="AM121" s="1633" t="str">
        <f>IF($S$121="нет","без дифференциации",IF($V$121=0,"",$V$121))</f>
        <v/>
      </c>
      <c r="AN121" s="2138">
        <f>$I$121</f>
        <v>0</v>
      </c>
      <c r="AO121" s="1633" t="str">
        <f>$I$121&amp;"."&amp;$M$121</f>
        <v>.</v>
      </c>
      <c r="AP121" s="1625" t="str">
        <f>$I$121&amp;"."&amp;$M$121&amp;"."&amp;$Q$121</f>
        <v>..</v>
      </c>
      <c r="AQ121" s="1625" t="str">
        <f>$I$121&amp;"."&amp;$M$121&amp;"."&amp;$Q$121&amp;"."&amp;$U$121</f>
        <v>...</v>
      </c>
    </row>
    <row s="18665" customFormat="1" customHeight="1" ht="17.25" hidden="1">
      <c r="A122" s="682"/>
      <c r="C122" s="681"/>
      <c r="D122" s="2416"/>
      <c r="E122" s="2418"/>
      <c r="F122" s="2421"/>
      <c r="G122" s="2418"/>
      <c r="H122" s="2424"/>
      <c r="I122" s="2426"/>
      <c r="J122" s="2428"/>
      <c r="K122" s="2411"/>
      <c r="L122" s="2411"/>
      <c r="M122" s="2411"/>
      <c r="N122" s="2413"/>
      <c r="O122" s="2411"/>
      <c r="P122" s="2411"/>
      <c r="Q122" s="2411"/>
      <c r="R122" s="2414"/>
      <c r="S122" s="2411"/>
      <c r="T122" s="1663"/>
      <c r="U122" s="1663"/>
      <c r="V122" s="1663"/>
      <c r="W122" s="1664"/>
      <c r="X122" s="1625"/>
      <c r="Y122" s="1625"/>
      <c r="Z122" s="1625"/>
      <c r="AA122" s="1625"/>
      <c r="AB122" s="1625"/>
      <c r="AC122" s="1625"/>
      <c r="AD122" s="1625"/>
      <c r="AE122" s="1625"/>
      <c r="AF122" s="1625"/>
      <c r="AG122" s="1625"/>
      <c r="AH122" s="1625"/>
      <c r="AI122" s="1625"/>
      <c r="AJ122" s="1625"/>
      <c r="AK122" s="1625"/>
      <c r="AL122" s="1625"/>
      <c r="AM122" s="1625"/>
      <c r="AN122" s="1625"/>
      <c r="AO122" s="1625"/>
      <c r="AP122" s="1625"/>
      <c r="AQ122" s="1625"/>
    </row>
    <row s="18665" customFormat="1" customHeight="1" ht="17.25" hidden="1">
      <c r="A123" s="682"/>
      <c r="C123" s="681"/>
      <c r="D123" s="2417"/>
      <c r="E123" s="2419"/>
      <c r="F123" s="2421"/>
      <c r="G123" s="2419"/>
      <c r="H123" s="2424"/>
      <c r="I123" s="2426"/>
      <c r="J123" s="2429"/>
      <c r="K123" s="2411"/>
      <c r="L123" s="2411"/>
      <c r="M123" s="2411"/>
      <c r="N123" s="2414"/>
      <c r="O123" s="2411"/>
      <c r="P123" s="1837"/>
      <c r="Q123" s="1663"/>
      <c r="R123" s="1663"/>
      <c r="S123" s="690"/>
      <c r="T123" s="690"/>
      <c r="U123" s="690"/>
      <c r="V123" s="690"/>
      <c r="W123" s="1664"/>
      <c r="X123" s="1625"/>
      <c r="Y123" s="1625"/>
      <c r="Z123" s="1625"/>
      <c r="AA123" s="1625"/>
      <c r="AB123" s="1625"/>
      <c r="AC123" s="1625"/>
      <c r="AD123" s="1625"/>
      <c r="AE123" s="1625"/>
      <c r="AF123" s="1625"/>
      <c r="AG123" s="1625"/>
      <c r="AH123" s="1625"/>
      <c r="AI123" s="1625"/>
      <c r="AJ123" s="1625"/>
      <c r="AK123" s="1625"/>
      <c r="AL123" s="1625"/>
      <c r="AM123" s="1625"/>
      <c r="AN123" s="1625"/>
      <c r="AO123" s="1625"/>
      <c r="AP123" s="1625"/>
      <c r="AQ123" s="1625"/>
    </row>
    <row s="18665" customFormat="1" customHeight="1" ht="17.25" hidden="1">
      <c r="A124" s="682"/>
      <c r="C124" s="681"/>
      <c r="D124" s="2417"/>
      <c r="E124" s="2419"/>
      <c r="F124" s="2421"/>
      <c r="G124" s="2419"/>
      <c r="H124" s="2424"/>
      <c r="I124" s="2426"/>
      <c r="J124" s="2429"/>
      <c r="K124" s="2411"/>
      <c r="L124" s="1663"/>
      <c r="M124" s="1663"/>
      <c r="N124" s="1663"/>
      <c r="O124" s="1663"/>
      <c r="P124" s="1663"/>
      <c r="Q124" s="1663"/>
      <c r="R124" s="1663"/>
      <c r="S124" s="690"/>
      <c r="T124" s="690"/>
      <c r="U124" s="690"/>
      <c r="V124" s="690"/>
      <c r="W124" s="1664"/>
      <c r="X124" s="1625"/>
      <c r="Y124" s="1625"/>
      <c r="Z124" s="1625"/>
      <c r="AA124" s="1625"/>
      <c r="AB124" s="1625"/>
      <c r="AC124" s="1625"/>
      <c r="AD124" s="1625"/>
      <c r="AE124" s="1625"/>
      <c r="AF124" s="1625"/>
      <c r="AG124" s="1625"/>
      <c r="AH124" s="1625"/>
      <c r="AI124" s="1625"/>
      <c r="AJ124" s="1625"/>
      <c r="AK124" s="1625"/>
      <c r="AL124" s="1625"/>
      <c r="AM124" s="1625"/>
      <c r="AN124" s="1625"/>
      <c r="AO124" s="1625"/>
      <c r="AP124" s="1625"/>
      <c r="AQ124" s="1625"/>
    </row>
    <row s="18665" customFormat="1" customHeight="1" ht="17.25" hidden="1">
      <c r="A125" s="682"/>
      <c r="C125" s="681"/>
      <c r="D125" s="2417"/>
      <c r="E125" s="2419"/>
      <c r="F125" s="2422"/>
      <c r="G125" s="2419"/>
      <c r="H125" s="1665"/>
      <c r="I125" s="1666"/>
      <c r="J125" s="1666"/>
      <c r="K125" s="1666"/>
      <c r="L125" s="1666"/>
      <c r="M125" s="1666"/>
      <c r="N125" s="1666"/>
      <c r="O125" s="1666"/>
      <c r="P125" s="1666"/>
      <c r="Q125" s="1666"/>
      <c r="R125" s="1666"/>
      <c r="S125" s="1667"/>
      <c r="T125" s="1667"/>
      <c r="U125" s="1667"/>
      <c r="V125" s="1667"/>
      <c r="W125" s="1668"/>
      <c r="X125" s="1625"/>
      <c r="Y125" s="1625"/>
      <c r="Z125" s="1625"/>
      <c r="AA125" s="1625"/>
      <c r="AB125" s="1625"/>
      <c r="AC125" s="1625"/>
      <c r="AD125" s="1625"/>
      <c r="AE125" s="1625"/>
      <c r="AF125" s="1625"/>
      <c r="AG125" s="1625"/>
      <c r="AH125" s="1625"/>
      <c r="AI125" s="1625"/>
      <c r="AJ125" s="1625"/>
      <c r="AK125" s="1625"/>
      <c r="AL125" s="1625"/>
      <c r="AM125" s="1625"/>
      <c r="AN125" s="1625"/>
      <c r="AO125" s="1625"/>
      <c r="AP125" s="1625"/>
      <c r="AQ125" s="1625"/>
    </row>
    <row s="18665" customFormat="1" customHeight="1" ht="17.25" hidden="1">
      <c r="A126" s="682"/>
      <c r="C126" s="570"/>
      <c r="D126" s="2416">
        <v>3</v>
      </c>
      <c r="E126" s="2418" t="s">
        <v>274</v>
      </c>
      <c r="F126" s="2420" t="s">
        <v>54</v>
      </c>
      <c r="G126" s="2418"/>
      <c r="H126" s="2423"/>
      <c r="I126" s="2425"/>
      <c r="J126" s="2427"/>
      <c r="K126" s="2410"/>
      <c r="L126" s="2410"/>
      <c r="M126" s="2410"/>
      <c r="N126" s="2412"/>
      <c r="O126" s="2410"/>
      <c r="P126" s="2410"/>
      <c r="Q126" s="2410"/>
      <c r="R126" s="2415"/>
      <c r="S126" s="2410"/>
      <c r="T126" s="2310"/>
      <c r="U126" s="2310"/>
      <c r="V126" s="2312"/>
      <c r="W126" s="1662"/>
      <c r="X126" s="1633"/>
      <c r="Y126" s="1633"/>
      <c r="Z126" s="1633"/>
      <c r="AA126" s="1633"/>
      <c r="AB126" s="1633"/>
      <c r="AC126" s="1633" t="s">
        <v>275</v>
      </c>
      <c r="AD126" s="1633" t="s">
        <v>276</v>
      </c>
      <c r="AE126" s="1633" t="s">
        <v>277</v>
      </c>
      <c r="AF126" s="1633" t="s">
        <v>278</v>
      </c>
      <c r="AG126" s="1633"/>
      <c r="AH126" s="1633" t="str">
        <f>IF($E$126=0,"",$E$126)</f>
        <v>Тариф на подключение (технологическое присоединение) к централизованной системе водоотведения</v>
      </c>
      <c r="AI126" s="1633" t="str">
        <f>IF($G$126=0,"",$G$126)</f>
        <v/>
      </c>
      <c r="AJ126" s="1633" t="str">
        <f>IF($J$126=0,"",$J$126)</f>
        <v/>
      </c>
      <c r="AK126" s="1633" t="str">
        <f>IF($K$126="нет","без дифференциации",IF($N$126=0,"",$N$126))</f>
        <v/>
      </c>
      <c r="AL126" s="1633" t="str">
        <f>IF($O$126="нет","без дифференциации",IF($R$126=0,"",$R$126))</f>
        <v/>
      </c>
      <c r="AM126" s="1633" t="str">
        <f>IF($S$126="нет","без дифференциации",IF($V$126=0,"",$V$126))</f>
        <v/>
      </c>
      <c r="AN126" s="2138">
        <f>$I$126</f>
        <v>0</v>
      </c>
      <c r="AO126" s="1633" t="str">
        <f>$I$126&amp;"."&amp;$M$126</f>
        <v>.</v>
      </c>
      <c r="AP126" s="1632" t="str">
        <f>$I$126&amp;"."&amp;$M$126&amp;"."&amp;$Q$126</f>
        <v>..</v>
      </c>
      <c r="AQ126" s="1632" t="str">
        <f>$I$126&amp;"."&amp;$M$126&amp;"."&amp;$Q$126&amp;"."&amp;$U$126</f>
        <v>...</v>
      </c>
    </row>
    <row s="18665" customFormat="1" customHeight="1" ht="17.25" hidden="1">
      <c r="A127" s="682"/>
      <c r="C127" s="681"/>
      <c r="D127" s="2416"/>
      <c r="E127" s="2418"/>
      <c r="F127" s="2421"/>
      <c r="G127" s="2418"/>
      <c r="H127" s="2424"/>
      <c r="I127" s="2426"/>
      <c r="J127" s="2428"/>
      <c r="K127" s="2411"/>
      <c r="L127" s="2411"/>
      <c r="M127" s="2411"/>
      <c r="N127" s="2413"/>
      <c r="O127" s="2411"/>
      <c r="P127" s="2411"/>
      <c r="Q127" s="2411"/>
      <c r="R127" s="2414"/>
      <c r="S127" s="2411"/>
      <c r="T127" s="2315"/>
      <c r="U127" s="2315"/>
      <c r="V127" s="2315"/>
      <c r="W127" s="2316"/>
      <c r="X127" s="1632"/>
      <c r="Y127" s="1632"/>
      <c r="Z127" s="1632"/>
      <c r="AA127" s="1632"/>
      <c r="AB127" s="1632"/>
      <c r="AC127" s="1632"/>
      <c r="AD127" s="1632"/>
      <c r="AE127" s="1632"/>
      <c r="AF127" s="1632"/>
      <c r="AG127" s="1632"/>
      <c r="AH127" s="1632"/>
      <c r="AI127" s="1632"/>
      <c r="AJ127" s="1632"/>
      <c r="AK127" s="1632"/>
      <c r="AL127" s="1632"/>
      <c r="AM127" s="1632"/>
      <c r="AN127" s="1632"/>
      <c r="AO127" s="1632"/>
      <c r="AP127" s="1632"/>
      <c r="AQ127" s="1632"/>
    </row>
    <row s="18665" customFormat="1" customHeight="1" ht="17.25" hidden="1">
      <c r="A128" s="682"/>
      <c r="C128" s="681"/>
      <c r="D128" s="2417"/>
      <c r="E128" s="2419"/>
      <c r="F128" s="2421"/>
      <c r="G128" s="2419"/>
      <c r="H128" s="2424"/>
      <c r="I128" s="2426"/>
      <c r="J128" s="2429"/>
      <c r="K128" s="2411"/>
      <c r="L128" s="2411"/>
      <c r="M128" s="2411"/>
      <c r="N128" s="2414"/>
      <c r="O128" s="2411"/>
      <c r="P128" s="2311"/>
      <c r="Q128" s="2315"/>
      <c r="R128" s="2315"/>
      <c r="S128" s="690"/>
      <c r="T128" s="690"/>
      <c r="U128" s="690"/>
      <c r="V128" s="690"/>
      <c r="W128" s="2316"/>
      <c r="X128" s="1632"/>
      <c r="Y128" s="1632"/>
      <c r="Z128" s="1632"/>
      <c r="AA128" s="1632"/>
      <c r="AB128" s="1632"/>
      <c r="AC128" s="1632"/>
      <c r="AD128" s="1632"/>
      <c r="AE128" s="1632"/>
      <c r="AF128" s="1632"/>
      <c r="AG128" s="1632"/>
      <c r="AH128" s="1632"/>
      <c r="AI128" s="1632"/>
      <c r="AJ128" s="1632"/>
      <c r="AK128" s="1632"/>
      <c r="AL128" s="1632"/>
      <c r="AM128" s="1632"/>
      <c r="AN128" s="1632"/>
      <c r="AO128" s="1632"/>
      <c r="AP128" s="1632"/>
      <c r="AQ128" s="1632"/>
    </row>
    <row s="18665" customFormat="1" customHeight="1" ht="17.25" hidden="1">
      <c r="A129" s="682"/>
      <c r="C129" s="681"/>
      <c r="D129" s="2417"/>
      <c r="E129" s="2419"/>
      <c r="F129" s="2421"/>
      <c r="G129" s="2419"/>
      <c r="H129" s="2424"/>
      <c r="I129" s="2426"/>
      <c r="J129" s="2429"/>
      <c r="K129" s="2411"/>
      <c r="L129" s="2315"/>
      <c r="M129" s="2315"/>
      <c r="N129" s="2315"/>
      <c r="O129" s="2315"/>
      <c r="P129" s="2315"/>
      <c r="Q129" s="2315"/>
      <c r="R129" s="2315"/>
      <c r="S129" s="690"/>
      <c r="T129" s="690"/>
      <c r="U129" s="690"/>
      <c r="V129" s="690"/>
      <c r="W129" s="2316"/>
      <c r="X129" s="1632"/>
      <c r="Y129" s="1632"/>
      <c r="Z129" s="1632"/>
      <c r="AA129" s="1632"/>
      <c r="AB129" s="1632"/>
      <c r="AC129" s="1632"/>
      <c r="AD129" s="1632"/>
      <c r="AE129" s="1632"/>
      <c r="AF129" s="1632"/>
      <c r="AG129" s="1632"/>
      <c r="AH129" s="1632"/>
      <c r="AI129" s="1632"/>
      <c r="AJ129" s="1632"/>
      <c r="AK129" s="1632"/>
      <c r="AL129" s="1632"/>
      <c r="AM129" s="1632"/>
      <c r="AN129" s="1632"/>
      <c r="AO129" s="1632"/>
      <c r="AP129" s="1632"/>
      <c r="AQ129" s="1632"/>
    </row>
    <row s="18665" customFormat="1" customHeight="1" ht="17.25" hidden="1">
      <c r="A130" s="682"/>
      <c r="C130" s="681"/>
      <c r="D130" s="2417"/>
      <c r="E130" s="2419"/>
      <c r="F130" s="2422"/>
      <c r="G130" s="2419"/>
      <c r="H130" s="1665"/>
      <c r="I130" s="2313"/>
      <c r="J130" s="2313"/>
      <c r="K130" s="2313"/>
      <c r="L130" s="2313"/>
      <c r="M130" s="2313"/>
      <c r="N130" s="2313"/>
      <c r="O130" s="2313"/>
      <c r="P130" s="2313"/>
      <c r="Q130" s="2313"/>
      <c r="R130" s="2313"/>
      <c r="S130" s="1667"/>
      <c r="T130" s="1667"/>
      <c r="U130" s="1667"/>
      <c r="V130" s="1667"/>
      <c r="W130" s="2314"/>
      <c r="X130" s="1632"/>
      <c r="Y130" s="1632"/>
      <c r="Z130" s="1632"/>
      <c r="AA130" s="1632"/>
      <c r="AB130" s="1632"/>
      <c r="AC130" s="1632"/>
      <c r="AD130" s="1632"/>
      <c r="AE130" s="1632"/>
      <c r="AF130" s="1632"/>
      <c r="AG130" s="1632"/>
      <c r="AH130" s="1632"/>
      <c r="AI130" s="1632"/>
      <c r="AJ130" s="1632"/>
      <c r="AK130" s="1632"/>
      <c r="AL130" s="1632"/>
      <c r="AM130" s="1632"/>
      <c r="AN130" s="1632"/>
      <c r="AO130" s="1632"/>
      <c r="AP130" s="1632"/>
      <c r="AQ130" s="1632"/>
    </row>
    <row r="134" customHeight="1" ht="11.25">
      <c r="E134" s="1716"/>
    </row>
    <row customHeight="1" ht="11.25">
      <c r="E135" s="1716"/>
    </row>
    <row customHeight="1" ht="11.25">
      <c r="E136" s="1716"/>
    </row>
    <row customHeight="1" ht="11.25">
      <c r="E137" s="1716"/>
    </row>
    <row customHeight="1" ht="11.25">
      <c r="E138" s="1716"/>
    </row>
    <row customHeight="1" ht="11.25">
      <c r="E139" s="1716"/>
    </row>
    <row customHeight="1" ht="11.25">
      <c r="E140" s="1716"/>
    </row>
  </sheetData>
  <sheetProtection formatColumns="0" formatRows="0" autoFilter="0" sort="0" insertRows="0" insertColumns="1" deleteRows="0" deleteColumns="0"/>
  <mergeCells count="364">
    <mergeCell ref="D53:D57"/>
    <mergeCell ref="M94:M96"/>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E53:E57"/>
    <mergeCell ref="F53:F57"/>
    <mergeCell ref="G53:G57"/>
    <mergeCell ref="H53:H56"/>
    <mergeCell ref="I53:I56"/>
    <mergeCell ref="J53:J56"/>
    <mergeCell ref="K53:K56"/>
    <mergeCell ref="L53:L55"/>
    <mergeCell ref="M89:M91"/>
    <mergeCell ref="N89:N91"/>
    <mergeCell ref="O89:O91"/>
    <mergeCell ref="P89:P90"/>
    <mergeCell ref="Q89:Q90"/>
    <mergeCell ref="R89:R90"/>
    <mergeCell ref="S89:S90"/>
    <mergeCell ref="D84:D88"/>
    <mergeCell ref="E84:E88"/>
    <mergeCell ref="M84:M86"/>
    <mergeCell ref="D89:D93"/>
    <mergeCell ref="E89:E93"/>
    <mergeCell ref="F89:F93"/>
    <mergeCell ref="G89:G93"/>
    <mergeCell ref="H89:H92"/>
    <mergeCell ref="I89:I92"/>
    <mergeCell ref="J89:J92"/>
    <mergeCell ref="K89:K92"/>
    <mergeCell ref="L89:L91"/>
    <mergeCell ref="F84:F88"/>
    <mergeCell ref="G84:G88"/>
    <mergeCell ref="H84:H87"/>
    <mergeCell ref="I84:I87"/>
    <mergeCell ref="J84:J87"/>
    <mergeCell ref="L84:L86"/>
    <mergeCell ref="Q79:Q80"/>
    <mergeCell ref="R79:R80"/>
    <mergeCell ref="S79:S80"/>
    <mergeCell ref="K79:K82"/>
    <mergeCell ref="K74:K77"/>
    <mergeCell ref="N79:N81"/>
    <mergeCell ref="O79:O81"/>
    <mergeCell ref="P79:P80"/>
    <mergeCell ref="S84:S85"/>
    <mergeCell ref="N84:N86"/>
    <mergeCell ref="O84:O86"/>
    <mergeCell ref="P84:P85"/>
    <mergeCell ref="Q84:Q85"/>
    <mergeCell ref="R84:R85"/>
    <mergeCell ref="L79:L81"/>
    <mergeCell ref="N74:N76"/>
    <mergeCell ref="O74:O76"/>
    <mergeCell ref="P74:P75"/>
    <mergeCell ref="Q74:Q75"/>
    <mergeCell ref="R74:R75"/>
    <mergeCell ref="S74:S75"/>
    <mergeCell ref="M79:M81"/>
    <mergeCell ref="W9:W10"/>
    <mergeCell ref="O9:R9"/>
    <mergeCell ref="K9:N9"/>
    <mergeCell ref="T11:U11"/>
    <mergeCell ref="S9:V9"/>
    <mergeCell ref="T10:U10"/>
    <mergeCell ref="D74:D78"/>
    <mergeCell ref="E74:E78"/>
    <mergeCell ref="D79:D83"/>
    <mergeCell ref="E79:E83"/>
    <mergeCell ref="F79:F83"/>
    <mergeCell ref="G79:G83"/>
    <mergeCell ref="H79:H82"/>
    <mergeCell ref="I79:I82"/>
    <mergeCell ref="J79:J82"/>
    <mergeCell ref="F74:F78"/>
    <mergeCell ref="G74:G78"/>
    <mergeCell ref="H74:H77"/>
    <mergeCell ref="I74:I77"/>
    <mergeCell ref="J74:J77"/>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S18:S19"/>
    <mergeCell ref="O48:O50"/>
    <mergeCell ref="E72:W72"/>
    <mergeCell ref="E64:W64"/>
    <mergeCell ref="E65:W65"/>
    <mergeCell ref="E66:W66"/>
    <mergeCell ref="E67:W67"/>
    <mergeCell ref="E68:W68"/>
    <mergeCell ref="L74:L76"/>
    <mergeCell ref="M74:M76"/>
    <mergeCell ref="E70:W70"/>
    <mergeCell ref="E71:W71"/>
    <mergeCell ref="K84:K87"/>
    <mergeCell ref="E38:E42"/>
    <mergeCell ref="F38:F42"/>
    <mergeCell ref="H38:H41"/>
    <mergeCell ref="G38:G42"/>
    <mergeCell ref="R13:R14"/>
    <mergeCell ref="S13:S14"/>
    <mergeCell ref="M43:M45"/>
    <mergeCell ref="N43:N45"/>
    <mergeCell ref="O43:O45"/>
    <mergeCell ref="N33:N35"/>
    <mergeCell ref="D100:D104"/>
    <mergeCell ref="E100:E104"/>
    <mergeCell ref="F100:F104"/>
    <mergeCell ref="G100:G104"/>
    <mergeCell ref="P48:P49"/>
    <mergeCell ref="Q48:Q49"/>
    <mergeCell ref="R48:R49"/>
    <mergeCell ref="S48:S49"/>
    <mergeCell ref="P43:P44"/>
    <mergeCell ref="Q43:Q44"/>
    <mergeCell ref="R43:R44"/>
    <mergeCell ref="S43:S44"/>
    <mergeCell ref="S23:S24"/>
    <mergeCell ref="S116:S117"/>
    <mergeCell ref="D116:D120"/>
    <mergeCell ref="E116:E120"/>
    <mergeCell ref="F116:F120"/>
    <mergeCell ref="G116:G120"/>
    <mergeCell ref="M105:M107"/>
    <mergeCell ref="N105:N107"/>
    <mergeCell ref="O105:O107"/>
    <mergeCell ref="P105:P106"/>
    <mergeCell ref="Q105:Q106"/>
    <mergeCell ref="R105:R106"/>
    <mergeCell ref="S105:S106"/>
    <mergeCell ref="D105:D109"/>
    <mergeCell ref="E105:E109"/>
    <mergeCell ref="F105:F109"/>
    <mergeCell ref="G105:G109"/>
    <mergeCell ref="H105:H108"/>
    <mergeCell ref="I105:I108"/>
    <mergeCell ref="J105:J108"/>
    <mergeCell ref="K105:K108"/>
    <mergeCell ref="L105:L107"/>
    <mergeCell ref="O116:O118"/>
    <mergeCell ref="M121:M123"/>
    <mergeCell ref="N121:N123"/>
    <mergeCell ref="O121:O123"/>
    <mergeCell ref="P116:P117"/>
    <mergeCell ref="Q116:Q117"/>
    <mergeCell ref="R116:R117"/>
    <mergeCell ref="P121:P122"/>
    <mergeCell ref="Q121:Q122"/>
    <mergeCell ref="R121:R122"/>
    <mergeCell ref="F94:F98"/>
    <mergeCell ref="G94:G98"/>
    <mergeCell ref="H94:H97"/>
    <mergeCell ref="I94:I97"/>
    <mergeCell ref="J94:J97"/>
    <mergeCell ref="K94:K97"/>
    <mergeCell ref="L94:L96"/>
    <mergeCell ref="S121:S122"/>
    <mergeCell ref="D121:D125"/>
    <mergeCell ref="E121:E125"/>
    <mergeCell ref="F121:F125"/>
    <mergeCell ref="G121:G125"/>
    <mergeCell ref="H121:H124"/>
    <mergeCell ref="I121:I124"/>
    <mergeCell ref="J121:J124"/>
    <mergeCell ref="K121:K124"/>
    <mergeCell ref="L121:L123"/>
    <mergeCell ref="H116:H119"/>
    <mergeCell ref="I116:I119"/>
    <mergeCell ref="J116:J119"/>
    <mergeCell ref="K116:K119"/>
    <mergeCell ref="L116:L118"/>
    <mergeCell ref="M116:M118"/>
    <mergeCell ref="N116:N118"/>
    <mergeCell ref="N94:N96"/>
    <mergeCell ref="O94:O96"/>
    <mergeCell ref="P94:P95"/>
    <mergeCell ref="Q94:Q95"/>
    <mergeCell ref="R94:R95"/>
    <mergeCell ref="S94:S95"/>
    <mergeCell ref="D110:D114"/>
    <mergeCell ref="E110:E114"/>
    <mergeCell ref="F110:F114"/>
    <mergeCell ref="G110:G114"/>
    <mergeCell ref="D94:D98"/>
    <mergeCell ref="E94:E98"/>
    <mergeCell ref="M126:M128"/>
    <mergeCell ref="N126:N128"/>
    <mergeCell ref="O126:O128"/>
    <mergeCell ref="P126:P127"/>
    <mergeCell ref="Q126:Q127"/>
    <mergeCell ref="R126:R127"/>
    <mergeCell ref="S126:S127"/>
    <mergeCell ref="D126:D130"/>
    <mergeCell ref="E126:E130"/>
    <mergeCell ref="F126:F130"/>
    <mergeCell ref="G126:G130"/>
    <mergeCell ref="H126:H129"/>
    <mergeCell ref="I126:I129"/>
    <mergeCell ref="J126:J129"/>
    <mergeCell ref="K126:K129"/>
    <mergeCell ref="L126:L128"/>
    <mergeCell ref="W100:W101"/>
    <mergeCell ref="O100:O102"/>
    <mergeCell ref="P100:P101"/>
    <mergeCell ref="Q100:Q101"/>
    <mergeCell ref="R100:R101"/>
    <mergeCell ref="H100:H103"/>
    <mergeCell ref="I100:I103"/>
    <mergeCell ref="J100:J103"/>
    <mergeCell ref="K100:K103"/>
    <mergeCell ref="L100:L102"/>
    <mergeCell ref="S100:S101"/>
    <mergeCell ref="M100:M102"/>
    <mergeCell ref="N100:N102"/>
    <mergeCell ref="H110:H113"/>
    <mergeCell ref="J110:J113"/>
    <mergeCell ref="K110:K113"/>
    <mergeCell ref="M110:M112"/>
    <mergeCell ref="O110:O112"/>
    <mergeCell ref="L110:L112"/>
    <mergeCell ref="Q110:Q111"/>
    <mergeCell ref="R110:R111"/>
    <mergeCell ref="S110:S111"/>
    <mergeCell ref="P110:P111"/>
    <mergeCell ref="N110:N112"/>
    <mergeCell ref="I110:I113"/>
  </mergeCells>
  <dataValidations count="32">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12">
      <formula1>DESCRIPTION_TERRITORY</formula1>
    </dataValidation>
    <dataValidation allowBlank="1" showInputMessage="1" showErrorMessage="1" prompt="Для выбора выполните двойной щелчок левой клавиши мыши по соответствующей ячейке." sqref="S111"/>
    <dataValidation type="textLength" operator="lessThanOrEqual" allowBlank="1" showInputMessage="1" showErrorMessage="1" errorTitle="Ошибка" error="Допускается ввод не более 900 символов!" sqref="R111">
      <formula1>900</formula1>
    </dataValidation>
    <dataValidation allowBlank="1" showInputMessage="1" showErrorMessage="1" prompt="Для выбора выполните двойной щелчок левой клавиши мыши по соответствующей ячейке." sqref="O111"/>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11">
      <formula1>DESCRIPTION_TERRITORY</formula1>
    </dataValidation>
    <dataValidation allowBlank="1" showInputMessage="1" showErrorMessage="1" prompt="Для выбора выполните двойной щелчок левой клавиши мыши по соответствующей ячейке." sqref="K111"/>
    <dataValidation type="textLength" operator="lessThanOrEqual" allowBlank="1" showInputMessage="1" showErrorMessage="1" errorTitle="Ошибка" error="Допускается ввод не более 900 символов!" sqref="J111">
      <formula1>900</formula1>
    </dataValidation>
    <dataValidation type="textLength" operator="lessThanOrEqual" allowBlank="1" showInputMessage="1" showErrorMessage="1" errorTitle="Ошибка" error="Допускается ввод не более 900 символов!" sqref="W110">
      <formula1>900</formula1>
    </dataValidation>
    <dataValidation type="textLength" operator="lessThanOrEqual" allowBlank="1" showInputMessage="1" showErrorMessage="1" errorTitle="Ошибка" error="Допускается ввод не более 900 символов!" sqref="V110">
      <formula1>900</formula1>
    </dataValidation>
    <dataValidation allowBlank="1" showInputMessage="1" showErrorMessage="1" prompt="Для выбора выполните двойной щелчок левой клавиши мыши по соответствующей ячейке." sqref="S110"/>
    <dataValidation type="textLength" operator="lessThanOrEqual" allowBlank="1" showInputMessage="1" showErrorMessage="1" errorTitle="Ошибка" error="Допускается ввод не более 900 символов!" sqref="R110">
      <formula1>900</formula1>
    </dataValidation>
    <dataValidation allowBlank="1" showInputMessage="1" showErrorMessage="1" prompt="Для выбора выполните двойной щелчок левой клавиши мыши по соответствующей ячейке." sqref="O11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10">
      <formula1>DESCRIPTION_TERRITORY</formula1>
    </dataValidation>
    <dataValidation allowBlank="1" showInputMessage="1" showErrorMessage="1" prompt="Для выбора выполните двойной щелчок левой клавиши мыши по соответствующей ячейке." sqref="K110"/>
    <dataValidation type="textLength" operator="lessThanOrEqual" allowBlank="1" showInputMessage="1" showErrorMessage="1" errorTitle="Ошибка" error="Допускается ввод не более 900 символов!" sqref="J110">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2"/>
    <dataValidation allowBlank="1" showInputMessage="1" showErrorMessage="1" prompt="Для выбора выполните двойной щелчок левой клавиши мыши по соответствующей ячейке." sqref="S101"/>
    <dataValidation type="textLength" operator="lessThanOrEqual" allowBlank="1" showInputMessage="1" showErrorMessage="1" errorTitle="Ошибка" error="Допускается ввод не более 900 символов!" sqref="R101">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1"/>
    <dataValidation type="textLength" operator="lessThanOrEqual" allowBlank="1" showInputMessage="1" showErrorMessage="1" errorTitle="Ошибка" error="Допускается ввод не более 900 символов!" sqref="J101">
      <formula1>900</formula1>
    </dataValidation>
    <dataValidation type="textLength" operator="lessThanOrEqual" allowBlank="1" showInputMessage="1" showErrorMessage="1" errorTitle="Ошибка" error="Допускается ввод не более 900 символов!" sqref="W100">
      <formula1>900</formula1>
    </dataValidation>
    <dataValidation type="textLength" operator="lessThanOrEqual" allowBlank="1" showInputMessage="1" showErrorMessage="1" errorTitle="Ошибка" error="Допускается ввод не более 900 символов!" sqref="V100">
      <formula1>900</formula1>
    </dataValidation>
    <dataValidation allowBlank="1" showInputMessage="1" showErrorMessage="1" prompt="Для выбора выполните двойной щелчок левой клавиши мыши по соответствующей ячейке." sqref="S100"/>
    <dataValidation type="textLength" operator="lessThanOrEqual" allowBlank="1" showInputMessage="1" showErrorMessage="1" errorTitle="Ошибка" error="Допускается ввод не более 900 символов!" sqref="R100">
      <formula1>900</formula1>
    </dataValidation>
    <dataValidation allowBlank="1" showInputMessage="1" showErrorMessage="1" prompt="Для выбора выполните двойной щелчок левой клавиши мыши по соответствующей ячейке." sqref="O10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0"/>
    <dataValidation allowBlank="1" showInputMessage="1" showErrorMessage="1" prompt="Для выбора выполните двойной щелчок левой клавиши мыши по соответствующей ячейке." sqref="K100"/>
    <dataValidation type="textLength" operator="lessThanOrEqual" allowBlank="1" showInputMessage="1" showErrorMessage="1" errorTitle="Ошибка" error="Допускается ввод не более 900 символов!" sqref="J100">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O13:O14 S13:S14 K28:K29 O28:O29 S28:S29 K74:K75 O74:O75 S74:S75 K79:K80 O79:O80 S79:S80 K89:K90 O89:O90 S89:S90 K84:K85 O84:O85 S48:S49 S84:S85 K48:K49 O48:O49 F13:F62 O105:O106 S105:S106 K105:K106 S94:S95 K121:K122 O121:O122 K116:K117 O116:O117 S121:S122 S116:S117 O53:O54 S53:S54 K53:K54 K58:K59 O58:O59 S58:S59 F74:F98 K94:K95 O94:O95 F100:F113 F114 F116:F130 S126:S127 K126:K127 O126:O127"/>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74:J75 R74:R75 V74:W74 J79:J80 R79:R80 V79:W79 J89:J90 R89:R90 V89:W89 J84:J85 R84:R85 V84:W84 J48:J49 R48:R49 V48:W48 J105:J106 R105:R106 V105:W105 J121:J122 R121:R122 V121:W121 J116:J117 R116:R117 V116:W116 J53:J54 R53:R54 V53:W53 J58:J59 R58:R59 V58:W58 J94:J95 R94:R95 V94:W94 J126:J127 R126:R127 V126:W126">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4:N76 N89:N91 N79:N81 N84:N86 N48:N50 N105:N107 N121:N123 N116:N118 N53:N55 N58:N60 N94:N96 N126:N128">
      <formula1>DESCRIPTION_TERRITORY</formula1>
    </dataValidation>
    <dataValidation allowBlank="1" showInputMessage="1" showErrorMessage="1" prompt="Выберите виды деятельности, выполнив двойной щелчок левой кнопки мыши по ячейке." sqref="G100:G113 G114 G13:G62 G74:G98 G116:G1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C4574F-9932-360C-B432-FAE02491D451}" mc:Ignorable="x14ac xr xr2 xr3">
  <dimension ref="A1:I24"/>
  <sheetViews>
    <sheetView topLeftCell="A1" showGridLines="0" zoomScale="90" workbookViewId="0">
      <selection activeCell="A1" sqref="A1"/>
    </sheetView>
  </sheetViews>
  <sheetFormatPr defaultColWidth="9.140625" customHeight="1" defaultRowHeight="11.25"/>
  <cols>
    <col min="1" max="2" style="18891" width="15.00390625" hidden="1" customWidth="1"/>
    <col min="3" max="3" style="18933" width="3.7109375" customWidth="1"/>
    <col min="4" max="4" style="18934" width="6.8515625" customWidth="1"/>
    <col min="5" max="5" style="18933" width="52.28125" customWidth="1"/>
    <col min="6" max="6" style="18933" width="48.8515625" customWidth="1"/>
    <col min="7" max="7" style="18933" width="93.421875" customWidth="1"/>
    <col min="8" max="8" style="18933" width="9.140625"/>
    <col min="9" max="9" style="18933" width="65.00390625" customWidth="1"/>
  </cols>
  <sheetData>
    <row customHeight="1" ht="11.25" hidden="1">
      <c r="A1" s="862" t="s">
        <v>299</v>
      </c>
    </row>
    <row customHeight="1" ht="22.5" hidden="1">
      <c r="A2" s="863"/>
      <c r="B2" s="863"/>
      <c r="C2" s="2096" t="s">
        <v>530</v>
      </c>
      <c r="D2" s="1886"/>
      <c r="E2" s="1892"/>
      <c r="F2" s="1915"/>
      <c r="H2" s="836"/>
    </row>
    <row customHeight="1" ht="11.25" hidden="1"/>
    <row customHeight="1" ht="11.25">
      <c r="A4" s="1916"/>
      <c r="B4" s="1916"/>
    </row>
    <row customHeight="1" ht="26.25">
      <c r="D5" s="251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512"/>
      <c r="F5" s="2513"/>
      <c r="I5" s="1076"/>
    </row>
    <row customHeight="1" ht="17.25">
      <c r="D6" s="2474" t="str">
        <f>IF(region_name=0,"Не определено",region_name)</f>
        <v>Московская область</v>
      </c>
      <c r="E6" s="2474"/>
      <c r="F6" s="2474"/>
      <c r="I6" s="1076"/>
    </row>
    <row s="18851" customFormat="1" customHeight="1" ht="11.25">
      <c r="A7" s="862"/>
      <c r="B7" s="862"/>
      <c r="D7" s="1075"/>
      <c r="E7" s="1075"/>
      <c r="F7" s="1113"/>
      <c r="G7" s="1075"/>
    </row>
    <row customHeight="1" ht="11.25" hidden="1">
      <c r="A8" s="863"/>
      <c r="B8" s="863"/>
      <c r="C8" s="818"/>
      <c r="D8" s="824"/>
      <c r="E8" s="2480"/>
      <c r="F8" s="2480"/>
    </row>
    <row customHeight="1" ht="11.25">
      <c r="A9" s="863"/>
      <c r="B9" s="863"/>
      <c r="C9" s="818"/>
      <c r="D9" s="2477" t="s">
        <v>300</v>
      </c>
      <c r="E9" s="2478"/>
      <c r="F9" s="2478"/>
      <c r="G9" s="2481" t="s">
        <v>301</v>
      </c>
    </row>
    <row customHeight="1" ht="11.25">
      <c r="A10" s="863"/>
      <c r="B10" s="863"/>
      <c r="C10" s="818"/>
      <c r="D10" s="1840" t="s">
        <v>85</v>
      </c>
      <c r="E10" s="1842" t="s">
        <v>302</v>
      </c>
      <c r="F10" s="1842" t="s">
        <v>303</v>
      </c>
      <c r="G10" s="2482"/>
    </row>
    <row customHeight="1" ht="0.75">
      <c r="A11" s="863"/>
      <c r="B11" s="863"/>
      <c r="C11" s="818"/>
      <c r="D11" s="825"/>
      <c r="E11" s="825"/>
      <c r="F11" s="825"/>
      <c r="G11" s="825"/>
    </row>
    <row customHeight="1" ht="22.5">
      <c r="A12" s="863"/>
      <c r="B12" s="863"/>
      <c r="C12" s="818"/>
      <c r="D12" s="1886">
        <v>1</v>
      </c>
      <c r="E12" s="83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2275" t="str">
        <f>IF(org="","",org)</f>
        <v>Филиал "Шатурская ГРЭС" ПАО "Юнипро"</v>
      </c>
      <c r="G12" s="83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899"/>
    </row>
    <row customHeight="1" ht="18.75">
      <c r="A13" s="863"/>
      <c r="B13" s="863"/>
      <c r="C13" s="818"/>
      <c r="D13" s="1886">
        <v>2</v>
      </c>
      <c r="E13" s="1893" t="s">
        <v>1781</v>
      </c>
      <c r="F13" s="1887" t="s">
        <v>306</v>
      </c>
      <c r="G13" s="835"/>
      <c r="H13" s="1899"/>
    </row>
    <row customHeight="1" ht="18.75">
      <c r="A14" s="863"/>
      <c r="B14" s="863"/>
      <c r="C14" s="818"/>
      <c r="D14" s="1889" t="s">
        <v>622</v>
      </c>
      <c r="E14" s="1890" t="s">
        <v>1782</v>
      </c>
      <c r="F14" s="1892"/>
      <c r="G14" s="1891" t="s">
        <v>1783</v>
      </c>
      <c r="H14" s="1899"/>
    </row>
    <row customHeight="1" ht="18.75">
      <c r="A15" s="863"/>
      <c r="B15" s="863"/>
      <c r="C15" s="818"/>
      <c r="D15" s="1889" t="s">
        <v>307</v>
      </c>
      <c r="E15" s="1890" t="s">
        <v>1784</v>
      </c>
      <c r="F15" s="1892"/>
      <c r="G15" s="1891" t="s">
        <v>1785</v>
      </c>
      <c r="H15" s="1899"/>
    </row>
    <row customHeight="1" ht="22.5">
      <c r="A16" s="863"/>
      <c r="B16" s="863"/>
      <c r="C16" s="818"/>
      <c r="D16" s="1889" t="s">
        <v>310</v>
      </c>
      <c r="E16" s="1888" t="s">
        <v>1786</v>
      </c>
      <c r="F16" s="1897"/>
      <c r="G16" s="835" t="s">
        <v>1787</v>
      </c>
      <c r="H16" s="1899"/>
    </row>
    <row customHeight="1" ht="45">
      <c r="A17" s="863"/>
      <c r="B17" s="863"/>
      <c r="C17" s="818"/>
      <c r="D17" s="1886">
        <v>3</v>
      </c>
      <c r="E17" s="1893" t="s">
        <v>1788</v>
      </c>
      <c r="F17" s="1892"/>
      <c r="G17" s="835" t="s">
        <v>1789</v>
      </c>
      <c r="H17" s="1899"/>
    </row>
    <row customHeight="1" ht="45">
      <c r="A18" s="1841">
        <v>1</v>
      </c>
      <c r="B18" s="863"/>
      <c r="C18" s="1843"/>
      <c r="D18" s="1886" t="s">
        <v>88</v>
      </c>
      <c r="E18" s="1893" t="s">
        <v>1790</v>
      </c>
      <c r="F18" s="1892"/>
      <c r="G18" s="835" t="s">
        <v>1789</v>
      </c>
      <c r="H18" s="1899"/>
      <c r="I18" s="1213"/>
    </row>
    <row customHeight="1" ht="22.5">
      <c r="A19" s="863"/>
      <c r="B19" s="863"/>
      <c r="C19" s="818"/>
      <c r="D19" s="1886" t="s">
        <v>108</v>
      </c>
      <c r="E19" s="1893" t="s">
        <v>1791</v>
      </c>
      <c r="F19" s="1887" t="s">
        <v>306</v>
      </c>
      <c r="G19" s="2737" t="s">
        <v>1792</v>
      </c>
      <c r="H19" s="836"/>
    </row>
    <row s="20472" customFormat="1" customHeight="1" ht="5.25" hidden="1">
      <c r="A20" s="863"/>
      <c r="B20" s="863"/>
      <c r="C20" s="1895"/>
      <c r="D20" s="1894" t="s">
        <v>1033</v>
      </c>
      <c r="E20" s="1376"/>
      <c r="F20" s="1375"/>
      <c r="G20" s="2738"/>
    </row>
    <row customHeight="1" ht="15">
      <c r="A21" s="863"/>
      <c r="B21" s="863"/>
      <c r="C21" s="818"/>
      <c r="D21" s="828"/>
      <c r="E21" s="776" t="s">
        <v>339</v>
      </c>
      <c r="F21" s="830"/>
      <c r="G21" s="2739"/>
      <c r="H21" s="1899"/>
    </row>
    <row s="18891" customFormat="1" customHeight="1" ht="24.75">
      <c r="A22" s="863"/>
      <c r="B22" s="863"/>
      <c r="C22" s="863"/>
      <c r="D22" s="1886" t="s">
        <v>89</v>
      </c>
      <c r="E22" s="835" t="s">
        <v>1793</v>
      </c>
      <c r="F22" s="1892"/>
      <c r="G22" s="835" t="s">
        <v>1794</v>
      </c>
      <c r="H22" s="1898"/>
    </row>
    <row s="18891" customFormat="1" customHeight="1" ht="18.75">
      <c r="A23" s="863"/>
      <c r="B23" s="863"/>
      <c r="C23" s="863"/>
      <c r="D23" s="1886" t="s">
        <v>90</v>
      </c>
      <c r="E23" s="1893" t="s">
        <v>1795</v>
      </c>
      <c r="F23" s="1897"/>
      <c r="G23" s="835" t="s">
        <v>1796</v>
      </c>
      <c r="H23" s="1898"/>
    </row>
    <row s="18891" customFormat="1" customHeight="1" ht="144" hidden="1">
      <c r="A24" s="863"/>
      <c r="B24" s="863"/>
      <c r="C24" s="863"/>
      <c r="D24" s="1886" t="s">
        <v>109</v>
      </c>
      <c r="E24" s="2264"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2265"/>
      <c r="G24" s="2263"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898"/>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9744C5-70E5-FB02-EB2B-25D3582EBC0A}" mc:Ignorable="x14ac xr xr2 xr3">
  <dimension ref="A1:IT23"/>
  <sheetViews>
    <sheetView topLeftCell="A1" showGridLines="0" zoomScale="90" workbookViewId="0">
      <selection activeCell="A1" sqref="A1"/>
    </sheetView>
  </sheetViews>
  <sheetFormatPr defaultColWidth="9.140625" customHeight="1" defaultRowHeight="14.25"/>
  <cols>
    <col min="1" max="1" style="19232" width="9.140625" hidden="1"/>
    <col min="2" max="2" style="19146" width="9.140625" hidden="1"/>
    <col min="3" max="3" style="19232" width="3.7109375" hidden="1" customWidth="1"/>
    <col min="4" max="4" style="19000" width="3.8515625" customWidth="1"/>
    <col min="5" max="5" style="19232" width="6.28125" customWidth="1"/>
    <col min="6" max="6" style="19232" width="46.7109375" customWidth="1"/>
    <col min="7" max="8" style="19232" width="16.7109375" customWidth="1"/>
    <col min="9" max="9" style="19232" width="35.28125" customWidth="1"/>
    <col min="10" max="10" style="19232" width="89.57421875" customWidth="1"/>
    <col min="11" max="11" style="20497" width="3.7109375" customWidth="1"/>
    <col min="12" max="14" style="20497" width="9.140625"/>
    <col min="15" max="15" style="18487" width="25.7109375" customWidth="1"/>
    <col min="16" max="16" style="20497" width="14.421875" customWidth="1"/>
    <col min="17" max="20" style="18488" width="9.140625"/>
    <col min="21" max="254" style="19232" width="9.140625"/>
  </cols>
  <sheetData>
    <row customHeight="1" ht="14.25" hidden="1"/>
    <row s="18455" customFormat="1" customHeight="1" ht="22.5" hidden="1">
      <c r="A2" s="1192"/>
      <c r="B2" s="1523">
        <v>1</v>
      </c>
      <c r="C2" s="1523"/>
      <c r="D2" s="2292" t="s">
        <v>530</v>
      </c>
      <c r="E2" s="1850"/>
      <c r="F2" s="1857"/>
      <c r="G2" s="1857"/>
      <c r="H2" s="1857"/>
      <c r="I2" s="1904"/>
      <c r="J2" s="589"/>
      <c r="K2" s="1901"/>
      <c r="L2" s="872"/>
      <c r="M2" s="872"/>
      <c r="N2" s="861" t="str">
        <f t="array" ref="N2:N2">IF(ISERROR(MATCH(MID(O2,1,250),MID(note_ter,1,250),0)),"n","y")</f>
        <v>n</v>
      </c>
      <c r="O2" s="872"/>
      <c r="P2" s="861" t="str">
        <f>G2&amp;"("&amp;J2&amp;")"</f>
        <v>()</v>
      </c>
      <c r="Q2" s="1523"/>
      <c r="R2" s="1523"/>
      <c r="S2" s="781"/>
      <c r="T2" s="1523"/>
      <c r="U2" s="1523"/>
      <c r="V2" s="1523"/>
      <c r="W2" s="783"/>
      <c r="X2" s="783"/>
      <c r="Y2" s="780"/>
      <c r="Z2" s="780"/>
      <c r="AA2" s="780"/>
      <c r="AB2" s="780"/>
      <c r="AC2" s="780"/>
      <c r="AD2" s="780"/>
      <c r="AE2" s="780"/>
      <c r="AF2" s="780"/>
      <c r="AG2" s="780"/>
      <c r="AH2" s="780"/>
      <c r="AI2" s="780"/>
      <c r="AJ2" s="780"/>
      <c r="AK2" s="780"/>
      <c r="AL2" s="780"/>
      <c r="AM2" s="780"/>
      <c r="AN2" s="780"/>
      <c r="AO2" s="780"/>
      <c r="AP2" s="780"/>
      <c r="AQ2" s="780"/>
      <c r="AR2" s="780"/>
      <c r="AS2" s="780"/>
      <c r="AT2" s="780"/>
      <c r="AU2" s="780"/>
      <c r="AV2" s="780"/>
      <c r="AW2" s="780"/>
      <c r="AX2" s="780"/>
      <c r="AY2" s="780"/>
      <c r="AZ2" s="780"/>
      <c r="BA2" s="780"/>
      <c r="BB2" s="780"/>
      <c r="BC2" s="780"/>
      <c r="BD2" s="780"/>
      <c r="BE2" s="780"/>
      <c r="BF2" s="780"/>
      <c r="BG2" s="780"/>
      <c r="BH2" s="780"/>
      <c r="BI2" s="780"/>
      <c r="BJ2" s="780"/>
      <c r="BK2" s="780"/>
      <c r="BL2" s="780"/>
      <c r="BM2" s="780"/>
      <c r="BN2" s="780"/>
      <c r="BO2" s="780"/>
      <c r="BP2" s="780"/>
      <c r="BQ2" s="780"/>
      <c r="BR2" s="780"/>
      <c r="BS2" s="780"/>
      <c r="BT2" s="783"/>
      <c r="BU2" s="783"/>
      <c r="BV2" s="783"/>
      <c r="BW2" s="783"/>
      <c r="BX2" s="783"/>
      <c r="BY2" s="783"/>
      <c r="BZ2" s="783"/>
      <c r="CA2" s="783"/>
      <c r="CB2" s="783"/>
      <c r="CC2" s="783"/>
    </row>
    <row s="19219" customFormat="1" customHeight="1" ht="5.25" hidden="1">
      <c r="A3" s="857"/>
      <c r="D3" s="855"/>
      <c r="F3" s="608" t="s">
        <v>80</v>
      </c>
      <c r="G3" s="855" t="s">
        <v>81</v>
      </c>
      <c r="H3" s="855"/>
      <c r="I3" s="855"/>
      <c r="J3" s="588" t="s">
        <v>82</v>
      </c>
      <c r="K3" s="608" t="s">
        <v>80</v>
      </c>
      <c r="L3" s="608"/>
      <c r="M3" s="608"/>
      <c r="N3" s="608"/>
      <c r="O3" s="609"/>
      <c r="P3" s="608"/>
      <c r="Q3" s="608"/>
      <c r="R3" s="608"/>
      <c r="S3" s="608"/>
      <c r="T3" s="608"/>
      <c r="U3" s="588"/>
      <c r="V3" s="588"/>
      <c r="W3" s="588"/>
      <c r="X3" s="588"/>
      <c r="Y3" s="588"/>
      <c r="Z3" s="588"/>
      <c r="AA3" s="588"/>
      <c r="AB3" s="588"/>
      <c r="AC3" s="588"/>
      <c r="AD3" s="588"/>
      <c r="AE3" s="588"/>
      <c r="AF3" s="588"/>
      <c r="AG3" s="588"/>
      <c r="AH3" s="588"/>
      <c r="AI3" s="588"/>
      <c r="AJ3" s="588"/>
      <c r="AK3" s="588"/>
      <c r="AL3" s="588"/>
      <c r="AM3" s="588"/>
      <c r="AN3" s="588"/>
      <c r="AO3" s="588"/>
      <c r="AP3" s="588"/>
      <c r="AQ3" s="588"/>
      <c r="AR3" s="588"/>
      <c r="AS3" s="588"/>
      <c r="AT3" s="588"/>
      <c r="AU3" s="588"/>
      <c r="AV3" s="588"/>
      <c r="AW3" s="588"/>
      <c r="AX3" s="588"/>
      <c r="AY3" s="588"/>
      <c r="AZ3" s="588"/>
      <c r="BA3" s="588"/>
      <c r="BB3" s="588"/>
      <c r="BC3" s="588"/>
      <c r="BD3" s="588"/>
      <c r="BE3" s="588"/>
      <c r="BF3" s="588"/>
      <c r="BG3" s="588"/>
      <c r="BH3" s="588"/>
      <c r="BI3" s="588"/>
      <c r="BJ3" s="588"/>
      <c r="BK3" s="588"/>
      <c r="BL3" s="588"/>
      <c r="BM3" s="588"/>
      <c r="BN3" s="588"/>
      <c r="BO3" s="588"/>
      <c r="BP3" s="588"/>
      <c r="BQ3" s="588"/>
      <c r="BR3" s="588"/>
      <c r="BS3" s="588"/>
      <c r="BT3" s="588"/>
      <c r="BU3" s="588"/>
      <c r="BV3" s="588"/>
      <c r="BW3" s="588"/>
      <c r="BX3" s="588"/>
      <c r="BY3" s="588"/>
      <c r="BZ3" s="588"/>
      <c r="CA3" s="588"/>
      <c r="CB3" s="588"/>
      <c r="CC3" s="588"/>
      <c r="CD3" s="588"/>
      <c r="CE3" s="588"/>
      <c r="CF3" s="588"/>
      <c r="CG3" s="588"/>
      <c r="CH3" s="588"/>
      <c r="CI3" s="588"/>
      <c r="CJ3" s="588"/>
      <c r="CK3" s="588"/>
      <c r="CL3" s="588"/>
      <c r="CM3" s="588"/>
      <c r="CN3" s="588"/>
      <c r="CO3" s="588"/>
      <c r="CP3" s="588"/>
      <c r="CQ3" s="588"/>
      <c r="CR3" s="588"/>
      <c r="CS3" s="588"/>
      <c r="CT3" s="588"/>
      <c r="CU3" s="588"/>
      <c r="CV3" s="588"/>
      <c r="CW3" s="588"/>
      <c r="CX3" s="588"/>
      <c r="CY3" s="588"/>
      <c r="CZ3" s="588"/>
      <c r="DA3" s="588"/>
      <c r="DB3" s="588"/>
      <c r="DC3" s="588"/>
      <c r="DD3" s="588"/>
      <c r="DE3" s="588"/>
      <c r="DF3" s="588"/>
      <c r="DG3" s="588"/>
      <c r="DH3" s="588"/>
      <c r="DI3" s="588"/>
      <c r="DJ3" s="588"/>
      <c r="DK3" s="588"/>
      <c r="DL3" s="588"/>
      <c r="DM3" s="588"/>
      <c r="DN3" s="588"/>
      <c r="DO3" s="588"/>
      <c r="DP3" s="588"/>
      <c r="DQ3" s="588"/>
      <c r="DR3" s="588"/>
      <c r="DS3" s="588"/>
      <c r="DT3" s="588"/>
      <c r="DU3" s="588"/>
      <c r="DV3" s="588"/>
      <c r="DW3" s="588"/>
      <c r="DX3" s="588"/>
      <c r="DY3" s="588"/>
      <c r="DZ3" s="588"/>
      <c r="EA3" s="588"/>
      <c r="EB3" s="588"/>
      <c r="EC3" s="588"/>
      <c r="ED3" s="588"/>
      <c r="EE3" s="588"/>
      <c r="EF3" s="588"/>
      <c r="EG3" s="588"/>
      <c r="EH3" s="588"/>
      <c r="EI3" s="588"/>
      <c r="EJ3" s="588"/>
      <c r="EK3" s="588"/>
      <c r="EL3" s="588"/>
      <c r="EM3" s="588"/>
      <c r="EN3" s="588"/>
      <c r="EO3" s="588"/>
      <c r="EP3" s="588"/>
      <c r="EQ3" s="588"/>
      <c r="ER3" s="588"/>
      <c r="ES3" s="588"/>
      <c r="ET3" s="588"/>
      <c r="EU3" s="588"/>
      <c r="EV3" s="588"/>
      <c r="EW3" s="588"/>
      <c r="EX3" s="588"/>
      <c r="EY3" s="588"/>
      <c r="EZ3" s="588"/>
      <c r="FA3" s="588"/>
      <c r="FB3" s="588"/>
      <c r="FC3" s="588"/>
      <c r="FD3" s="588"/>
      <c r="FE3" s="588"/>
      <c r="FF3" s="588"/>
      <c r="FG3" s="588"/>
      <c r="FH3" s="588"/>
      <c r="FI3" s="588"/>
      <c r="FJ3" s="588"/>
      <c r="FK3" s="588"/>
      <c r="FL3" s="588"/>
      <c r="FM3" s="588"/>
      <c r="FN3" s="588"/>
      <c r="FO3" s="588"/>
      <c r="FP3" s="588"/>
      <c r="FQ3" s="588"/>
      <c r="FR3" s="588"/>
      <c r="FS3" s="588"/>
      <c r="FT3" s="588"/>
      <c r="FU3" s="588"/>
      <c r="FV3" s="588"/>
      <c r="FW3" s="588"/>
      <c r="FX3" s="588"/>
      <c r="FY3" s="588"/>
      <c r="FZ3" s="588"/>
      <c r="GA3" s="588"/>
      <c r="GB3" s="588"/>
      <c r="GC3" s="588"/>
      <c r="GD3" s="588"/>
      <c r="GE3" s="588"/>
      <c r="GF3" s="588"/>
      <c r="GG3" s="588"/>
      <c r="GH3" s="588"/>
      <c r="GI3" s="588"/>
      <c r="GJ3" s="588"/>
      <c r="GK3" s="588"/>
      <c r="GL3" s="588"/>
      <c r="GM3" s="588"/>
      <c r="GN3" s="588"/>
      <c r="GO3" s="588"/>
      <c r="GP3" s="588"/>
      <c r="GQ3" s="588"/>
      <c r="GR3" s="588"/>
      <c r="GS3" s="588"/>
      <c r="GT3" s="588"/>
      <c r="GU3" s="588"/>
      <c r="GV3" s="588"/>
      <c r="GW3" s="588"/>
      <c r="GX3" s="588"/>
      <c r="GY3" s="588"/>
      <c r="GZ3" s="588"/>
      <c r="HA3" s="588"/>
      <c r="HB3" s="588"/>
      <c r="HC3" s="588"/>
      <c r="HD3" s="588"/>
      <c r="HE3" s="588"/>
      <c r="HF3" s="588"/>
      <c r="HG3" s="588"/>
      <c r="HH3" s="588"/>
      <c r="HI3" s="588"/>
      <c r="HJ3" s="588"/>
      <c r="HK3" s="588"/>
      <c r="HL3" s="588"/>
      <c r="HM3" s="588"/>
      <c r="HN3" s="588"/>
      <c r="HO3" s="588"/>
      <c r="HP3" s="588"/>
      <c r="HQ3" s="588"/>
      <c r="HR3" s="588"/>
      <c r="HS3" s="588"/>
      <c r="HT3" s="588"/>
      <c r="HU3" s="588"/>
      <c r="HV3" s="588"/>
      <c r="HW3" s="588"/>
      <c r="HX3" s="588"/>
      <c r="HY3" s="588"/>
      <c r="HZ3" s="588"/>
      <c r="IA3" s="588"/>
      <c r="IB3" s="588"/>
      <c r="IC3" s="588"/>
      <c r="ID3" s="588"/>
      <c r="IE3" s="588"/>
      <c r="IF3" s="588"/>
      <c r="IG3" s="588"/>
      <c r="IH3" s="588"/>
      <c r="II3" s="588"/>
      <c r="IJ3" s="588"/>
      <c r="IK3" s="588"/>
      <c r="IL3" s="588"/>
      <c r="IM3" s="588"/>
      <c r="IN3" s="588"/>
      <c r="IO3" s="588"/>
      <c r="IP3" s="588"/>
      <c r="IQ3" s="588"/>
      <c r="IR3" s="588"/>
      <c r="IS3" s="588"/>
      <c r="IT3" s="588"/>
    </row>
    <row s="18446" customFormat="1" customHeight="1" ht="14.25">
      <c r="A4" s="1518"/>
      <c r="B4" s="1523"/>
      <c r="C4" s="1518"/>
      <c r="D4" s="1861"/>
      <c r="E4" s="870"/>
      <c r="F4" s="870"/>
      <c r="G4" s="870"/>
      <c r="H4" s="870"/>
      <c r="I4" s="870"/>
      <c r="J4" s="528"/>
      <c r="K4" s="608"/>
      <c r="L4" s="861"/>
      <c r="M4" s="861"/>
      <c r="N4" s="861"/>
      <c r="O4" s="587"/>
      <c r="P4" s="861"/>
      <c r="Q4" s="586"/>
      <c r="R4" s="586"/>
      <c r="S4" s="586"/>
      <c r="T4" s="586"/>
    </row>
    <row s="18446" customFormat="1" customHeight="1" ht="25.5">
      <c r="A5" s="1518"/>
      <c r="B5" s="1523"/>
      <c r="C5" s="1518"/>
      <c r="D5" s="1861"/>
      <c r="E5" s="237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375"/>
      <c r="G5" s="2375"/>
      <c r="H5" s="2375"/>
      <c r="I5" s="2375"/>
      <c r="J5" s="2375"/>
      <c r="K5" s="608"/>
      <c r="L5" s="861"/>
      <c r="M5" s="861"/>
      <c r="N5" s="861"/>
      <c r="O5" s="587"/>
      <c r="P5" s="861"/>
      <c r="Q5" s="586"/>
      <c r="R5" s="586"/>
      <c r="S5" s="586"/>
      <c r="T5" s="586"/>
    </row>
    <row s="18446" customFormat="1" customHeight="1" ht="14.25">
      <c r="A6" s="1518"/>
      <c r="B6" s="1523"/>
      <c r="C6" s="1518"/>
      <c r="D6" s="1861"/>
      <c r="E6" s="870"/>
      <c r="F6" s="529"/>
      <c r="G6" s="529"/>
      <c r="H6" s="529"/>
      <c r="I6" s="529"/>
      <c r="J6" s="530"/>
      <c r="K6" s="861"/>
      <c r="L6" s="861"/>
      <c r="M6" s="861"/>
      <c r="N6" s="861"/>
      <c r="O6" s="587"/>
      <c r="P6" s="861"/>
      <c r="Q6" s="586"/>
      <c r="R6" s="586"/>
      <c r="S6" s="586"/>
      <c r="T6" s="586"/>
    </row>
    <row s="18446" customFormat="1" customHeight="1" ht="14.25">
      <c r="A7" s="1518"/>
      <c r="B7" s="1523"/>
      <c r="C7" s="1518"/>
      <c r="D7" s="1861"/>
      <c r="E7" s="2376" t="s">
        <v>300</v>
      </c>
      <c r="F7" s="2377"/>
      <c r="G7" s="2377"/>
      <c r="H7" s="2377"/>
      <c r="I7" s="2377"/>
      <c r="J7" s="2740" t="s">
        <v>301</v>
      </c>
      <c r="K7" s="861"/>
      <c r="L7" s="861"/>
      <c r="M7" s="861"/>
      <c r="N7" s="861"/>
      <c r="O7" s="587"/>
      <c r="P7" s="861"/>
      <c r="Q7" s="586"/>
      <c r="R7" s="586"/>
      <c r="S7" s="586"/>
      <c r="T7" s="586"/>
    </row>
    <row s="18446" customFormat="1" customHeight="1" ht="20.25">
      <c r="A8" s="1518"/>
      <c r="B8" s="1523"/>
      <c r="C8" s="1518"/>
      <c r="D8" s="1861"/>
      <c r="E8" s="1914" t="s">
        <v>85</v>
      </c>
      <c r="F8" s="1906" t="s">
        <v>1797</v>
      </c>
      <c r="G8" s="1906" t="s">
        <v>46</v>
      </c>
      <c r="H8" s="1906" t="s">
        <v>48</v>
      </c>
      <c r="I8" s="1906" t="s">
        <v>1798</v>
      </c>
      <c r="J8" s="2741"/>
      <c r="K8" s="861"/>
      <c r="L8" s="861"/>
      <c r="M8" s="861"/>
      <c r="N8" s="861"/>
      <c r="O8" s="587"/>
      <c r="P8" s="861"/>
      <c r="Q8" s="586"/>
      <c r="R8" s="586"/>
      <c r="S8" s="586"/>
      <c r="T8" s="586"/>
    </row>
    <row s="18455" customFormat="1" customHeight="1" ht="22.5">
      <c r="A9" s="2374"/>
      <c r="B9" s="1523">
        <v>1</v>
      </c>
      <c r="C9" s="1523"/>
      <c r="D9" s="1162"/>
      <c r="E9" s="1850">
        <v>1</v>
      </c>
      <c r="F9" s="1913"/>
      <c r="G9" s="1857"/>
      <c r="H9" s="1857"/>
      <c r="I9" s="1904"/>
      <c r="J9" s="243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901"/>
      <c r="L9" s="872"/>
      <c r="M9" s="872"/>
      <c r="N9" s="861" t="str">
        <f t="array" ref="N9:N9">IF(ISERROR(MATCH(MID(O9,1,250),MID(note_ter,1,250),0)),"n","y")</f>
        <v>n</v>
      </c>
      <c r="O9" s="872"/>
      <c r="P9" s="86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523"/>
      <c r="R9" s="1523"/>
      <c r="S9" s="781"/>
      <c r="T9" s="1523"/>
      <c r="U9" s="1523"/>
      <c r="V9" s="1523"/>
      <c r="W9" s="783"/>
      <c r="X9" s="783"/>
      <c r="Y9" s="780"/>
      <c r="Z9" s="780"/>
      <c r="AA9" s="780"/>
      <c r="AB9" s="780"/>
      <c r="AC9" s="780"/>
      <c r="AD9" s="780"/>
      <c r="AE9" s="780"/>
      <c r="AF9" s="780"/>
      <c r="AG9" s="780"/>
      <c r="AH9" s="780"/>
      <c r="AI9" s="780"/>
      <c r="AJ9" s="780"/>
      <c r="AK9" s="780"/>
      <c r="AL9" s="780"/>
      <c r="AM9" s="780"/>
      <c r="AN9" s="780"/>
      <c r="AO9" s="780"/>
      <c r="AP9" s="780"/>
      <c r="AQ9" s="780"/>
      <c r="AR9" s="780"/>
      <c r="AS9" s="780"/>
      <c r="AT9" s="780"/>
      <c r="AU9" s="780"/>
      <c r="AV9" s="780"/>
      <c r="AW9" s="780"/>
      <c r="AX9" s="780"/>
      <c r="AY9" s="780"/>
      <c r="AZ9" s="780"/>
      <c r="BA9" s="780"/>
      <c r="BB9" s="780"/>
      <c r="BC9" s="780"/>
      <c r="BD9" s="780"/>
      <c r="BE9" s="780"/>
      <c r="BF9" s="780"/>
      <c r="BG9" s="780"/>
      <c r="BH9" s="780"/>
      <c r="BI9" s="780"/>
      <c r="BJ9" s="780"/>
      <c r="BK9" s="780"/>
      <c r="BL9" s="780"/>
      <c r="BM9" s="780"/>
      <c r="BN9" s="780"/>
      <c r="BO9" s="780"/>
      <c r="BP9" s="780"/>
      <c r="BQ9" s="780"/>
      <c r="BR9" s="780"/>
      <c r="BS9" s="780"/>
      <c r="BT9" s="783"/>
      <c r="BU9" s="783"/>
      <c r="BV9" s="783"/>
      <c r="BW9" s="783"/>
      <c r="BX9" s="783"/>
      <c r="BY9" s="783"/>
      <c r="BZ9" s="783"/>
      <c r="CA9" s="783"/>
      <c r="CB9" s="783"/>
      <c r="CC9" s="783"/>
    </row>
    <row s="18455" customFormat="1" customHeight="1" ht="15">
      <c r="A10" s="2374"/>
      <c r="B10" s="1523"/>
      <c r="C10" s="773"/>
      <c r="D10" s="1162"/>
      <c r="E10" s="1907"/>
      <c r="F10" s="1866" t="s">
        <v>1799</v>
      </c>
      <c r="G10" s="1908"/>
      <c r="H10" s="1908"/>
      <c r="I10" s="2266"/>
      <c r="J10" s="2438"/>
      <c r="K10" s="1902"/>
      <c r="L10" s="872"/>
      <c r="M10" s="872"/>
      <c r="N10" s="872"/>
      <c r="O10" s="861"/>
      <c r="P10" s="872"/>
      <c r="Q10" s="1523"/>
      <c r="R10" s="1523"/>
      <c r="S10" s="781"/>
      <c r="T10" s="1523"/>
      <c r="U10" s="1523"/>
      <c r="V10" s="1523"/>
      <c r="W10" s="783"/>
      <c r="X10" s="783"/>
      <c r="Y10" s="780"/>
      <c r="Z10" s="780"/>
      <c r="AA10" s="780"/>
      <c r="AB10" s="780"/>
      <c r="AC10" s="780"/>
      <c r="AD10" s="780"/>
      <c r="AE10" s="780"/>
      <c r="AF10" s="780"/>
      <c r="AG10" s="780"/>
      <c r="AH10" s="780"/>
      <c r="AI10" s="780"/>
      <c r="AJ10" s="780"/>
      <c r="AK10" s="780"/>
      <c r="AL10" s="780"/>
      <c r="AM10" s="780"/>
      <c r="AN10" s="780"/>
      <c r="AO10" s="780"/>
      <c r="AP10" s="780"/>
      <c r="AQ10" s="780"/>
      <c r="AR10" s="780"/>
      <c r="AS10" s="780"/>
      <c r="AT10" s="780"/>
      <c r="AU10" s="780"/>
      <c r="AV10" s="780"/>
      <c r="AW10" s="780"/>
      <c r="AX10" s="780"/>
      <c r="AY10" s="780"/>
      <c r="AZ10" s="780"/>
      <c r="BA10" s="780"/>
      <c r="BB10" s="780"/>
      <c r="BC10" s="780"/>
      <c r="BD10" s="780"/>
      <c r="BE10" s="780"/>
      <c r="BF10" s="780"/>
      <c r="BG10" s="780"/>
      <c r="BH10" s="780"/>
      <c r="BI10" s="780"/>
      <c r="BJ10" s="780"/>
      <c r="BK10" s="780"/>
      <c r="BL10" s="780"/>
      <c r="BM10" s="780"/>
      <c r="BN10" s="780"/>
      <c r="BO10" s="780"/>
      <c r="BP10" s="780"/>
      <c r="BQ10" s="780"/>
      <c r="BR10" s="780"/>
      <c r="BS10" s="780"/>
      <c r="BT10" s="783"/>
      <c r="BU10" s="783"/>
      <c r="BV10" s="783"/>
      <c r="BW10" s="783"/>
      <c r="BX10" s="783"/>
      <c r="BY10" s="783"/>
      <c r="BZ10" s="783"/>
      <c r="CA10" s="783"/>
      <c r="CB10" s="783"/>
      <c r="CC10" s="783"/>
    </row>
    <row s="18446" customFormat="1" customHeight="1" ht="21">
      <c r="A11" s="1518"/>
      <c r="B11" s="1523"/>
      <c r="C11" s="1518"/>
      <c r="D11" s="812"/>
      <c r="E11" s="542"/>
      <c r="F11" s="542"/>
      <c r="G11" s="542"/>
      <c r="H11" s="542"/>
      <c r="I11" s="542"/>
      <c r="J11" s="542"/>
      <c r="K11" s="861"/>
      <c r="L11" s="861"/>
      <c r="M11" s="861"/>
      <c r="N11" s="861"/>
      <c r="O11" s="587"/>
      <c r="P11" s="861"/>
      <c r="Q11" s="586"/>
      <c r="R11" s="586"/>
      <c r="S11" s="586"/>
      <c r="T11" s="586"/>
    </row>
    <row s="18446" customFormat="1" customHeight="1" ht="14.25">
      <c r="A12" s="1518"/>
      <c r="B12" s="1523"/>
      <c r="C12" s="1518"/>
      <c r="D12" s="812"/>
      <c r="E12" s="1518"/>
      <c r="F12" s="1518"/>
      <c r="G12" s="1518"/>
      <c r="H12" s="1518"/>
      <c r="I12" s="1518"/>
      <c r="J12" s="1518"/>
      <c r="K12" s="861"/>
      <c r="L12" s="861"/>
      <c r="M12" s="861"/>
      <c r="N12" s="861"/>
      <c r="O12" s="587"/>
      <c r="P12" s="861"/>
      <c r="Q12" s="586"/>
      <c r="R12" s="586"/>
      <c r="S12" s="586"/>
      <c r="T12" s="586"/>
    </row>
    <row s="18446" customFormat="1" customHeight="1" ht="0.75">
      <c r="A13" s="1518"/>
      <c r="B13" s="1523"/>
      <c r="C13" s="1518"/>
      <c r="D13" s="812"/>
      <c r="E13" s="1518"/>
      <c r="F13" s="1518"/>
      <c r="G13" s="1518"/>
      <c r="H13" s="1518"/>
      <c r="I13" s="1518"/>
      <c r="J13" s="1518"/>
      <c r="K13" s="861"/>
      <c r="L13" s="861"/>
      <c r="M13" s="861"/>
      <c r="N13" s="861"/>
      <c r="O13" s="587"/>
      <c r="P13" s="861"/>
      <c r="Q13" s="586"/>
      <c r="R13" s="586"/>
      <c r="S13" s="586"/>
      <c r="T13" s="586"/>
    </row>
    <row s="18478" customFormat="1" customHeight="1" ht="10.5">
      <c r="B14" s="1195"/>
      <c r="D14" s="544"/>
      <c r="K14" s="861"/>
      <c r="L14" s="861"/>
      <c r="M14" s="861"/>
      <c r="N14" s="861"/>
      <c r="O14" s="587"/>
      <c r="P14" s="861"/>
      <c r="Q14" s="586"/>
      <c r="R14" s="586"/>
      <c r="S14" s="586"/>
      <c r="T14" s="586"/>
    </row>
    <row s="18478" customFormat="1" customHeight="1" ht="10.5">
      <c r="B15" s="1195"/>
      <c r="D15" s="544"/>
      <c r="K15" s="861"/>
      <c r="L15" s="861"/>
      <c r="M15" s="861"/>
      <c r="N15" s="861"/>
      <c r="O15" s="587"/>
      <c r="P15" s="861"/>
      <c r="Q15" s="586"/>
      <c r="R15" s="586"/>
      <c r="S15" s="586"/>
      <c r="T15" s="586"/>
    </row>
    <row r="19" customHeight="1" ht="14.25">
      <c r="G19" s="734"/>
      <c r="H19" s="734"/>
      <c r="I19" s="734"/>
    </row>
    <row r="23" customHeight="1" ht="14.25">
      <c r="K23" s="1518"/>
      <c r="L23" s="1518"/>
      <c r="M23" s="1518"/>
    </row>
  </sheetData>
  <sheetProtection formatColumns="0" formatRows="0" autoFilter="0" sort="0" insertRows="0" insertColumns="1" deleteRows="0" deleteColumns="0"/>
  <mergeCells count="5">
    <mergeCell ref="E5:J5"/>
    <mergeCell ref="A9:A10"/>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CEB5BA-09C2-AA48-3218-D49955797FBD}" mc:Ignorable="x14ac xr xr2 xr3">
  <dimension ref="A1:IV14"/>
  <sheetViews>
    <sheetView topLeftCell="A1" showGridLines="0" zoomScale="90" workbookViewId="0">
      <selection activeCell="A1" sqref="A1"/>
    </sheetView>
  </sheetViews>
  <sheetFormatPr defaultColWidth="9.140625" customHeight="1" defaultRowHeight="14.25"/>
  <cols>
    <col min="1" max="1" style="19232" width="9.140625" hidden="1"/>
    <col min="2" max="2" style="19146" width="9.140625" hidden="1"/>
    <col min="3" max="3" style="19232" width="3.7109375" hidden="1" customWidth="1"/>
    <col min="4" max="4" style="19000" width="3.8515625" customWidth="1"/>
    <col min="5" max="5" style="19232" width="6.28125" customWidth="1"/>
    <col min="6" max="6" style="19232" width="27.28125" customWidth="1"/>
    <col min="7" max="7" style="19232" width="16.7109375" customWidth="1"/>
    <col min="8" max="8" style="19232" width="12.7109375" customWidth="1"/>
    <col min="9" max="9" style="19232" width="32.140625" customWidth="1"/>
    <col min="10" max="11" style="19232" width="41.8515625" customWidth="1"/>
    <col min="12" max="12" style="19232" width="89.57421875" customWidth="1"/>
    <col min="13" max="13" style="20497" width="3.7109375" customWidth="1"/>
    <col min="14" max="16" style="20497" width="9.140625"/>
    <col min="17" max="17" style="18487" width="25.7109375" customWidth="1"/>
    <col min="18" max="18" style="20497" width="14.421875" customWidth="1"/>
    <col min="19" max="22" style="18488" width="9.140625"/>
    <col min="23" max="256" style="19232" width="9.140625"/>
  </cols>
  <sheetData>
    <row customHeight="1" ht="14.25" hidden="1"/>
    <row s="18455" customFormat="1" customHeight="1" ht="22.5" hidden="1">
      <c r="A2" s="1192"/>
      <c r="B2" s="1523">
        <v>1</v>
      </c>
      <c r="C2" s="1523"/>
      <c r="D2" s="2293" t="s">
        <v>530</v>
      </c>
      <c r="E2" s="2256"/>
      <c r="F2" s="2259" t="str">
        <f>IF(ROIV_INFO_NAME="","",ROIV_INFO_NAME)</f>
        <v>Филиал "Шатурская ГРЭС" ПАО "Юнипро"</v>
      </c>
      <c r="G2" s="2284" t="s">
        <v>24</v>
      </c>
      <c r="H2" s="2283"/>
      <c r="I2" s="1904"/>
      <c r="J2" s="1179"/>
      <c r="K2" s="1179"/>
      <c r="L2" s="589"/>
      <c r="M2" s="1901">
        <f>MERGEVALUE(F2)</f>
      </c>
      <c r="N2" s="872"/>
      <c r="O2" s="872"/>
      <c r="P2" s="861" t="str">
        <f t="array" ref="P2:P2">IF(ISERROR(MATCH(MID(Q2,1,250),MID(note_ter,1,250),0)),"n","y")</f>
        <v>n</v>
      </c>
      <c r="Q2" s="872"/>
      <c r="R2" s="861" t="str">
        <f>G2&amp;"("&amp;L2&amp;")"</f>
        <v>()</v>
      </c>
      <c r="S2" s="1523"/>
      <c r="T2" s="1523"/>
      <c r="U2" s="781"/>
      <c r="V2" s="1523"/>
      <c r="W2" s="1523"/>
      <c r="X2" s="1523"/>
      <c r="Y2" s="783"/>
      <c r="Z2" s="783"/>
      <c r="AA2" s="780"/>
      <c r="AB2" s="780"/>
      <c r="AC2" s="780"/>
      <c r="AD2" s="780"/>
      <c r="AE2" s="780"/>
      <c r="AF2" s="780"/>
      <c r="AG2" s="780"/>
      <c r="AH2" s="780"/>
      <c r="AI2" s="780"/>
      <c r="AJ2" s="780"/>
      <c r="AK2" s="780"/>
      <c r="AL2" s="780"/>
      <c r="AM2" s="780"/>
      <c r="AN2" s="780"/>
      <c r="AO2" s="780"/>
      <c r="AP2" s="780"/>
      <c r="AQ2" s="780"/>
      <c r="AR2" s="780"/>
      <c r="AS2" s="780"/>
      <c r="AT2" s="780"/>
      <c r="AU2" s="780"/>
      <c r="AV2" s="780"/>
      <c r="AW2" s="780"/>
      <c r="AX2" s="780"/>
      <c r="AY2" s="780"/>
      <c r="AZ2" s="780"/>
      <c r="BA2" s="780"/>
      <c r="BB2" s="780"/>
      <c r="BC2" s="780"/>
      <c r="BD2" s="780"/>
      <c r="BE2" s="780"/>
      <c r="BF2" s="780"/>
      <c r="BG2" s="780"/>
      <c r="BH2" s="780"/>
      <c r="BI2" s="780"/>
      <c r="BJ2" s="780"/>
      <c r="BK2" s="780"/>
      <c r="BL2" s="780"/>
      <c r="BM2" s="780"/>
      <c r="BN2" s="780"/>
      <c r="BO2" s="780"/>
      <c r="BP2" s="780"/>
      <c r="BQ2" s="780"/>
      <c r="BR2" s="780"/>
      <c r="BS2" s="780"/>
      <c r="BT2" s="780"/>
      <c r="BU2" s="780"/>
      <c r="BV2" s="783"/>
      <c r="BW2" s="783"/>
      <c r="BX2" s="783"/>
      <c r="BY2" s="783"/>
      <c r="BZ2" s="783"/>
      <c r="CA2" s="783"/>
      <c r="CB2" s="783"/>
      <c r="CC2" s="783"/>
      <c r="CD2" s="783"/>
      <c r="CE2" s="783"/>
    </row>
    <row s="19219" customFormat="1" customHeight="1" ht="5.25" hidden="1">
      <c r="A3" s="857"/>
      <c r="D3" s="855"/>
      <c r="F3" s="608" t="s">
        <v>80</v>
      </c>
      <c r="G3" s="2101" t="s">
        <v>81</v>
      </c>
      <c r="H3" s="855"/>
      <c r="I3" s="855"/>
      <c r="J3" s="855"/>
      <c r="K3" s="855"/>
      <c r="L3" s="588" t="s">
        <v>82</v>
      </c>
      <c r="M3" s="608" t="s">
        <v>80</v>
      </c>
      <c r="N3" s="608"/>
      <c r="O3" s="608"/>
      <c r="P3" s="608"/>
      <c r="Q3" s="609"/>
      <c r="R3" s="608"/>
      <c r="S3" s="608"/>
      <c r="T3" s="608"/>
      <c r="U3" s="608"/>
      <c r="V3" s="608"/>
      <c r="W3" s="588"/>
      <c r="X3" s="588"/>
      <c r="Y3" s="588"/>
      <c r="Z3" s="588"/>
      <c r="AA3" s="588"/>
      <c r="AB3" s="588"/>
      <c r="AC3" s="588"/>
      <c r="AD3" s="588"/>
      <c r="AE3" s="588"/>
      <c r="AF3" s="588"/>
      <c r="AG3" s="588"/>
      <c r="AH3" s="588"/>
      <c r="AI3" s="588"/>
      <c r="AJ3" s="588"/>
      <c r="AK3" s="588"/>
      <c r="AL3" s="588"/>
      <c r="AM3" s="588"/>
      <c r="AN3" s="588"/>
      <c r="AO3" s="588"/>
      <c r="AP3" s="588"/>
      <c r="AQ3" s="588"/>
      <c r="AR3" s="588"/>
      <c r="AS3" s="588"/>
      <c r="AT3" s="588"/>
      <c r="AU3" s="588"/>
      <c r="AV3" s="588"/>
      <c r="AW3" s="588"/>
      <c r="AX3" s="588"/>
      <c r="AY3" s="588"/>
      <c r="AZ3" s="588"/>
      <c r="BA3" s="588"/>
      <c r="BB3" s="588"/>
      <c r="BC3" s="588"/>
      <c r="BD3" s="588"/>
      <c r="BE3" s="588"/>
      <c r="BF3" s="588"/>
      <c r="BG3" s="588"/>
      <c r="BH3" s="588"/>
      <c r="BI3" s="588"/>
      <c r="BJ3" s="588"/>
      <c r="BK3" s="588"/>
      <c r="BL3" s="588"/>
      <c r="BM3" s="588"/>
      <c r="BN3" s="588"/>
      <c r="BO3" s="588"/>
      <c r="BP3" s="588"/>
      <c r="BQ3" s="588"/>
      <c r="BR3" s="588"/>
      <c r="BS3" s="588"/>
      <c r="BT3" s="588"/>
      <c r="BU3" s="588"/>
      <c r="BV3" s="588"/>
      <c r="BW3" s="588"/>
      <c r="BX3" s="588"/>
      <c r="BY3" s="588"/>
      <c r="BZ3" s="588"/>
      <c r="CA3" s="588"/>
      <c r="CB3" s="588"/>
      <c r="CC3" s="588"/>
      <c r="CD3" s="588"/>
      <c r="CE3" s="588"/>
      <c r="CF3" s="588"/>
      <c r="CG3" s="588"/>
      <c r="CH3" s="588"/>
      <c r="CI3" s="588"/>
      <c r="CJ3" s="588"/>
      <c r="CK3" s="588"/>
      <c r="CL3" s="588"/>
      <c r="CM3" s="588"/>
      <c r="CN3" s="588"/>
      <c r="CO3" s="588"/>
      <c r="CP3" s="588"/>
      <c r="CQ3" s="588"/>
      <c r="CR3" s="588"/>
      <c r="CS3" s="588"/>
      <c r="CT3" s="588"/>
      <c r="CU3" s="588"/>
      <c r="CV3" s="588"/>
      <c r="CW3" s="588"/>
      <c r="CX3" s="588"/>
      <c r="CY3" s="588"/>
      <c r="CZ3" s="588"/>
      <c r="DA3" s="588"/>
      <c r="DB3" s="588"/>
      <c r="DC3" s="588"/>
      <c r="DD3" s="588"/>
      <c r="DE3" s="588"/>
      <c r="DF3" s="588"/>
      <c r="DG3" s="588"/>
      <c r="DH3" s="588"/>
      <c r="DI3" s="588"/>
      <c r="DJ3" s="588"/>
      <c r="DK3" s="588"/>
      <c r="DL3" s="588"/>
      <c r="DM3" s="588"/>
      <c r="DN3" s="588"/>
      <c r="DO3" s="588"/>
      <c r="DP3" s="588"/>
      <c r="DQ3" s="588"/>
      <c r="DR3" s="588"/>
      <c r="DS3" s="588"/>
      <c r="DT3" s="588"/>
      <c r="DU3" s="588"/>
      <c r="DV3" s="588"/>
      <c r="DW3" s="588"/>
      <c r="DX3" s="588"/>
      <c r="DY3" s="588"/>
      <c r="DZ3" s="588"/>
      <c r="EA3" s="588"/>
      <c r="EB3" s="588"/>
      <c r="EC3" s="588"/>
      <c r="ED3" s="588"/>
      <c r="EE3" s="588"/>
      <c r="EF3" s="588"/>
      <c r="EG3" s="588"/>
      <c r="EH3" s="588"/>
      <c r="EI3" s="588"/>
      <c r="EJ3" s="588"/>
      <c r="EK3" s="588"/>
      <c r="EL3" s="588"/>
      <c r="EM3" s="588"/>
      <c r="EN3" s="588"/>
      <c r="EO3" s="588"/>
      <c r="EP3" s="588"/>
      <c r="EQ3" s="588"/>
      <c r="ER3" s="588"/>
      <c r="ES3" s="588"/>
      <c r="ET3" s="588"/>
      <c r="EU3" s="588"/>
      <c r="EV3" s="588"/>
      <c r="EW3" s="588"/>
      <c r="EX3" s="588"/>
      <c r="EY3" s="588"/>
      <c r="EZ3" s="588"/>
      <c r="FA3" s="588"/>
      <c r="FB3" s="588"/>
      <c r="FC3" s="588"/>
      <c r="FD3" s="588"/>
      <c r="FE3" s="588"/>
      <c r="FF3" s="588"/>
      <c r="FG3" s="588"/>
      <c r="FH3" s="588"/>
      <c r="FI3" s="588"/>
      <c r="FJ3" s="588"/>
      <c r="FK3" s="588"/>
      <c r="FL3" s="588"/>
      <c r="FM3" s="588"/>
      <c r="FN3" s="588"/>
      <c r="FO3" s="588"/>
      <c r="FP3" s="588"/>
      <c r="FQ3" s="588"/>
      <c r="FR3" s="588"/>
      <c r="FS3" s="588"/>
      <c r="FT3" s="588"/>
      <c r="FU3" s="588"/>
      <c r="FV3" s="588"/>
      <c r="FW3" s="588"/>
      <c r="FX3" s="588"/>
      <c r="FY3" s="588"/>
      <c r="FZ3" s="588"/>
      <c r="GA3" s="588"/>
      <c r="GB3" s="588"/>
      <c r="GC3" s="588"/>
      <c r="GD3" s="588"/>
      <c r="GE3" s="588"/>
      <c r="GF3" s="588"/>
      <c r="GG3" s="588"/>
      <c r="GH3" s="588"/>
      <c r="GI3" s="588"/>
      <c r="GJ3" s="588"/>
      <c r="GK3" s="588"/>
      <c r="GL3" s="588"/>
      <c r="GM3" s="588"/>
      <c r="GN3" s="588"/>
      <c r="GO3" s="588"/>
      <c r="GP3" s="588"/>
      <c r="GQ3" s="588"/>
      <c r="GR3" s="588"/>
      <c r="GS3" s="588"/>
      <c r="GT3" s="588"/>
      <c r="GU3" s="588"/>
      <c r="GV3" s="588"/>
      <c r="GW3" s="588"/>
      <c r="GX3" s="588"/>
      <c r="GY3" s="588"/>
      <c r="GZ3" s="588"/>
      <c r="HA3" s="588"/>
      <c r="HB3" s="588"/>
      <c r="HC3" s="588"/>
      <c r="HD3" s="588"/>
      <c r="HE3" s="588"/>
      <c r="HF3" s="588"/>
      <c r="HG3" s="588"/>
      <c r="HH3" s="588"/>
      <c r="HI3" s="588"/>
      <c r="HJ3" s="588"/>
      <c r="HK3" s="588"/>
      <c r="HL3" s="588"/>
      <c r="HM3" s="588"/>
      <c r="HN3" s="588"/>
      <c r="HO3" s="588"/>
      <c r="HP3" s="588"/>
      <c r="HQ3" s="588"/>
      <c r="HR3" s="588"/>
      <c r="HS3" s="588"/>
      <c r="HT3" s="588"/>
      <c r="HU3" s="588"/>
      <c r="HV3" s="588"/>
      <c r="HW3" s="588"/>
      <c r="HX3" s="588"/>
      <c r="HY3" s="588"/>
      <c r="HZ3" s="588"/>
      <c r="IA3" s="588"/>
      <c r="IB3" s="588"/>
      <c r="IC3" s="588"/>
      <c r="ID3" s="588"/>
      <c r="IE3" s="588"/>
      <c r="IF3" s="588"/>
      <c r="IG3" s="588"/>
      <c r="IH3" s="588"/>
      <c r="II3" s="588"/>
      <c r="IJ3" s="588"/>
      <c r="IK3" s="588"/>
      <c r="IL3" s="588"/>
      <c r="IM3" s="588"/>
      <c r="IN3" s="588"/>
      <c r="IO3" s="588"/>
      <c r="IP3" s="588"/>
      <c r="IQ3" s="588"/>
      <c r="IR3" s="588"/>
      <c r="IS3" s="588"/>
      <c r="IT3" s="588"/>
      <c r="IU3" s="588"/>
      <c r="IV3" s="588"/>
    </row>
    <row s="18446" customFormat="1" customHeight="1" ht="14.25">
      <c r="A4" s="1518"/>
      <c r="B4" s="1523"/>
      <c r="C4" s="1518"/>
      <c r="D4" s="1861"/>
      <c r="E4" s="870"/>
      <c r="F4" s="870"/>
      <c r="G4" s="870"/>
      <c r="H4" s="870"/>
      <c r="I4" s="870"/>
      <c r="J4" s="870"/>
      <c r="K4" s="870"/>
      <c r="L4" s="528"/>
      <c r="M4" s="608"/>
      <c r="N4" s="861"/>
      <c r="O4" s="861"/>
      <c r="P4" s="861"/>
      <c r="Q4" s="587"/>
      <c r="R4" s="861"/>
      <c r="S4" s="586"/>
      <c r="T4" s="586"/>
      <c r="U4" s="586"/>
      <c r="V4" s="586"/>
    </row>
    <row s="18446" customFormat="1" customHeight="1" ht="25.5">
      <c r="A5" s="1518"/>
      <c r="B5" s="1523"/>
      <c r="C5" s="1518"/>
      <c r="D5" s="1861"/>
      <c r="E5" s="2375"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375"/>
      <c r="G5" s="2375"/>
      <c r="H5" s="2375"/>
      <c r="I5" s="2375"/>
      <c r="J5" s="2375"/>
      <c r="K5" s="2375"/>
      <c r="L5" s="949"/>
      <c r="M5" s="608"/>
      <c r="N5" s="861"/>
      <c r="O5" s="861"/>
      <c r="P5" s="861"/>
      <c r="Q5" s="587"/>
      <c r="R5" s="861"/>
      <c r="S5" s="586"/>
      <c r="T5" s="586"/>
      <c r="U5" s="586"/>
      <c r="V5" s="586"/>
    </row>
    <row s="18446" customFormat="1" customHeight="1" ht="14.25">
      <c r="A6" s="1518"/>
      <c r="B6" s="1523"/>
      <c r="C6" s="1518"/>
      <c r="D6" s="1861"/>
      <c r="E6" s="870"/>
      <c r="F6" s="529"/>
      <c r="G6" s="529"/>
      <c r="H6" s="529"/>
      <c r="I6" s="529"/>
      <c r="J6" s="529"/>
      <c r="K6" s="529"/>
      <c r="L6" s="530"/>
      <c r="M6" s="861"/>
      <c r="N6" s="861"/>
      <c r="O6" s="861"/>
      <c r="P6" s="861"/>
      <c r="Q6" s="587"/>
      <c r="R6" s="861"/>
      <c r="S6" s="586"/>
      <c r="T6" s="586"/>
      <c r="U6" s="586"/>
      <c r="V6" s="586"/>
    </row>
    <row s="18446" customFormat="1" customHeight="1" ht="14.25">
      <c r="A7" s="1518"/>
      <c r="B7" s="1523"/>
      <c r="C7" s="1518"/>
      <c r="D7" s="1861"/>
      <c r="E7" s="2376" t="s">
        <v>300</v>
      </c>
      <c r="F7" s="2377"/>
      <c r="G7" s="2377"/>
      <c r="H7" s="2377"/>
      <c r="I7" s="2377"/>
      <c r="J7" s="2377"/>
      <c r="K7" s="2377"/>
      <c r="L7" s="2740" t="s">
        <v>301</v>
      </c>
      <c r="M7" s="861"/>
      <c r="N7" s="861"/>
      <c r="O7" s="861"/>
      <c r="P7" s="861"/>
      <c r="Q7" s="587"/>
      <c r="R7" s="861"/>
      <c r="S7" s="586"/>
      <c r="T7" s="586"/>
      <c r="U7" s="586"/>
      <c r="V7" s="586"/>
    </row>
    <row s="18446" customFormat="1" customHeight="1" ht="64.5">
      <c r="A8" s="1518"/>
      <c r="B8" s="1523"/>
      <c r="C8" s="1518"/>
      <c r="D8" s="1861"/>
      <c r="E8" s="2744" t="s">
        <v>85</v>
      </c>
      <c r="F8" s="274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74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747"/>
      <c r="I8" s="2748"/>
      <c r="J8" s="274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74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742"/>
      <c r="M8" s="861"/>
      <c r="N8" s="861"/>
      <c r="O8" s="861"/>
      <c r="P8" s="861"/>
      <c r="Q8" s="587"/>
      <c r="R8" s="861"/>
      <c r="S8" s="586"/>
      <c r="T8" s="586"/>
      <c r="U8" s="586"/>
      <c r="V8" s="586"/>
    </row>
    <row s="18446" customFormat="1" customHeight="1" ht="27.75">
      <c r="A9" s="1518"/>
      <c r="B9" s="1523"/>
      <c r="C9" s="1518"/>
      <c r="D9" s="1861"/>
      <c r="E9" s="2745"/>
      <c r="F9" s="2745"/>
      <c r="G9" s="1903" t="s">
        <v>1800</v>
      </c>
      <c r="H9" s="1903" t="s">
        <v>1801</v>
      </c>
      <c r="I9" s="1903" t="s">
        <v>1802</v>
      </c>
      <c r="J9" s="2745"/>
      <c r="K9" s="2745"/>
      <c r="L9" s="2741"/>
      <c r="M9" s="861"/>
      <c r="N9" s="861"/>
      <c r="O9" s="861"/>
      <c r="P9" s="861"/>
      <c r="Q9" s="587"/>
      <c r="R9" s="861"/>
      <c r="S9" s="586"/>
      <c r="T9" s="586"/>
      <c r="U9" s="586"/>
      <c r="V9" s="586"/>
    </row>
    <row s="18455" customFormat="1" customHeight="1" ht="22.5">
      <c r="A10" s="2374"/>
      <c r="B10" s="1523">
        <v>1</v>
      </c>
      <c r="C10" s="1523"/>
      <c r="D10" s="1161"/>
      <c r="E10" s="1159">
        <v>1</v>
      </c>
      <c r="F10" s="1905" t="str">
        <f>IF(ROIV_INFO_NAME="","",ROIV_INFO_NAME)</f>
        <v>Филиал "Шатурская ГРЭС" ПАО "Юнипро"</v>
      </c>
      <c r="G10" s="2098" t="s">
        <v>24</v>
      </c>
      <c r="H10" s="2283"/>
      <c r="I10" s="1900"/>
      <c r="J10" s="1179"/>
      <c r="K10" s="1179"/>
      <c r="L10" s="271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901">
        <f>MERGEVALUE(F10)</f>
      </c>
      <c r="N10" s="872"/>
      <c r="O10" s="872"/>
      <c r="P10" s="861" t="str">
        <f t="array" ref="P10:P10">IF(ISERROR(MATCH(MID(Q10,1,250),MID(note_ter,1,250),0)),"n","y")</f>
        <v>n</v>
      </c>
      <c r="Q10" s="872"/>
      <c r="R10" s="86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523"/>
      <c r="T10" s="1523"/>
      <c r="U10" s="781"/>
      <c r="V10" s="1523"/>
      <c r="W10" s="1523"/>
      <c r="X10" s="1523"/>
      <c r="Y10" s="783"/>
      <c r="Z10" s="783"/>
      <c r="AA10" s="780"/>
      <c r="AB10" s="780"/>
      <c r="AC10" s="780"/>
      <c r="AD10" s="780"/>
      <c r="AE10" s="780"/>
      <c r="AF10" s="780"/>
      <c r="AG10" s="780"/>
      <c r="AH10" s="780"/>
      <c r="AI10" s="780"/>
      <c r="AJ10" s="780"/>
      <c r="AK10" s="780"/>
      <c r="AL10" s="780"/>
      <c r="AM10" s="780"/>
      <c r="AN10" s="780"/>
      <c r="AO10" s="780"/>
      <c r="AP10" s="780"/>
      <c r="AQ10" s="780"/>
      <c r="AR10" s="780"/>
      <c r="AS10" s="780"/>
      <c r="AT10" s="780"/>
      <c r="AU10" s="780"/>
      <c r="AV10" s="780"/>
      <c r="AW10" s="780"/>
      <c r="AX10" s="780"/>
      <c r="AY10" s="780"/>
      <c r="AZ10" s="780"/>
      <c r="BA10" s="780"/>
      <c r="BB10" s="780"/>
      <c r="BC10" s="780"/>
      <c r="BD10" s="780"/>
      <c r="BE10" s="780"/>
      <c r="BF10" s="780"/>
      <c r="BG10" s="780"/>
      <c r="BH10" s="780"/>
      <c r="BI10" s="780"/>
      <c r="BJ10" s="780"/>
      <c r="BK10" s="780"/>
      <c r="BL10" s="780"/>
      <c r="BM10" s="780"/>
      <c r="BN10" s="780"/>
      <c r="BO10" s="780"/>
      <c r="BP10" s="780"/>
      <c r="BQ10" s="780"/>
      <c r="BR10" s="780"/>
      <c r="BS10" s="780"/>
      <c r="BT10" s="780"/>
      <c r="BU10" s="780"/>
      <c r="BV10" s="783"/>
      <c r="BW10" s="783"/>
      <c r="BX10" s="783"/>
      <c r="BY10" s="783"/>
      <c r="BZ10" s="783"/>
      <c r="CA10" s="783"/>
      <c r="CB10" s="783"/>
      <c r="CC10" s="783"/>
      <c r="CD10" s="783"/>
      <c r="CE10" s="783"/>
    </row>
    <row s="18455" customFormat="1" customHeight="1" ht="15">
      <c r="A11" s="2374"/>
      <c r="B11" s="1523"/>
      <c r="C11" s="773"/>
      <c r="D11" s="1162"/>
      <c r="E11" s="782"/>
      <c r="F11" s="777" t="s">
        <v>1803</v>
      </c>
      <c r="G11" s="548"/>
      <c r="H11" s="548"/>
      <c r="I11" s="548"/>
      <c r="J11" s="548"/>
      <c r="K11" s="785"/>
      <c r="L11" s="2743"/>
      <c r="M11" s="1902"/>
      <c r="N11" s="872"/>
      <c r="O11" s="872"/>
      <c r="P11" s="872"/>
      <c r="Q11" s="861"/>
      <c r="R11" s="872"/>
      <c r="S11" s="1523"/>
      <c r="T11" s="1523"/>
      <c r="U11" s="781"/>
      <c r="V11" s="1523"/>
      <c r="W11" s="1523"/>
      <c r="X11" s="1523"/>
      <c r="Y11" s="783"/>
      <c r="Z11" s="783"/>
      <c r="AA11" s="780"/>
      <c r="AB11" s="780"/>
      <c r="AC11" s="780"/>
      <c r="AD11" s="780"/>
      <c r="AE11" s="780"/>
      <c r="AF11" s="780"/>
      <c r="AG11" s="780"/>
      <c r="AH11" s="780"/>
      <c r="AI11" s="780"/>
      <c r="AJ11" s="780"/>
      <c r="AK11" s="780"/>
      <c r="AL11" s="780"/>
      <c r="AM11" s="780"/>
      <c r="AN11" s="780"/>
      <c r="AO11" s="780"/>
      <c r="AP11" s="780"/>
      <c r="AQ11" s="780"/>
      <c r="AR11" s="780"/>
      <c r="AS11" s="780"/>
      <c r="AT11" s="780"/>
      <c r="AU11" s="780"/>
      <c r="AV11" s="780"/>
      <c r="AW11" s="780"/>
      <c r="AX11" s="780"/>
      <c r="AY11" s="780"/>
      <c r="AZ11" s="780"/>
      <c r="BA11" s="780"/>
      <c r="BB11" s="780"/>
      <c r="BC11" s="780"/>
      <c r="BD11" s="780"/>
      <c r="BE11" s="780"/>
      <c r="BF11" s="780"/>
      <c r="BG11" s="780"/>
      <c r="BH11" s="780"/>
      <c r="BI11" s="780"/>
      <c r="BJ11" s="780"/>
      <c r="BK11" s="780"/>
      <c r="BL11" s="780"/>
      <c r="BM11" s="780"/>
      <c r="BN11" s="780"/>
      <c r="BO11" s="780"/>
      <c r="BP11" s="780"/>
      <c r="BQ11" s="780"/>
      <c r="BR11" s="780"/>
      <c r="BS11" s="780"/>
      <c r="BT11" s="780"/>
      <c r="BU11" s="780"/>
      <c r="BV11" s="783"/>
      <c r="BW11" s="783"/>
      <c r="BX11" s="783"/>
      <c r="BY11" s="783"/>
      <c r="BZ11" s="783"/>
      <c r="CA11" s="783"/>
      <c r="CB11" s="783"/>
      <c r="CC11" s="783"/>
      <c r="CD11" s="783"/>
      <c r="CE11" s="783"/>
    </row>
    <row s="18446" customFormat="1" customHeight="1" ht="21">
      <c r="A12" s="1518"/>
      <c r="B12" s="1523"/>
      <c r="C12" s="1518"/>
      <c r="D12" s="812"/>
      <c r="E12" s="542"/>
      <c r="F12" s="542"/>
      <c r="G12" s="542"/>
      <c r="H12" s="542"/>
      <c r="I12" s="542"/>
      <c r="J12" s="542"/>
      <c r="K12" s="542"/>
      <c r="L12" s="542"/>
      <c r="M12" s="861"/>
      <c r="N12" s="861"/>
      <c r="O12" s="861"/>
      <c r="P12" s="861"/>
      <c r="Q12" s="587"/>
      <c r="R12" s="861"/>
      <c r="S12" s="586"/>
      <c r="T12" s="586"/>
      <c r="U12" s="586"/>
      <c r="V12" s="586"/>
    </row>
    <row s="18446" customFormat="1" customHeight="1" ht="14.25">
      <c r="A13" s="1518"/>
      <c r="B13" s="1523"/>
      <c r="C13" s="1518"/>
      <c r="D13" s="812"/>
      <c r="E13" s="1518"/>
      <c r="F13" s="1518"/>
      <c r="G13" s="1518"/>
      <c r="H13" s="1518"/>
      <c r="I13" s="1518"/>
      <c r="J13" s="1518"/>
      <c r="K13" s="1518"/>
      <c r="L13" s="1518"/>
      <c r="M13" s="861"/>
      <c r="N13" s="861"/>
      <c r="O13" s="861"/>
      <c r="P13" s="861"/>
      <c r="Q13" s="587"/>
      <c r="R13" s="861"/>
      <c r="S13" s="586"/>
      <c r="T13" s="586"/>
      <c r="U13" s="586"/>
      <c r="V13" s="586"/>
    </row>
    <row s="18446" customFormat="1" customHeight="1" ht="0.75">
      <c r="A14" s="1518"/>
      <c r="B14" s="1523"/>
      <c r="C14" s="1518"/>
      <c r="D14" s="812"/>
      <c r="E14" s="1518"/>
      <c r="F14" s="1518"/>
      <c r="G14" s="1518"/>
      <c r="H14" s="1518"/>
      <c r="I14" s="1518"/>
      <c r="J14" s="1518"/>
      <c r="K14" s="1518"/>
      <c r="L14" s="1518"/>
      <c r="M14" s="861"/>
      <c r="N14" s="861"/>
      <c r="O14" s="861"/>
      <c r="P14" s="861"/>
      <c r="Q14" s="587"/>
      <c r="R14" s="861"/>
      <c r="S14" s="586"/>
      <c r="T14" s="586"/>
      <c r="U14" s="586"/>
      <c r="V14" s="586"/>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A46AE1-B50E-8B17-04D8-0A157A3B2FF2}" mc:Ignorable="x14ac xr xr2 xr3">
  <dimension ref="A1:IV14"/>
  <sheetViews>
    <sheetView topLeftCell="A1" showGridLines="0" zoomScale="90" workbookViewId="0">
      <selection activeCell="A1" sqref="A1"/>
    </sheetView>
  </sheetViews>
  <sheetFormatPr defaultColWidth="9.140625" customHeight="1" defaultRowHeight="14.25"/>
  <cols>
    <col min="1" max="1" style="19274" width="9.140625" hidden="1"/>
    <col min="2" max="2" style="19259" width="9.140625" hidden="1"/>
    <col min="3" max="3" style="19274" width="3.7109375" hidden="1" customWidth="1"/>
    <col min="4" max="4" style="20525" width="3.8515625" customWidth="1"/>
    <col min="5" max="5" style="19274" width="6.28125" customWidth="1"/>
    <col min="6" max="6" style="19274" width="27.28125" customWidth="1"/>
    <col min="7" max="7" style="19274" width="16.7109375" customWidth="1"/>
    <col min="8" max="8" style="19274" width="12.7109375" customWidth="1"/>
    <col min="9" max="9" style="19274" width="32.140625" customWidth="1"/>
    <col min="10" max="11" style="19274" width="41.8515625" customWidth="1"/>
    <col min="12" max="12" style="19274" width="89.57421875" customWidth="1"/>
    <col min="13" max="13" style="20526" width="3.7109375" customWidth="1"/>
    <col min="14" max="16" style="20526" width="9.140625"/>
    <col min="17" max="17" style="20526" width="25.7109375" customWidth="1"/>
    <col min="18" max="18" style="20526" width="14.421875" customWidth="1"/>
    <col min="19" max="22" style="18488" width="9.140625"/>
    <col min="23" max="256" style="19274" width="9.140625"/>
  </cols>
  <sheetData>
    <row customHeight="1" ht="14.25" hidden="1"/>
    <row s="20515" customFormat="1" customHeight="1" ht="22.5" hidden="1">
      <c r="A2" s="1192"/>
      <c r="B2" s="1732">
        <v>1</v>
      </c>
      <c r="C2" s="1732"/>
      <c r="D2" s="2294" t="s">
        <v>530</v>
      </c>
      <c r="E2" s="2271"/>
      <c r="F2" s="2273" t="str">
        <f>IF(ROIV_INFO_NAME="","",ROIV_INFO_NAME)</f>
        <v>Филиал "Шатурская ГРЭС" ПАО "Юнипро"</v>
      </c>
      <c r="G2" s="2098" t="s">
        <v>24</v>
      </c>
      <c r="H2" s="2283"/>
      <c r="I2" s="1904"/>
      <c r="J2" s="1179"/>
      <c r="K2" s="1179"/>
      <c r="L2" s="589"/>
      <c r="M2" s="1901">
        <f>MERGEVALUE(F2)</f>
      </c>
      <c r="N2" s="2002"/>
      <c r="O2" s="2002"/>
      <c r="P2" s="1990" t="str">
        <f t="array" ref="P2:P2">IF(ISERROR(MATCH(MID(Q2,1,250),MID(note_ter,1,250),0)),"n","y")</f>
        <v>n</v>
      </c>
      <c r="Q2" s="2002"/>
      <c r="R2" s="1990" t="str">
        <f>G2&amp;"("&amp;L2&amp;")"</f>
        <v>()</v>
      </c>
      <c r="S2" s="1732"/>
      <c r="T2" s="1732"/>
      <c r="U2" s="781"/>
      <c r="V2" s="1732"/>
      <c r="W2" s="1732"/>
      <c r="X2" s="1732"/>
      <c r="Y2" s="1194"/>
      <c r="Z2" s="1194"/>
      <c r="AA2" s="988"/>
      <c r="AB2" s="988"/>
      <c r="AC2" s="988"/>
      <c r="AD2" s="988"/>
      <c r="AE2" s="988"/>
      <c r="AF2" s="988"/>
      <c r="AG2" s="988"/>
      <c r="AH2" s="988"/>
      <c r="AI2" s="988"/>
      <c r="AJ2" s="988"/>
      <c r="AK2" s="988"/>
      <c r="AL2" s="988"/>
      <c r="AM2" s="988"/>
      <c r="AN2" s="988"/>
      <c r="AO2" s="988"/>
      <c r="AP2" s="988"/>
      <c r="AQ2" s="988"/>
      <c r="AR2" s="988"/>
      <c r="AS2" s="988"/>
      <c r="AT2" s="988"/>
      <c r="AU2" s="988"/>
      <c r="AV2" s="988"/>
      <c r="AW2" s="988"/>
      <c r="AX2" s="988"/>
      <c r="AY2" s="988"/>
      <c r="AZ2" s="988"/>
      <c r="BA2" s="988"/>
      <c r="BB2" s="988"/>
      <c r="BC2" s="988"/>
      <c r="BD2" s="988"/>
      <c r="BE2" s="988"/>
      <c r="BF2" s="988"/>
      <c r="BG2" s="988"/>
      <c r="BH2" s="988"/>
      <c r="BI2" s="988"/>
      <c r="BJ2" s="988"/>
      <c r="BK2" s="988"/>
      <c r="BL2" s="988"/>
      <c r="BM2" s="988"/>
      <c r="BN2" s="988"/>
      <c r="BO2" s="988"/>
      <c r="BP2" s="988"/>
      <c r="BQ2" s="988"/>
      <c r="BR2" s="988"/>
      <c r="BS2" s="988"/>
      <c r="BT2" s="988"/>
      <c r="BU2" s="988"/>
      <c r="BV2" s="1194"/>
      <c r="BW2" s="1194"/>
      <c r="BX2" s="1194"/>
      <c r="BY2" s="1194"/>
      <c r="BZ2" s="1194"/>
      <c r="CA2" s="1194"/>
      <c r="CB2" s="1194"/>
      <c r="CC2" s="1194"/>
      <c r="CD2" s="1194"/>
      <c r="CE2" s="1194"/>
    </row>
    <row s="19272" customFormat="1" customHeight="1" ht="5.25" hidden="1">
      <c r="A3" s="2007"/>
      <c r="D3" s="2260"/>
      <c r="F3" s="609" t="s">
        <v>80</v>
      </c>
      <c r="G3" s="2101" t="s">
        <v>81</v>
      </c>
      <c r="H3" s="2260"/>
      <c r="I3" s="2260"/>
      <c r="J3" s="2260"/>
      <c r="K3" s="2260"/>
      <c r="L3" s="588" t="s">
        <v>82</v>
      </c>
      <c r="M3" s="609" t="s">
        <v>80</v>
      </c>
      <c r="N3" s="609"/>
      <c r="O3" s="609"/>
      <c r="P3" s="609"/>
      <c r="Q3" s="609"/>
      <c r="R3" s="609"/>
      <c r="S3" s="609"/>
      <c r="T3" s="609"/>
      <c r="U3" s="609"/>
      <c r="V3" s="609"/>
      <c r="W3" s="588"/>
      <c r="X3" s="588"/>
      <c r="Y3" s="588"/>
      <c r="Z3" s="588"/>
      <c r="AA3" s="588"/>
      <c r="AB3" s="588"/>
      <c r="AC3" s="588"/>
      <c r="AD3" s="588"/>
      <c r="AE3" s="588"/>
      <c r="AF3" s="588"/>
      <c r="AG3" s="588"/>
      <c r="AH3" s="588"/>
      <c r="AI3" s="588"/>
      <c r="AJ3" s="588"/>
      <c r="AK3" s="588"/>
      <c r="AL3" s="588"/>
      <c r="AM3" s="588"/>
      <c r="AN3" s="588"/>
      <c r="AO3" s="588"/>
      <c r="AP3" s="588"/>
      <c r="AQ3" s="588"/>
      <c r="AR3" s="588"/>
      <c r="AS3" s="588"/>
      <c r="AT3" s="588"/>
      <c r="AU3" s="588"/>
      <c r="AV3" s="588"/>
      <c r="AW3" s="588"/>
      <c r="AX3" s="588"/>
      <c r="AY3" s="588"/>
      <c r="AZ3" s="588"/>
      <c r="BA3" s="588"/>
      <c r="BB3" s="588"/>
      <c r="BC3" s="588"/>
      <c r="BD3" s="588"/>
      <c r="BE3" s="588"/>
      <c r="BF3" s="588"/>
      <c r="BG3" s="588"/>
      <c r="BH3" s="588"/>
      <c r="BI3" s="588"/>
      <c r="BJ3" s="588"/>
      <c r="BK3" s="588"/>
      <c r="BL3" s="588"/>
      <c r="BM3" s="588"/>
      <c r="BN3" s="588"/>
      <c r="BO3" s="588"/>
      <c r="BP3" s="588"/>
      <c r="BQ3" s="588"/>
      <c r="BR3" s="588"/>
      <c r="BS3" s="588"/>
      <c r="BT3" s="588"/>
      <c r="BU3" s="588"/>
      <c r="BV3" s="588"/>
      <c r="BW3" s="588"/>
      <c r="BX3" s="588"/>
      <c r="BY3" s="588"/>
      <c r="BZ3" s="588"/>
      <c r="CA3" s="588"/>
      <c r="CB3" s="588"/>
      <c r="CC3" s="588"/>
      <c r="CD3" s="588"/>
      <c r="CE3" s="588"/>
      <c r="CF3" s="588"/>
      <c r="CG3" s="588"/>
      <c r="CH3" s="588"/>
      <c r="CI3" s="588"/>
      <c r="CJ3" s="588"/>
      <c r="CK3" s="588"/>
      <c r="CL3" s="588"/>
      <c r="CM3" s="588"/>
      <c r="CN3" s="588"/>
      <c r="CO3" s="588"/>
      <c r="CP3" s="588"/>
      <c r="CQ3" s="588"/>
      <c r="CR3" s="588"/>
      <c r="CS3" s="588"/>
      <c r="CT3" s="588"/>
      <c r="CU3" s="588"/>
      <c r="CV3" s="588"/>
      <c r="CW3" s="588"/>
      <c r="CX3" s="588"/>
      <c r="CY3" s="588"/>
      <c r="CZ3" s="588"/>
      <c r="DA3" s="588"/>
      <c r="DB3" s="588"/>
      <c r="DC3" s="588"/>
      <c r="DD3" s="588"/>
      <c r="DE3" s="588"/>
      <c r="DF3" s="588"/>
      <c r="DG3" s="588"/>
      <c r="DH3" s="588"/>
      <c r="DI3" s="588"/>
      <c r="DJ3" s="588"/>
      <c r="DK3" s="588"/>
      <c r="DL3" s="588"/>
      <c r="DM3" s="588"/>
      <c r="DN3" s="588"/>
      <c r="DO3" s="588"/>
      <c r="DP3" s="588"/>
      <c r="DQ3" s="588"/>
      <c r="DR3" s="588"/>
      <c r="DS3" s="588"/>
      <c r="DT3" s="588"/>
      <c r="DU3" s="588"/>
      <c r="DV3" s="588"/>
      <c r="DW3" s="588"/>
      <c r="DX3" s="588"/>
      <c r="DY3" s="588"/>
      <c r="DZ3" s="588"/>
      <c r="EA3" s="588"/>
      <c r="EB3" s="588"/>
      <c r="EC3" s="588"/>
      <c r="ED3" s="588"/>
      <c r="EE3" s="588"/>
      <c r="EF3" s="588"/>
      <c r="EG3" s="588"/>
      <c r="EH3" s="588"/>
      <c r="EI3" s="588"/>
      <c r="EJ3" s="588"/>
      <c r="EK3" s="588"/>
      <c r="EL3" s="588"/>
      <c r="EM3" s="588"/>
      <c r="EN3" s="588"/>
      <c r="EO3" s="588"/>
      <c r="EP3" s="588"/>
      <c r="EQ3" s="588"/>
      <c r="ER3" s="588"/>
      <c r="ES3" s="588"/>
      <c r="ET3" s="588"/>
      <c r="EU3" s="588"/>
      <c r="EV3" s="588"/>
      <c r="EW3" s="588"/>
      <c r="EX3" s="588"/>
      <c r="EY3" s="588"/>
      <c r="EZ3" s="588"/>
      <c r="FA3" s="588"/>
      <c r="FB3" s="588"/>
      <c r="FC3" s="588"/>
      <c r="FD3" s="588"/>
      <c r="FE3" s="588"/>
      <c r="FF3" s="588"/>
      <c r="FG3" s="588"/>
      <c r="FH3" s="588"/>
      <c r="FI3" s="588"/>
      <c r="FJ3" s="588"/>
      <c r="FK3" s="588"/>
      <c r="FL3" s="588"/>
      <c r="FM3" s="588"/>
      <c r="FN3" s="588"/>
      <c r="FO3" s="588"/>
      <c r="FP3" s="588"/>
      <c r="FQ3" s="588"/>
      <c r="FR3" s="588"/>
      <c r="FS3" s="588"/>
      <c r="FT3" s="588"/>
      <c r="FU3" s="588"/>
      <c r="FV3" s="588"/>
      <c r="FW3" s="588"/>
      <c r="FX3" s="588"/>
      <c r="FY3" s="588"/>
      <c r="FZ3" s="588"/>
      <c r="GA3" s="588"/>
      <c r="GB3" s="588"/>
      <c r="GC3" s="588"/>
      <c r="GD3" s="588"/>
      <c r="GE3" s="588"/>
      <c r="GF3" s="588"/>
      <c r="GG3" s="588"/>
      <c r="GH3" s="588"/>
      <c r="GI3" s="588"/>
      <c r="GJ3" s="588"/>
      <c r="GK3" s="588"/>
      <c r="GL3" s="588"/>
      <c r="GM3" s="588"/>
      <c r="GN3" s="588"/>
      <c r="GO3" s="588"/>
      <c r="GP3" s="588"/>
      <c r="GQ3" s="588"/>
      <c r="GR3" s="588"/>
      <c r="GS3" s="588"/>
      <c r="GT3" s="588"/>
      <c r="GU3" s="588"/>
      <c r="GV3" s="588"/>
      <c r="GW3" s="588"/>
      <c r="GX3" s="588"/>
      <c r="GY3" s="588"/>
      <c r="GZ3" s="588"/>
      <c r="HA3" s="588"/>
      <c r="HB3" s="588"/>
      <c r="HC3" s="588"/>
      <c r="HD3" s="588"/>
      <c r="HE3" s="588"/>
      <c r="HF3" s="588"/>
      <c r="HG3" s="588"/>
      <c r="HH3" s="588"/>
      <c r="HI3" s="588"/>
      <c r="HJ3" s="588"/>
      <c r="HK3" s="588"/>
      <c r="HL3" s="588"/>
      <c r="HM3" s="588"/>
      <c r="HN3" s="588"/>
      <c r="HO3" s="588"/>
      <c r="HP3" s="588"/>
      <c r="HQ3" s="588"/>
      <c r="HR3" s="588"/>
      <c r="HS3" s="588"/>
      <c r="HT3" s="588"/>
      <c r="HU3" s="588"/>
      <c r="HV3" s="588"/>
      <c r="HW3" s="588"/>
      <c r="HX3" s="588"/>
      <c r="HY3" s="588"/>
      <c r="HZ3" s="588"/>
      <c r="IA3" s="588"/>
      <c r="IB3" s="588"/>
      <c r="IC3" s="588"/>
      <c r="ID3" s="588"/>
      <c r="IE3" s="588"/>
      <c r="IF3" s="588"/>
      <c r="IG3" s="588"/>
      <c r="IH3" s="588"/>
      <c r="II3" s="588"/>
      <c r="IJ3" s="588"/>
      <c r="IK3" s="588"/>
      <c r="IL3" s="588"/>
      <c r="IM3" s="588"/>
      <c r="IN3" s="588"/>
      <c r="IO3" s="588"/>
      <c r="IP3" s="588"/>
      <c r="IQ3" s="588"/>
      <c r="IR3" s="588"/>
      <c r="IS3" s="588"/>
      <c r="IT3" s="588"/>
      <c r="IU3" s="588"/>
      <c r="IV3" s="588"/>
    </row>
    <row s="18787" customFormat="1" customHeight="1" ht="14.25">
      <c r="A4" s="1997"/>
      <c r="B4" s="1732"/>
      <c r="C4" s="1997"/>
      <c r="D4" s="1881"/>
      <c r="E4" s="2001"/>
      <c r="F4" s="2001"/>
      <c r="G4" s="2001"/>
      <c r="H4" s="2001"/>
      <c r="I4" s="2001"/>
      <c r="J4" s="2001"/>
      <c r="K4" s="2001"/>
      <c r="L4" s="2262"/>
      <c r="M4" s="609"/>
      <c r="N4" s="1990"/>
      <c r="O4" s="1990"/>
      <c r="P4" s="1990"/>
      <c r="Q4" s="1990"/>
      <c r="R4" s="1990"/>
      <c r="S4" s="586"/>
      <c r="T4" s="586"/>
      <c r="U4" s="586"/>
      <c r="V4" s="586"/>
    </row>
    <row s="18787" customFormat="1" customHeight="1" ht="25.5">
      <c r="A5" s="1997"/>
      <c r="B5" s="1732"/>
      <c r="C5" s="1997"/>
      <c r="D5" s="1881"/>
      <c r="E5" s="2375"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375"/>
      <c r="G5" s="2375"/>
      <c r="H5" s="2375"/>
      <c r="I5" s="2375"/>
      <c r="J5" s="2375"/>
      <c r="K5" s="2375"/>
      <c r="L5" s="2001"/>
      <c r="M5" s="609"/>
      <c r="N5" s="1990"/>
      <c r="O5" s="1990"/>
      <c r="P5" s="1990"/>
      <c r="Q5" s="1990"/>
      <c r="R5" s="1990"/>
      <c r="S5" s="586"/>
      <c r="T5" s="586"/>
      <c r="U5" s="586"/>
      <c r="V5" s="586"/>
    </row>
    <row s="18787" customFormat="1" customHeight="1" ht="14.25">
      <c r="A6" s="1997"/>
      <c r="B6" s="1732"/>
      <c r="C6" s="1997"/>
      <c r="D6" s="1881"/>
      <c r="E6" s="2001"/>
      <c r="F6" s="977"/>
      <c r="G6" s="977"/>
      <c r="H6" s="977"/>
      <c r="I6" s="977"/>
      <c r="J6" s="977"/>
      <c r="K6" s="977"/>
      <c r="L6" s="1617"/>
      <c r="M6" s="1990"/>
      <c r="N6" s="1990"/>
      <c r="O6" s="1990"/>
      <c r="P6" s="1990"/>
      <c r="Q6" s="1990"/>
      <c r="R6" s="1990"/>
      <c r="S6" s="586"/>
      <c r="T6" s="586"/>
      <c r="U6" s="586"/>
      <c r="V6" s="586"/>
    </row>
    <row s="18787" customFormat="1" customHeight="1" ht="14.25">
      <c r="A7" s="1997"/>
      <c r="B7" s="1732"/>
      <c r="C7" s="1997"/>
      <c r="D7" s="1881"/>
      <c r="E7" s="2376" t="s">
        <v>300</v>
      </c>
      <c r="F7" s="2377"/>
      <c r="G7" s="2377"/>
      <c r="H7" s="2377"/>
      <c r="I7" s="2377"/>
      <c r="J7" s="2377"/>
      <c r="K7" s="2377"/>
      <c r="L7" s="2740" t="s">
        <v>301</v>
      </c>
      <c r="M7" s="1990"/>
      <c r="N7" s="1990"/>
      <c r="O7" s="1990"/>
      <c r="P7" s="1990"/>
      <c r="Q7" s="1990"/>
      <c r="R7" s="1990"/>
      <c r="S7" s="586"/>
      <c r="T7" s="586"/>
      <c r="U7" s="586"/>
      <c r="V7" s="586"/>
    </row>
    <row s="18787" customFormat="1" customHeight="1" ht="64.5">
      <c r="A8" s="1997"/>
      <c r="B8" s="1732"/>
      <c r="C8" s="1997"/>
      <c r="D8" s="1881"/>
      <c r="E8" s="2744" t="s">
        <v>85</v>
      </c>
      <c r="F8" s="2744" t="s">
        <v>1804</v>
      </c>
      <c r="G8" s="2746" t="s">
        <v>1805</v>
      </c>
      <c r="H8" s="2747"/>
      <c r="I8" s="2748"/>
      <c r="J8" s="2744" t="s">
        <v>1806</v>
      </c>
      <c r="K8" s="274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742"/>
      <c r="M8" s="1990"/>
      <c r="N8" s="1990"/>
      <c r="O8" s="1990"/>
      <c r="P8" s="1990"/>
      <c r="Q8" s="1990"/>
      <c r="R8" s="1990"/>
      <c r="S8" s="586"/>
      <c r="T8" s="586"/>
      <c r="U8" s="586"/>
      <c r="V8" s="586"/>
    </row>
    <row s="18787" customFormat="1" customHeight="1" ht="27.75">
      <c r="A9" s="1997"/>
      <c r="B9" s="1732"/>
      <c r="C9" s="1997"/>
      <c r="D9" s="1881"/>
      <c r="E9" s="2745"/>
      <c r="F9" s="2745"/>
      <c r="G9" s="2261" t="s">
        <v>1800</v>
      </c>
      <c r="H9" s="2261" t="s">
        <v>1801</v>
      </c>
      <c r="I9" s="2261" t="s">
        <v>1802</v>
      </c>
      <c r="J9" s="2745"/>
      <c r="K9" s="2745"/>
      <c r="L9" s="2741"/>
      <c r="M9" s="1990"/>
      <c r="N9" s="1990"/>
      <c r="O9" s="1990"/>
      <c r="P9" s="1990"/>
      <c r="Q9" s="1990"/>
      <c r="R9" s="1990"/>
      <c r="S9" s="586"/>
      <c r="T9" s="586"/>
      <c r="U9" s="586"/>
      <c r="V9" s="586"/>
    </row>
    <row s="20515" customFormat="1" customHeight="1" ht="0.75">
      <c r="A10" s="2374"/>
      <c r="B10" s="1732">
        <v>1</v>
      </c>
      <c r="C10" s="1732"/>
      <c r="D10" s="1161"/>
      <c r="E10" s="1156">
        <v>0</v>
      </c>
      <c r="F10" s="2258" t="str">
        <f>IF(ROIV_INFO_NAME="","",ROIV_INFO_NAME)</f>
        <v>Филиал "Шатурская ГРЭС" ПАО "Юнипро"</v>
      </c>
      <c r="G10" s="2099" t="s">
        <v>24</v>
      </c>
      <c r="H10" s="2270"/>
      <c r="I10" s="2270"/>
      <c r="J10" s="880"/>
      <c r="K10" s="880"/>
      <c r="L10" s="271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901">
        <f>MERGEVALUE(F10)</f>
      </c>
      <c r="N10" s="2002"/>
      <c r="O10" s="2002"/>
      <c r="P10" s="1990" t="str">
        <f t="array" ref="P10:P10">IF(ISERROR(MATCH(MID(Q10,1,250),MID(note_ter,1,250),0)),"n","y")</f>
        <v>n</v>
      </c>
      <c r="Q10" s="2002"/>
      <c r="R10" s="199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732"/>
      <c r="T10" s="1732"/>
      <c r="U10" s="781"/>
      <c r="V10" s="1732"/>
      <c r="W10" s="1732"/>
      <c r="X10" s="1732"/>
      <c r="Y10" s="1194"/>
      <c r="Z10" s="1194"/>
      <c r="AA10" s="988"/>
      <c r="AB10" s="988"/>
      <c r="AC10" s="988"/>
      <c r="AD10" s="988"/>
      <c r="AE10" s="988"/>
      <c r="AF10" s="988"/>
      <c r="AG10" s="988"/>
      <c r="AH10" s="988"/>
      <c r="AI10" s="988"/>
      <c r="AJ10" s="988"/>
      <c r="AK10" s="988"/>
      <c r="AL10" s="988"/>
      <c r="AM10" s="988"/>
      <c r="AN10" s="988"/>
      <c r="AO10" s="988"/>
      <c r="AP10" s="988"/>
      <c r="AQ10" s="988"/>
      <c r="AR10" s="988"/>
      <c r="AS10" s="988"/>
      <c r="AT10" s="988"/>
      <c r="AU10" s="988"/>
      <c r="AV10" s="988"/>
      <c r="AW10" s="988"/>
      <c r="AX10" s="988"/>
      <c r="AY10" s="988"/>
      <c r="AZ10" s="988"/>
      <c r="BA10" s="988"/>
      <c r="BB10" s="988"/>
      <c r="BC10" s="988"/>
      <c r="BD10" s="988"/>
      <c r="BE10" s="988"/>
      <c r="BF10" s="988"/>
      <c r="BG10" s="988"/>
      <c r="BH10" s="988"/>
      <c r="BI10" s="988"/>
      <c r="BJ10" s="988"/>
      <c r="BK10" s="988"/>
      <c r="BL10" s="988"/>
      <c r="BM10" s="988"/>
      <c r="BN10" s="988"/>
      <c r="BO10" s="988"/>
      <c r="BP10" s="988"/>
      <c r="BQ10" s="988"/>
      <c r="BR10" s="988"/>
      <c r="BS10" s="988"/>
      <c r="BT10" s="988"/>
      <c r="BU10" s="988"/>
      <c r="BV10" s="1194"/>
      <c r="BW10" s="1194"/>
      <c r="BX10" s="1194"/>
      <c r="BY10" s="1194"/>
      <c r="BZ10" s="1194"/>
      <c r="CA10" s="1194"/>
      <c r="CB10" s="1194"/>
      <c r="CC10" s="1194"/>
      <c r="CD10" s="1194"/>
      <c r="CE10" s="1194"/>
    </row>
    <row s="20515" customFormat="1" customHeight="1" ht="15">
      <c r="A11" s="2374"/>
      <c r="B11" s="1732"/>
      <c r="C11" s="773"/>
      <c r="D11" s="1162"/>
      <c r="E11" s="782"/>
      <c r="F11" s="1012" t="s">
        <v>1803</v>
      </c>
      <c r="G11" s="548"/>
      <c r="H11" s="548"/>
      <c r="I11" s="548"/>
      <c r="J11" s="548"/>
      <c r="K11" s="785"/>
      <c r="L11" s="2743"/>
      <c r="M11" s="1902"/>
      <c r="N11" s="2002"/>
      <c r="O11" s="2002"/>
      <c r="P11" s="2002"/>
      <c r="Q11" s="1990"/>
      <c r="R11" s="2002"/>
      <c r="S11" s="1732"/>
      <c r="T11" s="1732"/>
      <c r="U11" s="781"/>
      <c r="V11" s="1732"/>
      <c r="W11" s="1732"/>
      <c r="X11" s="1732"/>
      <c r="Y11" s="1194"/>
      <c r="Z11" s="1194"/>
      <c r="AA11" s="988"/>
      <c r="AB11" s="988"/>
      <c r="AC11" s="988"/>
      <c r="AD11" s="988"/>
      <c r="AE11" s="988"/>
      <c r="AF11" s="988"/>
      <c r="AG11" s="988"/>
      <c r="AH11" s="988"/>
      <c r="AI11" s="988"/>
      <c r="AJ11" s="988"/>
      <c r="AK11" s="988"/>
      <c r="AL11" s="988"/>
      <c r="AM11" s="988"/>
      <c r="AN11" s="988"/>
      <c r="AO11" s="988"/>
      <c r="AP11" s="988"/>
      <c r="AQ11" s="988"/>
      <c r="AR11" s="988"/>
      <c r="AS11" s="988"/>
      <c r="AT11" s="988"/>
      <c r="AU11" s="988"/>
      <c r="AV11" s="988"/>
      <c r="AW11" s="988"/>
      <c r="AX11" s="988"/>
      <c r="AY11" s="988"/>
      <c r="AZ11" s="988"/>
      <c r="BA11" s="988"/>
      <c r="BB11" s="988"/>
      <c r="BC11" s="988"/>
      <c r="BD11" s="988"/>
      <c r="BE11" s="988"/>
      <c r="BF11" s="988"/>
      <c r="BG11" s="988"/>
      <c r="BH11" s="988"/>
      <c r="BI11" s="988"/>
      <c r="BJ11" s="988"/>
      <c r="BK11" s="988"/>
      <c r="BL11" s="988"/>
      <c r="BM11" s="988"/>
      <c r="BN11" s="988"/>
      <c r="BO11" s="988"/>
      <c r="BP11" s="988"/>
      <c r="BQ11" s="988"/>
      <c r="BR11" s="988"/>
      <c r="BS11" s="988"/>
      <c r="BT11" s="988"/>
      <c r="BU11" s="988"/>
      <c r="BV11" s="1194"/>
      <c r="BW11" s="1194"/>
      <c r="BX11" s="1194"/>
      <c r="BY11" s="1194"/>
      <c r="BZ11" s="1194"/>
      <c r="CA11" s="1194"/>
      <c r="CB11" s="1194"/>
      <c r="CC11" s="1194"/>
      <c r="CD11" s="1194"/>
      <c r="CE11" s="1194"/>
    </row>
    <row s="18787" customFormat="1" customHeight="1" ht="21">
      <c r="A12" s="1997"/>
      <c r="B12" s="1732"/>
      <c r="C12" s="1997"/>
      <c r="D12" s="1999"/>
      <c r="E12" s="542"/>
      <c r="F12" s="542"/>
      <c r="G12" s="542"/>
      <c r="H12" s="542"/>
      <c r="I12" s="542"/>
      <c r="J12" s="542"/>
      <c r="K12" s="542"/>
      <c r="L12" s="542"/>
      <c r="M12" s="1990"/>
      <c r="N12" s="1990"/>
      <c r="O12" s="1990"/>
      <c r="P12" s="1990"/>
      <c r="Q12" s="1990"/>
      <c r="R12" s="1990"/>
      <c r="S12" s="586"/>
      <c r="T12" s="586"/>
      <c r="U12" s="586"/>
      <c r="V12" s="586"/>
    </row>
    <row s="18787" customFormat="1" customHeight="1" ht="14.25">
      <c r="A13" s="1997"/>
      <c r="B13" s="1732"/>
      <c r="C13" s="1997"/>
      <c r="D13" s="1999"/>
      <c r="E13" s="1997"/>
      <c r="F13" s="1997"/>
      <c r="G13" s="1997"/>
      <c r="H13" s="1997"/>
      <c r="I13" s="1997"/>
      <c r="J13" s="1997"/>
      <c r="K13" s="1997"/>
      <c r="L13" s="1997"/>
      <c r="M13" s="1990"/>
      <c r="N13" s="1990"/>
      <c r="O13" s="1990"/>
      <c r="P13" s="1990"/>
      <c r="Q13" s="1990"/>
      <c r="R13" s="1990"/>
      <c r="S13" s="586"/>
      <c r="T13" s="586"/>
      <c r="U13" s="586"/>
      <c r="V13" s="586"/>
    </row>
    <row s="18787" customFormat="1" customHeight="1" ht="0.75">
      <c r="A14" s="1997"/>
      <c r="B14" s="1732"/>
      <c r="C14" s="1997"/>
      <c r="D14" s="1999"/>
      <c r="E14" s="1997"/>
      <c r="F14" s="1997"/>
      <c r="G14" s="1997"/>
      <c r="H14" s="1997"/>
      <c r="I14" s="1997"/>
      <c r="J14" s="1997"/>
      <c r="K14" s="1997"/>
      <c r="L14" s="1997"/>
      <c r="M14" s="1990"/>
      <c r="N14" s="1990"/>
      <c r="O14" s="1990"/>
      <c r="P14" s="1990"/>
      <c r="Q14" s="1990"/>
      <c r="R14" s="1990"/>
      <c r="S14" s="586"/>
      <c r="T14" s="586"/>
      <c r="U14" s="586"/>
      <c r="V14" s="586"/>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1DB17A-9797-246C-1BAA-9280D68E3AAE}" mc:Ignorable="x14ac xr xr2 xr3">
  <dimension ref="A1:P18"/>
  <sheetViews>
    <sheetView topLeftCell="A1" showGridLines="0" zoomScale="90" workbookViewId="0">
      <selection activeCell="A1" sqref="A1"/>
    </sheetView>
  </sheetViews>
  <sheetFormatPr defaultColWidth="9.140625" customHeight="1" defaultRowHeight="14.25"/>
  <cols>
    <col min="1" max="1" style="19232" width="9.140625" hidden="1"/>
    <col min="2" max="2" style="19146" width="9.140625" hidden="1"/>
    <col min="3" max="3" style="19232" width="3.7109375" hidden="1" customWidth="1"/>
    <col min="4" max="4" style="19000" width="3.8515625" customWidth="1"/>
    <col min="5" max="5" style="19232" width="6.28125" customWidth="1"/>
    <col min="6" max="6" style="19232" width="27.28125" customWidth="1"/>
    <col min="7" max="7" style="19232" width="29.28125" customWidth="1"/>
    <col min="8" max="8" style="19232" width="25.421875" customWidth="1"/>
    <col min="9" max="9" style="19232" width="5.57421875" customWidth="1"/>
    <col min="10" max="10" style="19232" width="6.57421875" customWidth="1"/>
    <col min="11" max="11" style="19232" width="41.8515625" customWidth="1"/>
    <col min="12" max="12" style="19232" width="42.421875" customWidth="1"/>
    <col min="13" max="13" style="19232" width="41.57421875" customWidth="1"/>
    <col min="14" max="14" style="19274" width="89.57421875" customWidth="1"/>
    <col min="15" max="15" style="20497" width="3.7109375" customWidth="1"/>
    <col min="16" max="16" style="20497" width="9.140625"/>
  </cols>
  <sheetData>
    <row customHeight="1" ht="14.25" hidden="1"/>
    <row s="18455" customFormat="1" customHeight="1" ht="22.5" hidden="1">
      <c r="A2" s="857"/>
      <c r="B2" s="1523">
        <v>1</v>
      </c>
      <c r="C2" s="1523"/>
      <c r="D2" s="2295" t="s">
        <v>530</v>
      </c>
      <c r="E2" s="2392">
        <v>1</v>
      </c>
      <c r="F2" s="2757" t="str">
        <f>IF(region_name="","",region_name)</f>
        <v>Московская область</v>
      </c>
      <c r="G2" s="2758"/>
      <c r="H2" s="2759"/>
      <c r="I2" s="835"/>
      <c r="J2" s="2277">
        <v>1</v>
      </c>
      <c r="K2" s="2279"/>
      <c r="L2" s="2279"/>
      <c r="M2" s="2279"/>
      <c r="N2" s="853"/>
      <c r="O2" s="1901"/>
      <c r="P2" s="872"/>
    </row>
    <row s="18455" customFormat="1" customHeight="1" ht="22.5" hidden="1">
      <c r="A3" s="1192"/>
      <c r="B3" s="1523"/>
      <c r="C3" s="1523"/>
      <c r="D3" s="1162"/>
      <c r="E3" s="2392"/>
      <c r="F3" s="2757"/>
      <c r="G3" s="2758"/>
      <c r="H3" s="2760"/>
      <c r="I3" s="782"/>
      <c r="J3" s="1866"/>
      <c r="K3" s="1866" t="s">
        <v>1807</v>
      </c>
      <c r="L3" s="1909"/>
      <c r="M3" s="2287"/>
      <c r="N3" s="2280"/>
      <c r="O3" s="1901"/>
      <c r="P3" s="872"/>
    </row>
    <row s="19219" customFormat="1" customHeight="1" ht="5.25" hidden="1">
      <c r="A4" s="857"/>
      <c r="D4" s="855"/>
      <c r="F4" s="608" t="s">
        <v>80</v>
      </c>
      <c r="G4" s="855" t="s">
        <v>81</v>
      </c>
      <c r="H4" s="855"/>
      <c r="I4" s="2290"/>
      <c r="J4" s="1910"/>
      <c r="K4" s="2278"/>
      <c r="L4" s="2278"/>
      <c r="M4" s="2278"/>
      <c r="N4" s="2274"/>
      <c r="O4" s="608" t="s">
        <v>80</v>
      </c>
      <c r="P4" s="608"/>
    </row>
    <row s="20515" customFormat="1" customHeight="1" ht="22.5" hidden="1">
      <c r="A5" s="2007"/>
      <c r="B5" s="1732">
        <v>1</v>
      </c>
      <c r="C5" s="1732"/>
      <c r="D5" s="1162"/>
      <c r="E5" s="2280"/>
      <c r="F5" s="2280"/>
      <c r="G5" s="2280"/>
      <c r="H5" s="2291"/>
      <c r="I5" s="2296" t="s">
        <v>530</v>
      </c>
      <c r="J5" s="2289">
        <v>1</v>
      </c>
      <c r="K5" s="2279"/>
      <c r="L5" s="2279"/>
      <c r="M5" s="2279"/>
      <c r="N5" s="853"/>
      <c r="O5" s="1901"/>
      <c r="P5" s="2002"/>
    </row>
    <row s="18446" customFormat="1" customHeight="1" ht="14.25">
      <c r="A6" s="1518"/>
      <c r="B6" s="1523"/>
      <c r="C6" s="1518"/>
      <c r="D6" s="1861"/>
      <c r="E6" s="870"/>
      <c r="F6" s="870"/>
      <c r="G6" s="870"/>
      <c r="H6" s="870"/>
      <c r="I6" s="870"/>
      <c r="J6" s="870"/>
      <c r="K6" s="870"/>
      <c r="L6" s="870"/>
      <c r="M6" s="870"/>
      <c r="N6" s="2001"/>
      <c r="O6" s="608"/>
      <c r="P6" s="861"/>
    </row>
    <row s="18446" customFormat="1" customHeight="1" ht="25.5">
      <c r="A7" s="1518"/>
      <c r="B7" s="1523"/>
      <c r="C7" s="1518"/>
      <c r="D7" s="1861"/>
      <c r="E7" s="275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751"/>
      <c r="G7" s="2751"/>
      <c r="H7" s="2751"/>
      <c r="I7" s="2751"/>
      <c r="J7" s="2751"/>
      <c r="K7" s="2751"/>
      <c r="L7" s="2751"/>
      <c r="M7" s="2751"/>
      <c r="N7" s="1617"/>
      <c r="O7" s="608"/>
      <c r="P7" s="861"/>
    </row>
    <row s="18446" customFormat="1" customHeight="1" ht="14.25">
      <c r="A8" s="1518"/>
      <c r="B8" s="1523"/>
      <c r="C8" s="1518"/>
      <c r="D8" s="1861"/>
      <c r="E8" s="870"/>
      <c r="F8" s="529"/>
      <c r="G8" s="529"/>
      <c r="H8" s="529"/>
      <c r="I8" s="529"/>
      <c r="J8" s="529"/>
      <c r="K8" s="529"/>
      <c r="L8" s="529"/>
      <c r="M8" s="529"/>
      <c r="N8" s="977"/>
      <c r="O8" s="861"/>
      <c r="P8" s="861"/>
    </row>
    <row s="20544" customFormat="1" customHeight="1" ht="14.25" hidden="1">
      <c r="A9" s="1834"/>
      <c r="B9" s="1844"/>
      <c r="C9" s="1834"/>
      <c r="D9" s="1861"/>
      <c r="E9" s="2281"/>
      <c r="F9" s="2281"/>
      <c r="G9" s="2281"/>
      <c r="H9" s="2281"/>
      <c r="I9" s="2754"/>
      <c r="J9" s="2754"/>
      <c r="K9" s="2754"/>
      <c r="L9" s="2281"/>
      <c r="M9" s="2282"/>
      <c r="O9" s="1911"/>
      <c r="P9" s="1911"/>
    </row>
    <row s="18446" customFormat="1" customHeight="1" ht="14.25">
      <c r="A10" s="1518"/>
      <c r="B10" s="1523"/>
      <c r="C10" s="1518"/>
      <c r="D10" s="1861"/>
      <c r="E10" s="2392" t="s">
        <v>300</v>
      </c>
      <c r="F10" s="2392"/>
      <c r="G10" s="2392"/>
      <c r="H10" s="2392"/>
      <c r="I10" s="2392"/>
      <c r="J10" s="2392"/>
      <c r="K10" s="2392"/>
      <c r="L10" s="2392"/>
      <c r="M10" s="2376"/>
      <c r="N10" s="2744" t="s">
        <v>301</v>
      </c>
      <c r="O10" s="861"/>
      <c r="P10" s="861"/>
    </row>
    <row s="18787" customFormat="1" customHeight="1" ht="42">
      <c r="A11" s="1997"/>
      <c r="B11" s="1732"/>
      <c r="C11" s="1997"/>
      <c r="D11" s="1881"/>
      <c r="E11" s="2753" t="s">
        <v>85</v>
      </c>
      <c r="F11" s="2753" t="s">
        <v>304</v>
      </c>
      <c r="G11" s="2753" t="s">
        <v>1808</v>
      </c>
      <c r="H11" s="2753"/>
      <c r="I11" s="2753" t="s">
        <v>1809</v>
      </c>
      <c r="J11" s="2753"/>
      <c r="K11" s="2753"/>
      <c r="L11" s="2753" t="s">
        <v>1810</v>
      </c>
      <c r="M11" s="2746" t="s">
        <v>1811</v>
      </c>
      <c r="N11" s="2752"/>
      <c r="O11" s="1990"/>
      <c r="P11" s="1990"/>
    </row>
    <row s="18446" customFormat="1" customHeight="1" ht="27.75">
      <c r="A12" s="1518"/>
      <c r="B12" s="1523"/>
      <c r="C12" s="1518"/>
      <c r="D12" s="1861"/>
      <c r="E12" s="2744"/>
      <c r="F12" s="2753"/>
      <c r="G12" s="2276" t="s">
        <v>1812</v>
      </c>
      <c r="H12" s="2276" t="s">
        <v>308</v>
      </c>
      <c r="I12" s="2753"/>
      <c r="J12" s="2753"/>
      <c r="K12" s="2753"/>
      <c r="L12" s="2753"/>
      <c r="M12" s="2746"/>
      <c r="N12" s="2745"/>
      <c r="O12" s="861"/>
      <c r="P12" s="861"/>
    </row>
    <row s="18455" customFormat="1" customHeight="1" ht="22.5">
      <c r="A13" s="2374">
        <v>26379339</v>
      </c>
      <c r="B13" s="1523">
        <v>1</v>
      </c>
      <c r="C13" s="1523"/>
      <c r="D13" s="1162"/>
      <c r="E13" s="2392">
        <v>1</v>
      </c>
      <c r="F13" s="2761" t="str">
        <f>IF(region_name="","",region_name)</f>
        <v>Московская область</v>
      </c>
      <c r="G13" s="2762"/>
      <c r="H13" s="2755"/>
      <c r="I13" s="835"/>
      <c r="J13" s="2272">
        <v>1</v>
      </c>
      <c r="K13" s="2285"/>
      <c r="L13" s="2286"/>
      <c r="M13" s="2286"/>
      <c r="N13" s="2749" t="s">
        <v>1813</v>
      </c>
      <c r="O13" s="1901"/>
      <c r="P13" s="872"/>
    </row>
    <row s="18455" customFormat="1" customHeight="1" ht="22.5">
      <c r="A14" s="2374"/>
      <c r="B14" s="1523"/>
      <c r="C14" s="1523"/>
      <c r="D14" s="1162"/>
      <c r="E14" s="2392"/>
      <c r="F14" s="2761"/>
      <c r="G14" s="2762"/>
      <c r="H14" s="2756"/>
      <c r="I14" s="782"/>
      <c r="J14" s="1866"/>
      <c r="K14" s="1866" t="s">
        <v>1807</v>
      </c>
      <c r="L14" s="1909"/>
      <c r="M14" s="1909"/>
      <c r="N14" s="2750"/>
      <c r="O14" s="1901"/>
      <c r="P14" s="872"/>
    </row>
    <row s="18455" customFormat="1" customHeight="1" ht="22.5">
      <c r="A15" s="2374"/>
      <c r="B15" s="1523"/>
      <c r="C15" s="773"/>
      <c r="D15" s="1162"/>
      <c r="E15" s="782"/>
      <c r="F15" s="1866" t="s">
        <v>1799</v>
      </c>
      <c r="G15" s="1908"/>
      <c r="H15" s="1908"/>
      <c r="I15" s="548"/>
      <c r="J15" s="548"/>
      <c r="K15" s="548"/>
      <c r="L15" s="548"/>
      <c r="M15" s="548"/>
      <c r="N15" s="2750"/>
      <c r="O15" s="1902"/>
      <c r="P15" s="872"/>
    </row>
    <row s="18446" customFormat="1" customHeight="1" ht="21">
      <c r="A16" s="1518"/>
      <c r="B16" s="1523"/>
      <c r="C16" s="1518"/>
      <c r="D16" s="812"/>
      <c r="E16" s="542"/>
      <c r="F16" s="542"/>
      <c r="G16" s="542"/>
      <c r="H16" s="542"/>
      <c r="I16" s="542"/>
      <c r="J16" s="542"/>
      <c r="K16" s="542"/>
      <c r="L16" s="542"/>
      <c r="M16" s="870"/>
      <c r="N16" s="2001"/>
      <c r="O16" s="861"/>
      <c r="P16" s="861"/>
    </row>
    <row s="18446" customFormat="1" customHeight="1" ht="14.25">
      <c r="A17" s="1518"/>
      <c r="B17" s="1523"/>
      <c r="C17" s="1518"/>
      <c r="D17" s="812"/>
      <c r="E17" s="1518"/>
      <c r="F17" s="1518"/>
      <c r="G17" s="1518"/>
      <c r="H17" s="1518"/>
      <c r="I17" s="1518"/>
      <c r="J17" s="1518"/>
      <c r="K17" s="1518"/>
      <c r="L17" s="1518"/>
      <c r="M17" s="1518"/>
      <c r="N17" s="1997"/>
      <c r="O17" s="861"/>
      <c r="P17" s="861"/>
    </row>
    <row s="18446" customFormat="1" customHeight="1" ht="0.75">
      <c r="A18" s="1518"/>
      <c r="B18" s="1523"/>
      <c r="C18" s="1518"/>
      <c r="D18" s="812"/>
      <c r="E18" s="1518"/>
      <c r="F18" s="1518"/>
      <c r="G18" s="1518"/>
      <c r="H18" s="1518"/>
      <c r="I18" s="1518"/>
      <c r="J18" s="1518"/>
      <c r="K18" s="1518"/>
      <c r="L18" s="1518"/>
      <c r="M18" s="1518"/>
      <c r="N18" s="1997"/>
      <c r="O18" s="861"/>
      <c r="P18" s="861"/>
    </row>
  </sheetData>
  <sheetProtection formatColumns="0" formatRows="0" autoFilter="0" sort="0" insertRows="0" insertColumns="1" deleteRows="0" deleteColumns="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058F94-2874-49F9-547D-BA23329D112D}"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20565" width="9.140625" hidden="1"/>
    <col min="2" max="2" style="20583" width="9.140625" hidden="1"/>
    <col min="3" max="3" style="20584" width="3.7109375" customWidth="1"/>
    <col min="4" max="4" style="20585" width="7.00390625" customWidth="1"/>
    <col min="5" max="5" style="20585" width="23.140625" customWidth="1"/>
    <col min="6" max="6" style="20585" width="16.00390625" customWidth="1"/>
    <col min="7" max="7" style="20585" width="14.8515625" customWidth="1"/>
    <col min="8" max="8" style="20585" width="47.8515625" customWidth="1"/>
    <col min="9" max="9" style="20585" width="115.7109375" customWidth="1"/>
    <col min="10" max="10" style="20585" width="3.7109375" customWidth="1"/>
    <col min="11" max="12" style="20585" width="9.140625"/>
  </cols>
  <sheetData>
    <row customHeight="1" ht="14.25" hidden="1"/>
    <row customHeight="1" ht="14.25" hidden="1"/>
    <row customHeight="1" ht="14.25" hidden="1"/>
    <row customHeight="1" ht="3"/>
    <row s="18485" customFormat="1" customHeight="1" ht="30">
      <c r="A5" s="477"/>
      <c r="C5" s="451"/>
      <c r="D5" s="2375" t="s">
        <v>1814</v>
      </c>
      <c r="E5" s="2375"/>
      <c r="F5" s="2375"/>
      <c r="G5" s="2375"/>
      <c r="H5" s="2375"/>
      <c r="I5" s="626"/>
    </row>
    <row customHeight="1" ht="3" hidden="1">
      <c r="D6" s="484"/>
      <c r="E6" s="484"/>
      <c r="F6" s="484"/>
      <c r="G6" s="484"/>
      <c r="H6" s="484"/>
      <c r="I6" s="484"/>
    </row>
    <row s="20565" customFormat="1" customHeight="1" ht="14.25">
      <c r="B7" s="481"/>
      <c r="C7" s="482"/>
      <c r="D7" s="485"/>
      <c r="E7" s="485"/>
      <c r="F7" s="485"/>
      <c r="G7" s="485"/>
      <c r="H7" s="1113"/>
      <c r="I7" s="485"/>
      <c r="J7" s="486"/>
    </row>
    <row customHeight="1" ht="14.25">
      <c r="D8" s="2482" t="s">
        <v>300</v>
      </c>
      <c r="E8" s="2482"/>
      <c r="F8" s="2482"/>
      <c r="G8" s="2482"/>
      <c r="H8" s="2482"/>
      <c r="I8" s="2482" t="s">
        <v>301</v>
      </c>
    </row>
    <row customHeight="1" ht="27.75">
      <c r="D9" s="2482" t="s">
        <v>85</v>
      </c>
      <c r="E9" s="2482" t="s">
        <v>1815</v>
      </c>
      <c r="F9" s="2482"/>
      <c r="G9" s="2482"/>
      <c r="H9" s="2482"/>
      <c r="I9" s="2482"/>
    </row>
    <row customHeight="1" ht="22.5">
      <c r="D10" s="2482"/>
      <c r="E10" s="489" t="s">
        <v>1816</v>
      </c>
      <c r="F10" s="489" t="s">
        <v>1817</v>
      </c>
      <c r="G10" s="489" t="s">
        <v>1818</v>
      </c>
      <c r="H10" s="489" t="s">
        <v>390</v>
      </c>
      <c r="I10" s="2482"/>
    </row>
    <row customHeight="1" ht="12" hidden="1">
      <c r="D11" s="448" t="s">
        <v>106</v>
      </c>
      <c r="E11" s="448" t="s">
        <v>88</v>
      </c>
      <c r="F11" s="448" t="s">
        <v>108</v>
      </c>
      <c r="G11" s="448" t="s">
        <v>89</v>
      </c>
      <c r="H11" s="448" t="s">
        <v>90</v>
      </c>
      <c r="I11" s="448" t="s">
        <v>109</v>
      </c>
    </row>
    <row s="20571" customFormat="1" customHeight="1" ht="24.75">
      <c r="A12" s="507" t="s">
        <v>87</v>
      </c>
      <c r="B12" s="487" t="s">
        <v>24</v>
      </c>
      <c r="C12" s="488"/>
      <c r="D12" s="490" t="s">
        <v>106</v>
      </c>
      <c r="E12" s="742"/>
      <c r="F12" s="742"/>
      <c r="G12" s="2100" t="s">
        <v>24</v>
      </c>
      <c r="H12" s="743"/>
      <c r="I12" s="2436" t="s">
        <v>1819</v>
      </c>
      <c r="K12" s="633"/>
      <c r="L12" s="634"/>
    </row>
    <row customHeight="1" ht="15">
      <c r="A13" s="483"/>
      <c r="B13" s="483"/>
      <c r="C13" s="483"/>
      <c r="D13" s="471"/>
      <c r="E13" s="492" t="s">
        <v>465</v>
      </c>
      <c r="F13" s="491"/>
      <c r="G13" s="491"/>
      <c r="H13" s="575"/>
      <c r="I13" s="2438"/>
    </row>
    <row customHeight="1" ht="3">
      <c r="A14" s="483"/>
      <c r="B14" s="483"/>
      <c r="C14" s="483"/>
    </row>
    <row customHeight="1" ht="27.75">
      <c r="E15" s="2763" t="s">
        <v>1820</v>
      </c>
      <c r="F15" s="2763"/>
      <c r="G15" s="2763"/>
      <c r="H15" s="2763"/>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F1112B-181C-6D58-AC1E-463AA865EC74}" mc:Ignorable="x14ac xr xr2 xr3">
  <sheetPr>
    <tabColor rgb="FFCCCCFF"/>
    <pageSetUpPr fitToPage="1"/>
  </sheetPr>
  <dimension ref="A1:I15"/>
  <sheetViews>
    <sheetView topLeftCell="A1" showGridLines="0" zoomScale="90" workbookViewId="0">
      <selection activeCell="A1" sqref="A1"/>
    </sheetView>
  </sheetViews>
  <sheetFormatPr defaultColWidth="9.140625" customHeight="1" defaultRowHeight="14.25"/>
  <cols>
    <col min="1" max="2" style="20602" width="9.140625" hidden="1"/>
    <col min="3" max="3" style="20603" width="3.7109375" customWidth="1"/>
    <col min="4" max="4" style="20602" width="6.28125" customWidth="1"/>
    <col min="5" max="5" style="20602" width="94.8515625" customWidth="1"/>
    <col min="6" max="9" style="20602" width="9.140625"/>
  </cols>
  <sheetData>
    <row customHeight="1" ht="14.25" hidden="1"/>
    <row customHeight="1" ht="14.25" hidden="1"/>
    <row customHeight="1" ht="14.25" hidden="1"/>
    <row customHeight="1" ht="14.25" hidden="1"/>
    <row customHeight="1" ht="14.25" hidden="1"/>
    <row customHeight="1" ht="3">
      <c r="C6" s="453"/>
      <c r="D6" s="431"/>
      <c r="E6" s="431"/>
    </row>
    <row customHeight="1" ht="22.5">
      <c r="C7" s="453"/>
      <c r="D7" s="2764" t="s">
        <v>1821</v>
      </c>
      <c r="E7" s="2765"/>
      <c r="F7" s="628"/>
    </row>
    <row customHeight="1" ht="3">
      <c r="C8" s="453"/>
      <c r="D8" s="431"/>
      <c r="E8" s="431"/>
    </row>
    <row customHeight="1" ht="15.75">
      <c r="C9" s="453"/>
      <c r="D9" s="467" t="s">
        <v>85</v>
      </c>
      <c r="E9" s="621" t="s">
        <v>1822</v>
      </c>
    </row>
    <row customHeight="1" ht="0.75">
      <c r="C10" s="453"/>
      <c r="D10" s="448"/>
      <c r="E10" s="448"/>
    </row>
    <row customHeight="1" ht="11.25" hidden="1">
      <c r="C11" s="453"/>
      <c r="D11" s="512">
        <v>0</v>
      </c>
      <c r="E11" s="622"/>
    </row>
    <row customHeight="1" ht="15">
      <c r="C12" s="498"/>
      <c r="D12" s="475">
        <v>1</v>
      </c>
      <c r="E12" s="738"/>
    </row>
    <row customHeight="1" ht="12">
      <c r="C13" s="453"/>
      <c r="D13" s="623"/>
      <c r="E13" s="624" t="s">
        <v>1823</v>
      </c>
    </row>
    <row customHeight="1" ht="3"/>
    <row customHeight="1" ht="22.5">
      <c r="C15" s="499"/>
      <c r="D15" s="2766" t="s">
        <v>1824</v>
      </c>
      <c r="E15" s="2766"/>
      <c r="F15" s="500"/>
      <c r="G15" s="500"/>
      <c r="H15" s="500"/>
      <c r="I15" s="500"/>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4AED9F-692C-897F-88FA-37DBB43561A7}"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20602" width="9.140625" hidden="1"/>
    <col min="3" max="3" style="20603" width="3.7109375" customWidth="1"/>
    <col min="4" max="4" style="20602" width="6.28125" customWidth="1"/>
    <col min="5" max="5" style="20602" width="94.8515625" customWidth="1"/>
    <col min="6" max="12" style="20602" width="9.140625"/>
  </cols>
  <sheetData>
    <row customHeight="1" ht="14.25" hidden="1">
      <c r="L1" s="625"/>
    </row>
    <row customHeight="1" ht="14.25" hidden="1"/>
    <row customHeight="1" ht="14.25" hidden="1"/>
    <row customHeight="1" ht="14.25" hidden="1"/>
    <row customHeight="1" ht="14.25" hidden="1"/>
    <row customHeight="1" ht="3">
      <c r="C6" s="453"/>
      <c r="D6" s="431"/>
      <c r="E6" s="431"/>
    </row>
    <row customHeight="1" ht="22.5">
      <c r="C7" s="453"/>
      <c r="D7" s="2375" t="s">
        <v>1825</v>
      </c>
      <c r="E7" s="2375"/>
      <c r="F7" s="628"/>
    </row>
    <row customHeight="1" ht="3">
      <c r="C8" s="453"/>
      <c r="D8" s="431"/>
      <c r="E8" s="431"/>
    </row>
    <row customHeight="1" ht="15.75">
      <c r="C9" s="453"/>
      <c r="D9" s="467" t="s">
        <v>85</v>
      </c>
      <c r="E9" s="470" t="s">
        <v>287</v>
      </c>
    </row>
    <row customHeight="1" ht="12">
      <c r="C10" s="453"/>
      <c r="D10" s="448" t="s">
        <v>106</v>
      </c>
      <c r="E10" s="448" t="s">
        <v>107</v>
      </c>
    </row>
    <row customHeight="1" ht="15" hidden="1">
      <c r="C11" s="453"/>
      <c r="D11" s="475">
        <v>0</v>
      </c>
      <c r="E11" s="511"/>
    </row>
    <row customHeight="1" ht="14.25">
      <c r="C12" s="453"/>
      <c r="D12" s="471"/>
      <c r="E12" s="469" t="s">
        <v>1823</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4C1D1D-D965-96E1-D91C-6E986D8CB09C}"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20610" width="1.7109375" customWidth="1"/>
    <col min="2" max="2" style="20610" width="34.57421875" customWidth="1"/>
    <col min="3" max="3" style="20610" width="85.57421875" customWidth="1"/>
    <col min="4" max="4" style="20610" width="17.7109375" customWidth="1"/>
    <col min="5" max="5" style="20610" width="9.140625"/>
  </cols>
  <sheetData>
    <row customHeight="1" ht="3"/>
    <row customHeight="1" ht="22.5">
      <c r="B2" s="2767" t="s">
        <v>1826</v>
      </c>
      <c r="C2" s="2767"/>
      <c r="D2" s="2767"/>
      <c r="E2" s="629"/>
    </row>
    <row customHeight="1" ht="3"/>
    <row customHeight="1" ht="21.75">
      <c r="B4" s="744" t="s">
        <v>1827</v>
      </c>
      <c r="C4" s="744" t="s">
        <v>1828</v>
      </c>
      <c r="D4" s="744" t="s">
        <v>1829</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A13F3B-F699-3976-1046-F677C5154E7F}" mc:Ignorable="x14ac xr xr2 xr3">
  <sheetPr>
    <tabColor rgb="FFFFCC99"/>
  </sheetPr>
  <dimension ref="A1:GB215"/>
  <sheetViews>
    <sheetView topLeftCell="A1" showGridLines="0" zoomScale="85" workbookViewId="0">
      <selection activeCell="A1" sqref="A1"/>
    </sheetView>
  </sheetViews>
  <sheetFormatPr customHeight="1" defaultRowHeight="17.1"/>
  <cols>
    <col min="1" max="1" style="20610" width="26.57421875" customWidth="1"/>
    <col min="2" max="2" style="20610" width="10.00390625" customWidth="1"/>
    <col min="3" max="3" style="20610" width="9.140625"/>
    <col min="4" max="4" style="20610" width="11.140625" customWidth="1"/>
    <col min="5" max="5" style="20610" width="16.57421875" customWidth="1"/>
    <col min="6" max="6" style="20610" width="16.28125" customWidth="1"/>
    <col min="7" max="7" style="20610" width="19.140625" customWidth="1"/>
    <col min="8" max="11" style="20610" width="10.00390625" customWidth="1"/>
    <col min="12" max="12" style="20610" width="12.7109375" customWidth="1"/>
    <col min="13" max="13" style="20610" width="61.28125" customWidth="1"/>
    <col min="14" max="14" style="20610" width="10.00390625" customWidth="1"/>
    <col min="15" max="17" style="20610" width="23.7109375" customWidth="1"/>
    <col min="18" max="18" style="20610" width="11.7109375" customWidth="1"/>
    <col min="19" max="19" style="20610" width="8.57421875" customWidth="1"/>
    <col min="20" max="20" style="20610" width="11.7109375" customWidth="1"/>
    <col min="21" max="21" style="20610" width="8.57421875" customWidth="1"/>
    <col min="22" max="22" style="20610" width="4.7109375" customWidth="1"/>
    <col min="23" max="23" style="20610" width="115.7109375" customWidth="1"/>
    <col min="24" max="24" style="20610" width="115.28125" customWidth="1"/>
    <col min="25" max="27" style="20610" width="9.140625"/>
    <col min="28" max="28" style="20610" width="115.7109375" customWidth="1"/>
    <col min="29" max="29" style="20610" width="9.140625"/>
    <col min="30" max="90" style="20610" width="115.7109375" customWidth="1"/>
    <col min="91" max="184" style="20610" width="9.140625"/>
  </cols>
  <sheetData>
    <row r="2" s="20611" customFormat="1" customHeight="1" ht="17.25">
      <c r="A2" s="2181" t="s">
        <v>1830</v>
      </c>
    </row>
    <row r="4" s="20602" customFormat="1" customHeight="1" ht="15">
      <c r="C4" s="2182"/>
      <c r="D4" s="475"/>
      <c r="E4" s="738"/>
    </row>
    <row r="6" s="20611" customFormat="1" customHeight="1" ht="17.25">
      <c r="A6" s="2181" t="s">
        <v>1831</v>
      </c>
    </row>
    <row r="8" s="20602" customFormat="1" customHeight="1" ht="17.25">
      <c r="C8" s="2183"/>
      <c r="D8" s="475"/>
      <c r="E8" s="476"/>
    </row>
    <row r="11" s="20611" customFormat="1" customHeight="1" ht="17.25">
      <c r="A11" s="2181" t="s">
        <v>1832</v>
      </c>
    </row>
    <row r="13" s="20616" customFormat="1" customHeight="1" ht="15">
      <c r="A13" s="2502">
        <v>1</v>
      </c>
      <c r="B13" s="1523"/>
      <c r="C13" s="1162" t="s">
        <v>530</v>
      </c>
      <c r="D13" s="2184"/>
      <c r="E13" s="2171">
        <f>A13</f>
        <v>1</v>
      </c>
      <c r="F13" s="1165"/>
      <c r="G13" s="901" t="str">
        <f>"Территория "&amp;E13</f>
        <v>Территория 1</v>
      </c>
      <c r="H13" s="1153"/>
      <c r="I13" s="1153"/>
      <c r="J13" s="1150"/>
      <c r="K13" s="1990"/>
      <c r="L13" s="1990"/>
      <c r="M13" s="1990"/>
      <c r="N13" s="587"/>
      <c r="O13" s="1990"/>
      <c r="P13" s="586"/>
      <c r="Q13" s="586"/>
      <c r="R13" s="586"/>
      <c r="S13" s="586"/>
    </row>
    <row s="18455" customFormat="1" customHeight="1" ht="15">
      <c r="A14" s="2502"/>
      <c r="B14" s="1523">
        <v>1</v>
      </c>
      <c r="C14" s="1523"/>
      <c r="D14" s="1161"/>
      <c r="E14" s="2179" t="str">
        <f>A13&amp;"."&amp;B14</f>
        <v>1.1</v>
      </c>
      <c r="F14" s="1164">
        <f>$F$20</f>
        <v>0</v>
      </c>
      <c r="G14" s="1154"/>
      <c r="H14" s="1154"/>
      <c r="I14" s="1152"/>
      <c r="J14" s="1990"/>
      <c r="K14" s="2002"/>
      <c r="L14" s="2002"/>
      <c r="M14" s="1990" t="str">
        <f t="array" ref="M14:M14">IF(ISERROR(MATCH(MID(N14,1,250),MID(note_ter,1,250),0)),"n","y")</f>
        <v>n</v>
      </c>
      <c r="N14" s="2002"/>
      <c r="O14" s="1990" t="str">
        <f>H14&amp;"("&amp;I14&amp;")"</f>
        <v>()</v>
      </c>
      <c r="P14" s="1523"/>
      <c r="Q14" s="1523"/>
      <c r="R14" s="781"/>
      <c r="S14" s="1523"/>
      <c r="T14" s="1523"/>
      <c r="U14" s="1523"/>
      <c r="V14" s="783"/>
      <c r="W14" s="783"/>
      <c r="X14" s="780"/>
      <c r="Y14" s="780"/>
      <c r="Z14" s="780"/>
      <c r="AA14" s="780"/>
      <c r="AB14" s="780"/>
      <c r="AC14" s="780"/>
      <c r="AD14" s="780"/>
      <c r="AE14" s="780"/>
      <c r="AF14" s="780"/>
      <c r="AG14" s="780"/>
      <c r="AH14" s="780"/>
      <c r="AI14" s="780"/>
      <c r="AJ14" s="780"/>
      <c r="AK14" s="780"/>
      <c r="AL14" s="780"/>
      <c r="AM14" s="780"/>
      <c r="AN14" s="780"/>
      <c r="AO14" s="780"/>
      <c r="AP14" s="780"/>
      <c r="AQ14" s="780"/>
      <c r="AR14" s="780"/>
      <c r="AS14" s="780"/>
      <c r="AT14" s="780"/>
      <c r="AU14" s="780"/>
      <c r="AV14" s="780"/>
      <c r="AW14" s="780"/>
      <c r="AX14" s="780"/>
      <c r="AY14" s="780"/>
      <c r="AZ14" s="780"/>
      <c r="BA14" s="780"/>
      <c r="BB14" s="780"/>
      <c r="BC14" s="780"/>
      <c r="BD14" s="780"/>
      <c r="BE14" s="780"/>
      <c r="BF14" s="780"/>
      <c r="BG14" s="780"/>
      <c r="BH14" s="780"/>
      <c r="BI14" s="780"/>
      <c r="BJ14" s="780"/>
      <c r="BK14" s="780"/>
      <c r="BL14" s="780"/>
      <c r="BM14" s="780"/>
      <c r="BN14" s="780"/>
      <c r="BO14" s="780"/>
      <c r="BP14" s="780"/>
      <c r="BQ14" s="780"/>
      <c r="BR14" s="780"/>
      <c r="BS14" s="783"/>
      <c r="BT14" s="783"/>
      <c r="BU14" s="783"/>
      <c r="BV14" s="783"/>
      <c r="BW14" s="783"/>
      <c r="BX14" s="783"/>
      <c r="BY14" s="783"/>
      <c r="BZ14" s="783"/>
      <c r="CA14" s="783"/>
      <c r="CB14" s="783"/>
    </row>
    <row s="18455" customFormat="1" customHeight="1" ht="15">
      <c r="A15" s="2502"/>
      <c r="B15" s="1523"/>
      <c r="C15" s="773"/>
      <c r="D15" s="1162"/>
      <c r="E15" s="782"/>
      <c r="F15" s="539"/>
      <c r="G15" s="776" t="s">
        <v>99</v>
      </c>
      <c r="H15" s="548"/>
      <c r="I15" s="785"/>
      <c r="J15" s="2002"/>
      <c r="K15" s="2002"/>
      <c r="L15" s="2002"/>
      <c r="M15" s="2002"/>
      <c r="N15" s="1990"/>
      <c r="O15" s="2002"/>
      <c r="P15" s="1523"/>
      <c r="Q15" s="1523"/>
      <c r="R15" s="781"/>
      <c r="S15" s="1523"/>
      <c r="T15" s="1523"/>
      <c r="U15" s="1523"/>
      <c r="V15" s="783"/>
      <c r="W15" s="783"/>
      <c r="X15" s="780"/>
      <c r="Y15" s="780"/>
      <c r="Z15" s="780"/>
      <c r="AA15" s="780"/>
      <c r="AB15" s="780"/>
      <c r="AC15" s="780"/>
      <c r="AD15" s="780"/>
      <c r="AE15" s="780"/>
      <c r="AF15" s="780"/>
      <c r="AG15" s="780"/>
      <c r="AH15" s="780"/>
      <c r="AI15" s="780"/>
      <c r="AJ15" s="780"/>
      <c r="AK15" s="780"/>
      <c r="AL15" s="780"/>
      <c r="AM15" s="780"/>
      <c r="AN15" s="780"/>
      <c r="AO15" s="780"/>
      <c r="AP15" s="780"/>
      <c r="AQ15" s="780"/>
      <c r="AR15" s="780"/>
      <c r="AS15" s="780"/>
      <c r="AT15" s="780"/>
      <c r="AU15" s="780"/>
      <c r="AV15" s="780"/>
      <c r="AW15" s="780"/>
      <c r="AX15" s="780"/>
      <c r="AY15" s="780"/>
      <c r="AZ15" s="780"/>
      <c r="BA15" s="780"/>
      <c r="BB15" s="780"/>
      <c r="BC15" s="780"/>
      <c r="BD15" s="780"/>
      <c r="BE15" s="780"/>
      <c r="BF15" s="780"/>
      <c r="BG15" s="780"/>
      <c r="BH15" s="780"/>
      <c r="BI15" s="780"/>
      <c r="BJ15" s="780"/>
      <c r="BK15" s="780"/>
      <c r="BL15" s="780"/>
      <c r="BM15" s="780"/>
      <c r="BN15" s="780"/>
      <c r="BO15" s="780"/>
      <c r="BP15" s="780"/>
      <c r="BQ15" s="780"/>
      <c r="BR15" s="780"/>
      <c r="BS15" s="783"/>
      <c r="BT15" s="783"/>
      <c r="BU15" s="783"/>
      <c r="BV15" s="783"/>
      <c r="BW15" s="783"/>
      <c r="BX15" s="783"/>
      <c r="BY15" s="783"/>
      <c r="BZ15" s="783"/>
      <c r="CA15" s="783"/>
      <c r="CB15" s="783"/>
    </row>
    <row r="17" s="20611" customFormat="1" customHeight="1" ht="17.25">
      <c r="A17" s="2181" t="s">
        <v>1833</v>
      </c>
    </row>
    <row r="19" s="20515" customFormat="1" customHeight="1" ht="15">
      <c r="A19" s="2249"/>
      <c r="B19" s="1732">
        <v>1</v>
      </c>
      <c r="C19" s="1732"/>
      <c r="D19" s="1161" t="s">
        <v>530</v>
      </c>
      <c r="E19" s="2245"/>
      <c r="F19" s="2250">
        <f>$F$20</f>
        <v>0</v>
      </c>
      <c r="G19" s="2254"/>
      <c r="H19" s="2254"/>
      <c r="I19" s="2252"/>
      <c r="J19" s="1990"/>
      <c r="K19" s="2002"/>
      <c r="L19" s="2002"/>
      <c r="M19" s="1990" t="str">
        <f t="array" ref="M19:M19">IF(ISERROR(MATCH(MID(N19,1,250),MID(note_ter,1,250),0)),"n","y")</f>
        <v>n</v>
      </c>
      <c r="N19" s="2002"/>
      <c r="O19" s="1990" t="str">
        <f>H19&amp;"("&amp;I19&amp;")"</f>
        <v>()</v>
      </c>
      <c r="P19" s="1732"/>
      <c r="Q19" s="1732"/>
      <c r="R19" s="781"/>
      <c r="S19" s="1732"/>
      <c r="T19" s="1732"/>
      <c r="U19" s="1732"/>
      <c r="V19" s="1194"/>
      <c r="W19" s="1194"/>
      <c r="X19" s="988"/>
      <c r="Y19" s="988"/>
      <c r="Z19" s="988"/>
      <c r="AA19" s="988"/>
      <c r="AB19" s="988"/>
      <c r="AC19" s="988"/>
      <c r="AD19" s="988"/>
      <c r="AE19" s="988"/>
      <c r="AF19" s="988"/>
      <c r="AG19" s="988"/>
      <c r="AH19" s="988"/>
      <c r="AI19" s="988"/>
      <c r="AJ19" s="988"/>
      <c r="AK19" s="988"/>
      <c r="AL19" s="988"/>
      <c r="AM19" s="988"/>
      <c r="AN19" s="988"/>
      <c r="AO19" s="988"/>
      <c r="AP19" s="988"/>
      <c r="AQ19" s="988"/>
      <c r="AR19" s="988"/>
      <c r="AS19" s="988"/>
      <c r="AT19" s="988"/>
      <c r="AU19" s="988"/>
      <c r="AV19" s="988"/>
      <c r="AW19" s="988"/>
      <c r="AX19" s="988"/>
      <c r="AY19" s="988"/>
      <c r="AZ19" s="988"/>
      <c r="BA19" s="988"/>
      <c r="BB19" s="988"/>
      <c r="BC19" s="988"/>
      <c r="BD19" s="988"/>
      <c r="BE19" s="988"/>
      <c r="BF19" s="988"/>
      <c r="BG19" s="988"/>
      <c r="BH19" s="988"/>
      <c r="BI19" s="988"/>
      <c r="BJ19" s="988"/>
      <c r="BK19" s="988"/>
      <c r="BL19" s="988"/>
      <c r="BM19" s="988"/>
      <c r="BN19" s="988"/>
      <c r="BO19" s="988"/>
      <c r="BP19" s="988"/>
      <c r="BQ19" s="988"/>
      <c r="BR19" s="988"/>
      <c r="BS19" s="1194"/>
      <c r="BT19" s="1194"/>
      <c r="BU19" s="1194"/>
      <c r="BV19" s="1194"/>
      <c r="BW19" s="1194"/>
      <c r="BX19" s="1194"/>
      <c r="BY19" s="1194"/>
      <c r="BZ19" s="1194"/>
      <c r="CA19" s="1194"/>
      <c r="CB19" s="1194"/>
    </row>
    <row r="21" s="18455" customFormat="1" customHeight="1" ht="15">
      <c r="A21" s="2181" t="s">
        <v>1834</v>
      </c>
      <c r="B21" s="2181"/>
      <c r="C21" s="2181"/>
      <c r="D21" s="2181"/>
      <c r="E21" s="2181"/>
      <c r="F21" s="2181"/>
      <c r="G21" s="2181"/>
      <c r="H21" s="2181"/>
      <c r="I21" s="2181"/>
      <c r="J21" s="2181"/>
      <c r="K21" s="2181"/>
      <c r="L21" s="2181"/>
      <c r="M21" s="2181"/>
      <c r="N21" s="2181"/>
      <c r="O21" s="2181"/>
      <c r="P21" s="2181"/>
      <c r="Q21" s="2181"/>
      <c r="R21" s="2181"/>
      <c r="S21" s="2181"/>
      <c r="T21" s="2181"/>
      <c r="U21" s="545"/>
      <c r="V21" s="2181"/>
      <c r="W21" s="2181"/>
    </row>
    <row s="18455" customFormat="1" customHeight="1" ht="15">
      <c r="U22" s="546"/>
    </row>
    <row s="20628" customFormat="1" customHeight="1" ht="15">
      <c r="A23" s="784"/>
      <c r="B23" s="784"/>
      <c r="C23" s="2094" t="s">
        <v>530</v>
      </c>
      <c r="D23" s="2403" t="s">
        <v>106</v>
      </c>
      <c r="E23" s="2404"/>
      <c r="F23" s="2402" t="s">
        <v>54</v>
      </c>
      <c r="G23" s="2815"/>
      <c r="H23" s="2392">
        <v>1</v>
      </c>
      <c r="I23" s="2817" t="str">
        <f>IF(U23="","",INDEX(TERRITORY_MR_LIST,MATCH(U23,TERRITORY_LIST_ID,0)))</f>
        <v/>
      </c>
      <c r="J23" s="2402" t="s">
        <v>54</v>
      </c>
      <c r="K23" s="1193"/>
      <c r="L23" s="2148" t="s">
        <v>106</v>
      </c>
      <c r="M23" s="964"/>
      <c r="N23" s="965"/>
      <c r="O23" s="965"/>
      <c r="P23" s="965"/>
      <c r="Q23" s="965"/>
      <c r="R23" s="965"/>
      <c r="S23" s="965"/>
      <c r="T23" s="965"/>
      <c r="U23" s="966"/>
      <c r="V23" s="965"/>
      <c r="W23" s="965"/>
      <c r="X23" s="956"/>
      <c r="Y23" s="956" t="s">
        <v>115</v>
      </c>
      <c r="Z23" s="956">
        <v>1705000</v>
      </c>
      <c r="AA23" s="956"/>
      <c r="AB23" s="956"/>
      <c r="AC23" s="956"/>
      <c r="AD23" s="956"/>
      <c r="AE23" s="956"/>
      <c r="AF23" s="956"/>
      <c r="AG23" s="956"/>
      <c r="AH23" s="956"/>
      <c r="AI23" s="956"/>
      <c r="AJ23" s="956"/>
      <c r="AK23" s="956"/>
      <c r="AL23" s="956"/>
    </row>
    <row s="20628" customFormat="1" customHeight="1" ht="15">
      <c r="A24" s="784"/>
      <c r="B24" s="784"/>
      <c r="C24" s="538"/>
      <c r="D24" s="2403"/>
      <c r="E24" s="2405"/>
      <c r="F24" s="2402"/>
      <c r="G24" s="2816"/>
      <c r="H24" s="2392"/>
      <c r="I24" s="2818"/>
      <c r="J24" s="2402"/>
      <c r="K24" s="782"/>
      <c r="L24" s="539"/>
      <c r="M24" s="968" t="s">
        <v>116</v>
      </c>
      <c r="N24" s="965"/>
      <c r="O24" s="965"/>
      <c r="P24" s="965"/>
      <c r="Q24" s="965"/>
      <c r="R24" s="965"/>
      <c r="S24" s="965"/>
      <c r="T24" s="965"/>
      <c r="U24" s="966"/>
      <c r="V24" s="965"/>
      <c r="W24" s="965"/>
      <c r="X24" s="956"/>
      <c r="Y24" s="956"/>
      <c r="Z24" s="956"/>
      <c r="AA24" s="956"/>
      <c r="AB24" s="956"/>
      <c r="AC24" s="956"/>
      <c r="AD24" s="956"/>
      <c r="AE24" s="956"/>
      <c r="AF24" s="956"/>
      <c r="AG24" s="956"/>
      <c r="AH24" s="956"/>
      <c r="AI24" s="956"/>
      <c r="AJ24" s="956"/>
      <c r="AK24" s="956"/>
      <c r="AL24" s="956"/>
    </row>
    <row s="20628" customFormat="1" customHeight="1" ht="15">
      <c r="A25" s="784"/>
      <c r="B25" s="784"/>
      <c r="C25" s="538"/>
      <c r="D25" s="2403"/>
      <c r="E25" s="2406"/>
      <c r="F25" s="2402"/>
      <c r="G25" s="782"/>
      <c r="H25" s="539"/>
      <c r="I25" s="941" t="s">
        <v>117</v>
      </c>
      <c r="J25" s="539"/>
      <c r="K25" s="539"/>
      <c r="L25" s="539"/>
      <c r="M25" s="969"/>
      <c r="N25" s="965"/>
      <c r="O25" s="965"/>
      <c r="P25" s="965"/>
      <c r="Q25" s="965"/>
      <c r="R25" s="965"/>
      <c r="S25" s="965"/>
      <c r="T25" s="965"/>
      <c r="U25" s="966"/>
      <c r="V25" s="965"/>
      <c r="W25" s="965"/>
      <c r="X25" s="956"/>
      <c r="Y25" s="956"/>
      <c r="Z25" s="956"/>
      <c r="AA25" s="956"/>
      <c r="AB25" s="956"/>
      <c r="AC25" s="956"/>
      <c r="AD25" s="956"/>
      <c r="AE25" s="956"/>
      <c r="AF25" s="956"/>
      <c r="AG25" s="956"/>
      <c r="AH25" s="956"/>
      <c r="AI25" s="956"/>
      <c r="AJ25" s="956"/>
      <c r="AK25" s="956"/>
      <c r="AL25" s="956"/>
    </row>
    <row s="18455" customFormat="1" customHeight="1" ht="15">
      <c r="U26" s="546"/>
    </row>
    <row s="18455" customFormat="1" customHeight="1" ht="15">
      <c r="A27" s="2181" t="s">
        <v>1835</v>
      </c>
      <c r="B27" s="2181"/>
      <c r="C27" s="2181"/>
      <c r="D27" s="2181"/>
      <c r="E27" s="2181"/>
      <c r="F27" s="2181"/>
      <c r="G27" s="2181"/>
      <c r="H27" s="2181"/>
      <c r="I27" s="2181"/>
      <c r="J27" s="2181"/>
      <c r="K27" s="2181"/>
      <c r="L27" s="2181"/>
      <c r="M27" s="2181"/>
      <c r="N27" s="2181"/>
      <c r="O27" s="2181"/>
      <c r="P27" s="2181"/>
      <c r="Q27" s="2181"/>
      <c r="R27" s="2181"/>
      <c r="S27" s="2181"/>
      <c r="T27" s="2181"/>
      <c r="U27" s="545"/>
      <c r="V27" s="2181"/>
      <c r="W27" s="2181"/>
    </row>
    <row s="18455" customFormat="1" customHeight="1" ht="15">
      <c r="U28" s="546"/>
    </row>
    <row s="20628" customFormat="1" customHeight="1" ht="15">
      <c r="A29" s="784"/>
      <c r="B29" s="784"/>
      <c r="C29" s="538"/>
      <c r="D29" s="2187"/>
      <c r="E29" s="2187"/>
      <c r="F29" s="2187"/>
      <c r="G29" s="2819" t="s">
        <v>530</v>
      </c>
      <c r="H29" s="2378">
        <v>1</v>
      </c>
      <c r="I29" s="2820" t="str">
        <f>IF(U29="","",INDEX(TERRITORY_MR_LIST,MATCH(U29,TERRITORY_LIST_ID,0)))</f>
        <v/>
      </c>
      <c r="J29" s="2402" t="s">
        <v>54</v>
      </c>
      <c r="K29" s="1193"/>
      <c r="L29" s="2148" t="s">
        <v>106</v>
      </c>
      <c r="M29" s="964"/>
      <c r="N29" s="965"/>
      <c r="O29" s="965"/>
      <c r="P29" s="965"/>
      <c r="Q29" s="965"/>
      <c r="R29" s="965"/>
      <c r="S29" s="965"/>
      <c r="T29" s="965"/>
      <c r="U29" s="966"/>
      <c r="V29" s="965"/>
      <c r="W29" s="965"/>
      <c r="X29" s="956"/>
      <c r="Y29" s="956" t="s">
        <v>115</v>
      </c>
      <c r="Z29" s="956">
        <v>1705000</v>
      </c>
      <c r="AA29" s="956"/>
      <c r="AB29" s="956"/>
      <c r="AC29" s="956"/>
      <c r="AD29" s="956"/>
      <c r="AE29" s="956"/>
      <c r="AF29" s="956"/>
      <c r="AG29" s="956"/>
      <c r="AH29" s="956"/>
      <c r="AI29" s="956"/>
      <c r="AJ29" s="956"/>
      <c r="AK29" s="956"/>
      <c r="AL29" s="956"/>
    </row>
    <row s="20628" customFormat="1" customHeight="1" ht="15">
      <c r="A30" s="784"/>
      <c r="B30" s="784"/>
      <c r="C30" s="538"/>
      <c r="D30" s="2187"/>
      <c r="E30" s="2187"/>
      <c r="F30" s="2187"/>
      <c r="G30" s="2819"/>
      <c r="H30" s="2378"/>
      <c r="I30" s="2820"/>
      <c r="J30" s="2402"/>
      <c r="K30" s="782"/>
      <c r="L30" s="539"/>
      <c r="M30" s="968" t="s">
        <v>116</v>
      </c>
      <c r="N30" s="965"/>
      <c r="O30" s="965"/>
      <c r="P30" s="965"/>
      <c r="Q30" s="965"/>
      <c r="R30" s="965"/>
      <c r="S30" s="965"/>
      <c r="T30" s="965"/>
      <c r="U30" s="966"/>
      <c r="V30" s="965"/>
      <c r="W30" s="965"/>
      <c r="X30" s="956"/>
      <c r="Y30" s="956"/>
      <c r="Z30" s="956"/>
      <c r="AA30" s="956"/>
      <c r="AB30" s="956"/>
      <c r="AC30" s="956"/>
      <c r="AD30" s="956"/>
      <c r="AE30" s="956"/>
      <c r="AF30" s="956"/>
      <c r="AG30" s="956"/>
      <c r="AH30" s="956"/>
      <c r="AI30" s="956"/>
      <c r="AJ30" s="956"/>
      <c r="AK30" s="956"/>
      <c r="AL30" s="956"/>
    </row>
    <row s="18455" customFormat="1" customHeight="1" ht="15">
      <c r="U31" s="546"/>
    </row>
    <row s="18455" customFormat="1" customHeight="1" ht="15">
      <c r="A32" s="2181" t="s">
        <v>1836</v>
      </c>
      <c r="B32" s="2181"/>
      <c r="C32" s="2181"/>
      <c r="D32" s="2181"/>
      <c r="E32" s="2181"/>
      <c r="F32" s="2181"/>
      <c r="G32" s="2181"/>
      <c r="H32" s="2181"/>
      <c r="I32" s="2181"/>
      <c r="J32" s="2181"/>
      <c r="K32" s="2181"/>
      <c r="L32" s="2181"/>
      <c r="M32" s="2181"/>
      <c r="N32" s="2181"/>
      <c r="O32" s="2181"/>
      <c r="P32" s="2181"/>
      <c r="Q32" s="2181"/>
      <c r="R32" s="2181"/>
      <c r="S32" s="2181"/>
      <c r="T32" s="2181"/>
      <c r="U32" s="545"/>
      <c r="V32" s="2181"/>
      <c r="W32" s="2181"/>
    </row>
    <row s="18455" customFormat="1" customHeight="1" ht="15">
      <c r="U33" s="546"/>
    </row>
    <row s="20628" customFormat="1" customHeight="1" ht="15">
      <c r="A34" s="784"/>
      <c r="B34" s="784"/>
      <c r="C34" s="538"/>
      <c r="D34" s="2187"/>
      <c r="E34" s="2187"/>
      <c r="F34" s="2187"/>
      <c r="G34" s="2187"/>
      <c r="H34" s="2187"/>
      <c r="I34" s="2187"/>
      <c r="J34" s="2187"/>
      <c r="K34" s="2165" t="s">
        <v>530</v>
      </c>
      <c r="L34" s="2095" t="s">
        <v>106</v>
      </c>
      <c r="M34" s="1172"/>
      <c r="N34" s="1173"/>
      <c r="O34" s="965"/>
      <c r="P34" s="965"/>
      <c r="Q34" s="965"/>
      <c r="R34" s="965"/>
      <c r="S34" s="965"/>
      <c r="T34" s="965"/>
      <c r="U34" s="966"/>
      <c r="V34" s="965"/>
      <c r="W34" s="965"/>
      <c r="X34" s="956"/>
      <c r="Y34" s="956" t="s">
        <v>115</v>
      </c>
      <c r="Z34" s="956">
        <v>1705000</v>
      </c>
      <c r="AA34" s="956"/>
      <c r="AB34" s="956"/>
      <c r="AC34" s="956"/>
      <c r="AD34" s="956"/>
      <c r="AE34" s="956"/>
      <c r="AF34" s="956"/>
      <c r="AG34" s="956"/>
      <c r="AH34" s="956"/>
      <c r="AI34" s="956"/>
      <c r="AJ34" s="956"/>
      <c r="AK34" s="956"/>
      <c r="AL34" s="956"/>
    </row>
    <row s="18455" customFormat="1" customHeight="1" ht="15">
      <c r="U35" s="546"/>
    </row>
    <row s="18455" customFormat="1" customHeight="1" ht="15">
      <c r="U36" s="546"/>
    </row>
    <row s="20611" customFormat="1" customHeight="1" ht="11.25">
      <c r="A37" s="2181" t="s">
        <v>1837</v>
      </c>
    </row>
    <row customHeight="1" ht="11.25"/>
    <row s="18933" customFormat="1" customHeight="1" ht="22.5">
      <c r="A39" s="2157"/>
      <c r="B39" s="818"/>
      <c r="C39" s="1220"/>
      <c r="D39" s="801"/>
      <c r="E39" s="1221"/>
      <c r="F39" s="2178"/>
      <c r="G39" s="2188"/>
      <c r="H39" s="836"/>
    </row>
    <row customHeight="1" ht="11.25"/>
    <row s="20611" customFormat="1" customHeight="1" ht="11.25">
      <c r="A41" s="2181" t="s">
        <v>1838</v>
      </c>
    </row>
    <row customHeight="1" ht="11.25"/>
    <row s="18933" customFormat="1" customHeight="1" ht="22.5">
      <c r="A43" s="818"/>
      <c r="B43" s="818"/>
      <c r="C43" s="818"/>
      <c r="D43" s="801"/>
      <c r="E43" s="1221"/>
      <c r="F43" s="1222"/>
      <c r="G43" s="2188"/>
      <c r="H43" s="836"/>
    </row>
    <row customHeight="1" ht="11.25"/>
    <row s="20611" customFormat="1" customHeight="1" ht="11.25">
      <c r="A45" s="2181" t="s">
        <v>1839</v>
      </c>
    </row>
    <row customHeight="1" ht="11.25"/>
    <row s="18933" customFormat="1" customHeight="1" ht="24">
      <c r="A47" s="2475" t="s">
        <v>313</v>
      </c>
      <c r="B47" s="863"/>
      <c r="C47" s="2486"/>
      <c r="D47" s="806" t="str">
        <f>A47</f>
        <v>5.1</v>
      </c>
      <c r="E47" s="803" t="s">
        <v>314</v>
      </c>
      <c r="F47" s="2344" t="s">
        <v>306</v>
      </c>
      <c r="G47" s="805" t="s">
        <v>315</v>
      </c>
      <c r="H47" s="836"/>
      <c r="I47" s="1213"/>
    </row>
    <row s="18933" customFormat="1" customHeight="1" ht="22.5">
      <c r="A48" s="2475"/>
      <c r="B48" s="863"/>
      <c r="C48" s="2486"/>
      <c r="D48" s="801" t="str">
        <f>D47&amp;".1"</f>
        <v>5.1.1</v>
      </c>
      <c r="E48" s="800" t="s">
        <v>316</v>
      </c>
      <c r="F48" s="2345" t="s">
        <v>24</v>
      </c>
      <c r="G48" s="835"/>
      <c r="H48" s="836"/>
      <c r="I48" s="1213"/>
    </row>
    <row s="18933" customFormat="1" customHeight="1" ht="22.5">
      <c r="A49" s="2475"/>
      <c r="B49" s="863"/>
      <c r="C49" s="2486"/>
      <c r="D49" s="801" t="str">
        <f>D47&amp;".2"</f>
        <v>5.1.2</v>
      </c>
      <c r="E49" s="800" t="s">
        <v>317</v>
      </c>
      <c r="F49" s="2098" t="s">
        <v>24</v>
      </c>
      <c r="G49" s="805" t="s">
        <v>318</v>
      </c>
      <c r="H49" s="836"/>
      <c r="I49" s="1213"/>
    </row>
    <row s="18933" customFormat="1" customHeight="1" ht="22.5">
      <c r="A50" s="2475"/>
      <c r="B50" s="863"/>
      <c r="C50" s="2486"/>
      <c r="D50" s="801" t="str">
        <f>D47&amp;".3"</f>
        <v>5.1.3</v>
      </c>
      <c r="E50" s="800" t="s">
        <v>319</v>
      </c>
      <c r="F50" s="2345" t="s">
        <v>24</v>
      </c>
      <c r="G50" s="835"/>
      <c r="H50" s="836"/>
      <c r="I50" s="1213"/>
    </row>
    <row s="18933" customFormat="1" customHeight="1" ht="22.5">
      <c r="A51" s="2475"/>
      <c r="B51" s="863"/>
      <c r="C51" s="2486"/>
      <c r="D51" s="801" t="str">
        <f>D47&amp;".4"</f>
        <v>5.1.4</v>
      </c>
      <c r="E51" s="800" t="s">
        <v>320</v>
      </c>
      <c r="F51" s="2345" t="s">
        <v>24</v>
      </c>
      <c r="G51" s="805" t="s">
        <v>321</v>
      </c>
      <c r="H51" s="836"/>
      <c r="I51" s="1213"/>
    </row>
    <row r="54" s="20611" customFormat="1" customHeight="1" ht="17.25">
      <c r="A54" s="2181" t="s">
        <v>1840</v>
      </c>
    </row>
    <row r="56" s="19021" customFormat="1" customHeight="1" ht="18.75">
      <c r="A56" s="450"/>
      <c r="B56" s="2189"/>
      <c r="C56" s="2189"/>
      <c r="D56" s="2190"/>
      <c r="E56" s="2175"/>
      <c r="F56" s="1229">
        <v>13</v>
      </c>
      <c r="G56" s="1228"/>
      <c r="H56" s="1154"/>
      <c r="I56" s="1152"/>
      <c r="J56" s="881" t="s">
        <v>59</v>
      </c>
      <c r="K56" s="2191" t="s">
        <v>24</v>
      </c>
      <c r="L56" s="450"/>
      <c r="M56" s="2002"/>
      <c r="N56" s="2002"/>
      <c r="O56" s="2002"/>
      <c r="P56" s="877" t="s">
        <v>392</v>
      </c>
      <c r="Q56" s="877" t="s">
        <v>393</v>
      </c>
      <c r="R56" s="878" t="s">
        <v>394</v>
      </c>
      <c r="S56" s="2002" t="s">
        <v>395</v>
      </c>
      <c r="T56" s="2002"/>
      <c r="U56" s="2002"/>
      <c r="V56" s="2002"/>
    </row>
    <row r="58" s="20611" customFormat="1" customHeight="1" ht="11.25">
      <c r="A58" s="2181" t="s">
        <v>1841</v>
      </c>
    </row>
    <row r="60" s="19274" customFormat="1" customHeight="1" ht="14.25">
      <c r="C60" s="2054"/>
      <c r="D60" s="2236"/>
      <c r="E60" s="2143" t="s">
        <v>24</v>
      </c>
      <c r="F60" s="2235"/>
      <c r="G60" s="1217"/>
      <c r="H60" s="2144"/>
      <c r="I60" s="2144"/>
      <c r="J60" s="794"/>
      <c r="K60" s="2230"/>
      <c r="L60" s="793"/>
      <c r="M60" s="2230"/>
      <c r="N60" s="794"/>
      <c r="O60" s="2230"/>
      <c r="P60" s="794"/>
      <c r="Q60" s="2230"/>
      <c r="R60" s="794"/>
      <c r="S60" s="1215"/>
      <c r="T60" s="2144"/>
      <c r="U60" s="794"/>
      <c r="V60" s="794"/>
      <c r="W60" s="2234"/>
      <c r="X60" s="2144"/>
      <c r="Y60" s="794"/>
      <c r="Z60" s="794"/>
      <c r="AA60" s="2234"/>
      <c r="AB60" s="2144"/>
      <c r="AC60" s="794"/>
      <c r="AD60" s="2234"/>
      <c r="AE60" s="450"/>
      <c r="AF60" s="450"/>
      <c r="AG60" s="450"/>
      <c r="AH60" s="450"/>
      <c r="AJ60" s="2002"/>
      <c r="AK60" s="2002"/>
      <c r="AL60" s="2002"/>
      <c r="AM60" s="2002"/>
      <c r="AN60" s="2002"/>
      <c r="AO60" s="2002"/>
      <c r="AP60" s="1990" t="s">
        <v>381</v>
      </c>
      <c r="AQ60" s="1990" t="s">
        <v>381</v>
      </c>
      <c r="AR60" s="2002"/>
      <c r="AS60" s="2002"/>
    </row>
    <row r="62" s="20611" customFormat="1" customHeight="1" ht="11.25">
      <c r="A62" s="2181" t="s">
        <v>1842</v>
      </c>
    </row>
    <row r="64" s="20659" customFormat="1" customHeight="1" ht="15">
      <c r="A64" s="507" t="s">
        <v>87</v>
      </c>
      <c r="B64" s="487" t="s">
        <v>24</v>
      </c>
      <c r="C64" s="2192"/>
      <c r="D64" s="490"/>
      <c r="E64" s="742"/>
      <c r="F64" s="742"/>
      <c r="G64" s="2169"/>
      <c r="H64" s="2191"/>
      <c r="I64" s="2170"/>
      <c r="K64" s="633"/>
      <c r="L64" s="634"/>
    </row>
    <row r="66" s="20611" customFormat="1" customHeight="1" ht="11.25">
      <c r="A66" s="2181" t="s">
        <v>1843</v>
      </c>
    </row>
    <row r="68" s="19274" customFormat="1" customHeight="1" ht="14.25">
      <c r="A68" s="704"/>
      <c r="B68" s="1523"/>
      <c r="C68" s="737"/>
      <c r="D68" s="2176"/>
      <c r="E68" s="1247"/>
      <c r="F68" s="2191"/>
      <c r="G68" s="450"/>
      <c r="I68" s="1990"/>
      <c r="J68" s="1990"/>
    </row>
    <row r="70" s="20611" customFormat="1" customHeight="1" ht="11.25">
      <c r="A70" s="2181" t="s">
        <v>1844</v>
      </c>
    </row>
    <row r="72" s="19274" customFormat="1" customHeight="1" ht="27">
      <c r="A72" s="1529"/>
      <c r="B72" s="1529"/>
      <c r="C72" s="1529"/>
      <c r="D72" s="1523"/>
      <c r="E72" s="2193"/>
      <c r="F72" s="2768"/>
      <c r="G72" s="2769"/>
      <c r="H72" s="2770" t="s">
        <v>59</v>
      </c>
      <c r="I72" s="2772"/>
      <c r="J72" s="2774"/>
      <c r="K72" s="2776"/>
      <c r="L72" s="2786"/>
      <c r="M72" s="2786"/>
      <c r="N72" s="2827"/>
      <c r="O72" s="2827"/>
      <c r="P72" s="2828">
        <f>DATEDIF(DATEVALUE(N72),DATEVALUE(O72),"y")&amp;"г. "&amp;DATEDIF(DATEVALUE(N72),DATEVALUE(O72),"ym")&amp;"мес. "&amp;DATEVALUE(O72)-DATE(YEAR(DATEVALUE(O72)),MONTH(DATEVALUE(O72)),1)&amp;"дн. "</f>
      </c>
      <c r="Q72" s="2788"/>
      <c r="R72" s="2788"/>
      <c r="S72" s="2788"/>
      <c r="T72" s="2774"/>
      <c r="U72" s="2788"/>
      <c r="V72" s="2788"/>
      <c r="W72" s="2788"/>
      <c r="X72" s="2774"/>
      <c r="Y72" s="2825" t="s">
        <v>59</v>
      </c>
      <c r="Z72" s="2174"/>
      <c r="AA72" s="2158">
        <v>1</v>
      </c>
      <c r="AB72" s="1607"/>
      <c r="AD72" s="2002" t="s">
        <v>1845</v>
      </c>
    </row>
    <row s="19274" customFormat="1" customHeight="1" ht="10.5">
      <c r="A73" s="1529"/>
      <c r="B73" s="1529"/>
      <c r="C73" s="1529"/>
      <c r="D73" s="1523"/>
      <c r="E73" s="1309"/>
      <c r="F73" s="2768"/>
      <c r="G73" s="2769"/>
      <c r="H73" s="2771"/>
      <c r="I73" s="2773"/>
      <c r="J73" s="2775"/>
      <c r="K73" s="2776"/>
      <c r="L73" s="2786"/>
      <c r="M73" s="2786"/>
      <c r="N73" s="2827"/>
      <c r="O73" s="2827"/>
      <c r="P73" s="2828"/>
      <c r="Q73" s="2788"/>
      <c r="R73" s="2788"/>
      <c r="S73" s="2788"/>
      <c r="T73" s="2775"/>
      <c r="U73" s="2788"/>
      <c r="V73" s="2788"/>
      <c r="W73" s="2788"/>
      <c r="X73" s="2775"/>
      <c r="Y73" s="2826"/>
      <c r="Z73" s="708"/>
      <c r="AA73" s="933"/>
      <c r="AB73" s="1013" t="s">
        <v>1846</v>
      </c>
    </row>
    <row r="75" s="20611" customFormat="1" customHeight="1" ht="11.25">
      <c r="A75" s="2181" t="s">
        <v>1847</v>
      </c>
    </row>
    <row r="77" s="19274" customFormat="1" customHeight="1" ht="27">
      <c r="A77" s="1529"/>
      <c r="B77" s="1529"/>
      <c r="C77" s="1529"/>
      <c r="D77" s="1523"/>
      <c r="E77" s="2193"/>
      <c r="F77" s="2163"/>
      <c r="G77" s="2113"/>
      <c r="H77" s="2114"/>
      <c r="I77" s="2115"/>
      <c r="J77" s="2116"/>
      <c r="K77" s="2117"/>
      <c r="L77" s="2118"/>
      <c r="M77" s="2118"/>
      <c r="N77" s="2119"/>
      <c r="O77" s="2119"/>
      <c r="P77" s="2120"/>
      <c r="Q77" s="2121"/>
      <c r="R77" s="2121"/>
      <c r="S77" s="2121"/>
      <c r="T77" s="2116"/>
      <c r="U77" s="2121"/>
      <c r="V77" s="2121"/>
      <c r="W77" s="2121"/>
      <c r="X77" s="2116"/>
      <c r="Y77" s="2114"/>
      <c r="Z77" s="2174"/>
      <c r="AA77" s="2158">
        <v>1</v>
      </c>
      <c r="AB77" s="1607"/>
      <c r="AD77" s="2002" t="s">
        <v>1845</v>
      </c>
    </row>
    <row r="79" s="20611" customFormat="1" customHeight="1" ht="11.25">
      <c r="A79" s="2181" t="s">
        <v>1848</v>
      </c>
    </row>
    <row customHeight="1" ht="17.25"/>
    <row s="19274" customFormat="1" customHeight="1" ht="21">
      <c r="A81" s="1530"/>
      <c r="B81" s="1529"/>
      <c r="C81" s="1529"/>
      <c r="D81" s="1523"/>
      <c r="E81" s="1533"/>
      <c r="F81" s="1485">
        <f>INDEX(IP_MAIN_LIST_NAME_IP,MATCH(A81,IP_MAIN_LIST_IP_ID,0))&amp;" ("&amp;INDEX(IP_MAIN_START_DATE,MATCH(A81,IP_MAIN_LIST_IP_ID,0))&amp;"-"&amp;INDEX(IP_MAIN_END_DATE,MATCH(A81,IP_MAIN_LIST_IP_ID,0))&amp;")"</f>
      </c>
      <c r="G81" s="1486"/>
      <c r="H81" s="1486"/>
      <c r="I81" s="1550"/>
      <c r="J81" s="1550"/>
      <c r="K81" s="1551"/>
      <c r="L81" s="1551"/>
      <c r="M81" s="1551"/>
      <c r="N81" s="1552"/>
      <c r="O81" s="1552"/>
      <c r="P81" s="1552"/>
      <c r="Q81" s="1552"/>
      <c r="R81" s="1552"/>
      <c r="S81" s="1552"/>
      <c r="T81" s="1552"/>
      <c r="U81" s="1552"/>
      <c r="V81" s="1552"/>
      <c r="W81" s="1552"/>
      <c r="X81" s="1552"/>
      <c r="Y81" s="1552"/>
      <c r="Z81" s="1552"/>
      <c r="AA81" s="1552"/>
      <c r="AB81" s="1552"/>
      <c r="AC81" s="1552"/>
      <c r="AD81" s="1552"/>
      <c r="AE81" s="1553"/>
      <c r="AF81" s="1551"/>
      <c r="AG81" s="1551"/>
      <c r="AH81" s="1551"/>
      <c r="AI81" s="1551"/>
      <c r="AJ81" s="1551"/>
      <c r="AK81" s="1551"/>
      <c r="AL81" s="1534"/>
      <c r="AM81" s="2189"/>
      <c r="AN81" s="2189"/>
      <c r="AO81" s="2189"/>
      <c r="AP81" s="2189"/>
      <c r="AQ81" s="2189"/>
      <c r="AR81" s="2189"/>
      <c r="AS81" s="2189"/>
      <c r="AT81" s="2189"/>
      <c r="AU81" s="2189"/>
      <c r="AV81" s="2189"/>
      <c r="AW81" s="2189"/>
      <c r="AX81" s="2189"/>
      <c r="AY81" s="2189"/>
      <c r="AZ81" s="2189"/>
      <c r="BA81" s="2189"/>
      <c r="BB81" s="2189"/>
      <c r="BC81" s="2189"/>
      <c r="BD81" s="2189"/>
      <c r="BE81" s="2189"/>
      <c r="BF81" s="2189"/>
    </row>
    <row s="19274" customFormat="1" customHeight="1" ht="11.25">
      <c r="A82" s="1529"/>
      <c r="B82" s="1529"/>
      <c r="C82" s="1529"/>
      <c r="D82" s="1523"/>
      <c r="E82" s="1533"/>
      <c r="F82" s="2831"/>
      <c r="G82" s="2787"/>
      <c r="H82" s="2787" t="s">
        <v>106</v>
      </c>
      <c r="I82" s="2834"/>
      <c r="J82" s="2760"/>
      <c r="K82" s="2835"/>
      <c r="L82" s="2829" t="s">
        <v>54</v>
      </c>
      <c r="M82" s="2403"/>
      <c r="N82" s="1542"/>
      <c r="O82" s="1541" t="s">
        <v>376</v>
      </c>
      <c r="P82" s="1542"/>
      <c r="Q82" s="1542"/>
      <c r="R82" s="1542"/>
      <c r="S82" s="1542"/>
      <c r="T82" s="1542"/>
      <c r="U82" s="1542"/>
      <c r="V82" s="1542"/>
      <c r="W82" s="1542"/>
      <c r="X82" s="1542"/>
      <c r="Y82" s="1542"/>
      <c r="Z82" s="1542"/>
      <c r="AA82" s="1542"/>
      <c r="AB82" s="1542"/>
      <c r="AC82" s="1542"/>
      <c r="AD82" s="1542"/>
      <c r="AE82" s="1542"/>
      <c r="AF82" s="2833"/>
      <c r="AG82" s="2829"/>
      <c r="AH82" s="2829"/>
      <c r="AI82" s="2833"/>
      <c r="AJ82" s="2829"/>
      <c r="AK82" s="2829"/>
      <c r="AL82" s="1536"/>
      <c r="AM82" s="2189"/>
      <c r="AN82" s="2189"/>
      <c r="AO82" s="2189"/>
      <c r="AP82" s="2189"/>
      <c r="AQ82" s="2189"/>
      <c r="AR82" s="2189"/>
      <c r="AS82" s="2189"/>
      <c r="AT82" s="2189"/>
      <c r="AU82" s="2189"/>
      <c r="AV82" s="2189"/>
      <c r="AW82" s="2189"/>
      <c r="AX82" s="2189"/>
      <c r="AY82" s="2189"/>
      <c r="AZ82" s="2189"/>
      <c r="BA82" s="2189"/>
      <c r="BB82" s="2189"/>
      <c r="BC82" s="2189"/>
      <c r="BD82" s="2189"/>
      <c r="BE82" s="2189"/>
      <c r="BF82" s="2189"/>
    </row>
    <row s="19274" customFormat="1" customHeight="1" ht="11.25">
      <c r="A83" s="1529"/>
      <c r="B83" s="1529"/>
      <c r="C83" s="1529"/>
      <c r="D83" s="1523"/>
      <c r="E83" s="1533"/>
      <c r="F83" s="2831"/>
      <c r="G83" s="2787"/>
      <c r="H83" s="2787"/>
      <c r="I83" s="2834"/>
      <c r="J83" s="2760"/>
      <c r="K83" s="2835"/>
      <c r="L83" s="2829"/>
      <c r="M83" s="2403"/>
      <c r="N83" s="2836"/>
      <c r="O83" s="2782">
        <v>1</v>
      </c>
      <c r="P83" s="2777" t="s">
        <v>54</v>
      </c>
      <c r="Q83" s="2780" t="s">
        <v>24</v>
      </c>
      <c r="R83" s="2780" t="s">
        <v>24</v>
      </c>
      <c r="S83" s="2780" t="s">
        <v>24</v>
      </c>
      <c r="T83" s="2780" t="s">
        <v>24</v>
      </c>
      <c r="U83" s="2780" t="s">
        <v>24</v>
      </c>
      <c r="V83" s="2780" t="s">
        <v>24</v>
      </c>
      <c r="W83" s="2780" t="s">
        <v>24</v>
      </c>
      <c r="X83" s="2780" t="s">
        <v>24</v>
      </c>
      <c r="Y83" s="2780"/>
      <c r="Z83" s="1539"/>
      <c r="AA83" s="1540"/>
      <c r="AB83" s="1540"/>
      <c r="AC83" s="1544"/>
      <c r="AD83" s="1544"/>
      <c r="AE83" s="1545"/>
      <c r="AF83" s="2833"/>
      <c r="AG83" s="2829"/>
      <c r="AH83" s="2829"/>
      <c r="AI83" s="2833"/>
      <c r="AJ83" s="2829"/>
      <c r="AK83" s="2829"/>
      <c r="AL83" s="1536"/>
      <c r="AM83" s="2189"/>
      <c r="AN83" s="2189"/>
      <c r="AO83" s="2189"/>
      <c r="AP83" s="2189"/>
      <c r="AQ83" s="2189"/>
      <c r="AR83" s="2189"/>
      <c r="AS83" s="2189"/>
      <c r="AT83" s="2189"/>
      <c r="AU83" s="2189"/>
      <c r="AV83" s="2189"/>
      <c r="AW83" s="2189"/>
      <c r="AX83" s="2189"/>
      <c r="AY83" s="2189"/>
      <c r="AZ83" s="2189"/>
      <c r="BA83" s="2189"/>
      <c r="BB83" s="2189"/>
      <c r="BC83" s="2189"/>
      <c r="BD83" s="2189"/>
      <c r="BE83" s="2189"/>
      <c r="BF83" s="2189"/>
    </row>
    <row s="19274" customFormat="1" customHeight="1" ht="11.25">
      <c r="A84" s="1529"/>
      <c r="B84" s="1529"/>
      <c r="C84" s="1529"/>
      <c r="D84" s="1523"/>
      <c r="E84" s="1533"/>
      <c r="F84" s="2831"/>
      <c r="G84" s="2787"/>
      <c r="H84" s="2787"/>
      <c r="I84" s="2834"/>
      <c r="J84" s="2760"/>
      <c r="K84" s="2835"/>
      <c r="L84" s="2829"/>
      <c r="M84" s="2403"/>
      <c r="N84" s="2836"/>
      <c r="O84" s="2782"/>
      <c r="P84" s="2778"/>
      <c r="Q84" s="2780"/>
      <c r="R84" s="2780"/>
      <c r="S84" s="2783"/>
      <c r="T84" s="2780"/>
      <c r="U84" s="2780"/>
      <c r="V84" s="2780"/>
      <c r="W84" s="2780"/>
      <c r="X84" s="2780"/>
      <c r="Y84" s="2780"/>
      <c r="Z84" s="2194"/>
      <c r="AA84" s="2160">
        <v>1</v>
      </c>
      <c r="AB84" s="1543"/>
      <c r="AC84" s="1532"/>
      <c r="AD84" s="1543">
        <f>AB84</f>
        <v>0</v>
      </c>
      <c r="AE84" s="1532"/>
      <c r="AF84" s="2833"/>
      <c r="AG84" s="2829"/>
      <c r="AH84" s="2829"/>
      <c r="AI84" s="2833"/>
      <c r="AJ84" s="2829"/>
      <c r="AK84" s="2829"/>
      <c r="AL84" s="1536"/>
      <c r="AM84" s="2189"/>
      <c r="AN84" s="2189"/>
      <c r="AO84" s="2189"/>
      <c r="AP84" s="2189"/>
      <c r="AQ84" s="2189"/>
      <c r="AR84" s="2189"/>
      <c r="AS84" s="2189"/>
      <c r="AT84" s="2189"/>
      <c r="AU84" s="2189"/>
      <c r="AV84" s="2189"/>
      <c r="AW84" s="2189"/>
      <c r="AX84" s="2189"/>
      <c r="AY84" s="2189"/>
      <c r="AZ84" s="2189"/>
      <c r="BA84" s="2189"/>
      <c r="BB84" s="2189"/>
      <c r="BC84" s="2189"/>
      <c r="BD84" s="2189"/>
      <c r="BE84" s="2189"/>
      <c r="BF84" s="2189"/>
    </row>
    <row s="19274" customFormat="1" customHeight="1" ht="11.25">
      <c r="A85" s="1529"/>
      <c r="B85" s="1529"/>
      <c r="C85" s="1529"/>
      <c r="D85" s="1523"/>
      <c r="E85" s="1533"/>
      <c r="F85" s="2831"/>
      <c r="G85" s="2787"/>
      <c r="H85" s="2787"/>
      <c r="I85" s="2834"/>
      <c r="J85" s="2760"/>
      <c r="K85" s="2835"/>
      <c r="L85" s="2829"/>
      <c r="M85" s="2403"/>
      <c r="N85" s="2836"/>
      <c r="O85" s="2782"/>
      <c r="P85" s="2779"/>
      <c r="Q85" s="2780"/>
      <c r="R85" s="2780"/>
      <c r="S85" s="2783"/>
      <c r="T85" s="2780"/>
      <c r="U85" s="2780"/>
      <c r="V85" s="2780"/>
      <c r="W85" s="2780"/>
      <c r="X85" s="2780"/>
      <c r="Y85" s="2780"/>
      <c r="Z85" s="1539"/>
      <c r="AA85" s="1540"/>
      <c r="AB85" s="1606" t="s">
        <v>1849</v>
      </c>
      <c r="AC85" s="1544"/>
      <c r="AD85" s="1544"/>
      <c r="AE85" s="1546"/>
      <c r="AF85" s="2833"/>
      <c r="AG85" s="2829"/>
      <c r="AH85" s="2829"/>
      <c r="AI85" s="2833"/>
      <c r="AJ85" s="2829"/>
      <c r="AK85" s="2829"/>
      <c r="AL85" s="1536"/>
      <c r="AM85" s="2189"/>
      <c r="AN85" s="2189"/>
      <c r="AO85" s="2189"/>
      <c r="AP85" s="2189"/>
      <c r="AQ85" s="2189"/>
      <c r="AR85" s="2189"/>
      <c r="AS85" s="2189"/>
      <c r="AT85" s="2189"/>
      <c r="AU85" s="2189"/>
      <c r="AV85" s="2189"/>
      <c r="AW85" s="2189"/>
      <c r="AX85" s="2189"/>
      <c r="AY85" s="2189"/>
      <c r="AZ85" s="2189"/>
      <c r="BA85" s="2189"/>
      <c r="BB85" s="2189"/>
      <c r="BC85" s="2189"/>
      <c r="BD85" s="2189"/>
      <c r="BE85" s="2189"/>
      <c r="BF85" s="2189"/>
    </row>
    <row s="19274" customFormat="1" customHeight="1" ht="11.25">
      <c r="A86" s="1529"/>
      <c r="B86" s="1529"/>
      <c r="C86" s="1529"/>
      <c r="D86" s="1523"/>
      <c r="E86" s="1533"/>
      <c r="F86" s="2831"/>
      <c r="G86" s="2787"/>
      <c r="H86" s="2787"/>
      <c r="I86" s="2834"/>
      <c r="J86" s="2760"/>
      <c r="K86" s="2835"/>
      <c r="L86" s="2829"/>
      <c r="M86" s="2403"/>
      <c r="N86" s="1540"/>
      <c r="O86" s="1540"/>
      <c r="P86" s="1531" t="s">
        <v>1850</v>
      </c>
      <c r="Q86" s="1540"/>
      <c r="R86" s="1540"/>
      <c r="S86" s="1540"/>
      <c r="T86" s="1540"/>
      <c r="U86" s="1540"/>
      <c r="V86" s="1540"/>
      <c r="W86" s="1540"/>
      <c r="X86" s="1540"/>
      <c r="Y86" s="1540"/>
      <c r="Z86" s="1540"/>
      <c r="AA86" s="1540"/>
      <c r="AB86" s="1540"/>
      <c r="AC86" s="1540"/>
      <c r="AD86" s="1540"/>
      <c r="AE86" s="1547"/>
      <c r="AF86" s="2833"/>
      <c r="AG86" s="2829"/>
      <c r="AH86" s="2829"/>
      <c r="AI86" s="2833"/>
      <c r="AJ86" s="2829"/>
      <c r="AK86" s="2829"/>
      <c r="AL86" s="1536"/>
      <c r="AM86" s="2189"/>
      <c r="AN86" s="2189"/>
      <c r="AO86" s="2189"/>
      <c r="AP86" s="2189"/>
      <c r="AQ86" s="2189"/>
      <c r="AR86" s="2189"/>
      <c r="AS86" s="2189"/>
      <c r="AT86" s="2189"/>
      <c r="AU86" s="2189"/>
      <c r="AV86" s="2189"/>
      <c r="AW86" s="2189"/>
      <c r="AX86" s="2189"/>
      <c r="AY86" s="2189"/>
      <c r="AZ86" s="2189"/>
      <c r="BA86" s="2189"/>
      <c r="BB86" s="2189"/>
      <c r="BC86" s="2189"/>
      <c r="BD86" s="2189"/>
      <c r="BE86" s="2189"/>
      <c r="BF86" s="2189"/>
    </row>
    <row s="19274" customFormat="1" customHeight="1" ht="12">
      <c r="A87" s="1529"/>
      <c r="B87" s="1529"/>
      <c r="C87" s="1529"/>
      <c r="D87" s="1523"/>
      <c r="E87" s="1533"/>
      <c r="F87" s="2832"/>
      <c r="G87" s="1555"/>
      <c r="H87" s="1555"/>
      <c r="I87" s="2830" t="s">
        <v>1851</v>
      </c>
      <c r="J87" s="2830"/>
      <c r="K87" s="2830"/>
      <c r="L87" s="1537"/>
      <c r="M87" s="1537"/>
      <c r="N87" s="1538"/>
      <c r="O87" s="1538"/>
      <c r="P87" s="1538"/>
      <c r="Q87" s="1538"/>
      <c r="R87" s="1538"/>
      <c r="S87" s="1538"/>
      <c r="T87" s="1538"/>
      <c r="U87" s="1538"/>
      <c r="V87" s="1538"/>
      <c r="W87" s="1538"/>
      <c r="X87" s="1538"/>
      <c r="Y87" s="1538"/>
      <c r="Z87" s="1538"/>
      <c r="AA87" s="1538"/>
      <c r="AB87" s="1538"/>
      <c r="AC87" s="1538"/>
      <c r="AD87" s="1538"/>
      <c r="AE87" s="1538"/>
      <c r="AF87" s="1538"/>
      <c r="AG87" s="1537"/>
      <c r="AH87" s="1537"/>
      <c r="AI87" s="1538"/>
      <c r="AJ87" s="1537"/>
      <c r="AK87" s="1548"/>
      <c r="AL87" s="1536"/>
      <c r="AM87" s="2189"/>
      <c r="AN87" s="2189"/>
      <c r="AO87" s="2189"/>
      <c r="AP87" s="2189"/>
      <c r="AQ87" s="2189"/>
      <c r="AR87" s="2189"/>
      <c r="AS87" s="2189"/>
      <c r="AT87" s="2189"/>
      <c r="AU87" s="2189"/>
      <c r="AV87" s="2189"/>
      <c r="AW87" s="2189"/>
      <c r="AX87" s="2189"/>
      <c r="AY87" s="2189"/>
      <c r="AZ87" s="2189"/>
      <c r="BA87" s="2189"/>
      <c r="BB87" s="2189"/>
      <c r="BC87" s="2189"/>
      <c r="BD87" s="2189"/>
      <c r="BE87" s="2189"/>
      <c r="BF87" s="2189"/>
    </row>
    <row r="89" s="20611" customFormat="1" customHeight="1" ht="11.25">
      <c r="A89" s="2181" t="s">
        <v>1852</v>
      </c>
    </row>
    <row r="91" s="19274" customFormat="1" customHeight="1" ht="11.25">
      <c r="A91" s="1529"/>
      <c r="B91" s="1529"/>
      <c r="C91" s="1529"/>
      <c r="D91" s="1523"/>
      <c r="E91" s="1533"/>
      <c r="F91" s="2195"/>
      <c r="G91" s="2196"/>
      <c r="H91" s="2196"/>
      <c r="I91" s="2130"/>
      <c r="J91" s="2130"/>
      <c r="K91" s="2197"/>
      <c r="L91" s="2130"/>
      <c r="M91" s="2196"/>
      <c r="N91" s="2781"/>
      <c r="O91" s="2782">
        <v>1</v>
      </c>
      <c r="P91" s="2777" t="s">
        <v>54</v>
      </c>
      <c r="Q91" s="2780" t="s">
        <v>24</v>
      </c>
      <c r="R91" s="2780" t="s">
        <v>24</v>
      </c>
      <c r="S91" s="2780" t="s">
        <v>24</v>
      </c>
      <c r="T91" s="2780" t="s">
        <v>24</v>
      </c>
      <c r="U91" s="2780" t="s">
        <v>24</v>
      </c>
      <c r="V91" s="2780" t="s">
        <v>24</v>
      </c>
      <c r="W91" s="2780" t="s">
        <v>24</v>
      </c>
      <c r="X91" s="2780" t="s">
        <v>24</v>
      </c>
      <c r="Y91" s="2780"/>
      <c r="Z91" s="1539"/>
      <c r="AA91" s="1540"/>
      <c r="AB91" s="1540"/>
      <c r="AC91" s="1544"/>
      <c r="AD91" s="1544"/>
      <c r="AE91" s="1544"/>
      <c r="AF91" s="2198"/>
      <c r="AG91" s="2125"/>
      <c r="AH91" s="2125"/>
      <c r="AI91" s="2198"/>
      <c r="AJ91" s="2125"/>
      <c r="AK91" s="2125"/>
      <c r="AL91" s="1536"/>
      <c r="AM91" s="2189"/>
      <c r="AN91" s="2189"/>
      <c r="AO91" s="2189"/>
      <c r="AP91" s="2189"/>
      <c r="AQ91" s="2189"/>
      <c r="AR91" s="2189"/>
      <c r="AS91" s="2189"/>
      <c r="AT91" s="2189"/>
      <c r="AU91" s="2189"/>
      <c r="AV91" s="2189"/>
      <c r="AW91" s="2189"/>
      <c r="AX91" s="2189"/>
      <c r="AY91" s="2189"/>
      <c r="AZ91" s="2189"/>
      <c r="BA91" s="2189"/>
      <c r="BB91" s="2189"/>
      <c r="BC91" s="2189"/>
      <c r="BD91" s="2189"/>
      <c r="BE91" s="2189"/>
      <c r="BF91" s="2189"/>
    </row>
    <row s="19274" customFormat="1" customHeight="1" ht="11.25">
      <c r="A92" s="1529"/>
      <c r="B92" s="1529"/>
      <c r="C92" s="1529"/>
      <c r="D92" s="1523"/>
      <c r="E92" s="1533"/>
      <c r="F92" s="2195"/>
      <c r="G92" s="2196"/>
      <c r="H92" s="2196"/>
      <c r="I92" s="2131"/>
      <c r="J92" s="2131"/>
      <c r="K92" s="2197"/>
      <c r="L92" s="2131"/>
      <c r="M92" s="2196"/>
      <c r="N92" s="2781"/>
      <c r="O92" s="2782"/>
      <c r="P92" s="2778"/>
      <c r="Q92" s="2780"/>
      <c r="R92" s="2780"/>
      <c r="S92" s="2783"/>
      <c r="T92" s="2780"/>
      <c r="U92" s="2780"/>
      <c r="V92" s="2780"/>
      <c r="W92" s="2780"/>
      <c r="X92" s="2780"/>
      <c r="Y92" s="2780"/>
      <c r="Z92" s="2194"/>
      <c r="AA92" s="2160">
        <v>1</v>
      </c>
      <c r="AB92" s="1543"/>
      <c r="AC92" s="1532"/>
      <c r="AD92" s="1543">
        <f>AB92</f>
        <v>0</v>
      </c>
      <c r="AE92" s="1085"/>
      <c r="AF92" s="2197"/>
      <c r="AG92" s="2125"/>
      <c r="AH92" s="2125"/>
      <c r="AI92" s="2197"/>
      <c r="AJ92" s="2125"/>
      <c r="AK92" s="2125"/>
      <c r="AL92" s="1536"/>
      <c r="AM92" s="2189"/>
      <c r="AN92" s="2189"/>
      <c r="AO92" s="2189"/>
      <c r="AP92" s="2189"/>
      <c r="AQ92" s="2189"/>
      <c r="AR92" s="2189"/>
      <c r="AS92" s="2189"/>
      <c r="AT92" s="2189"/>
      <c r="AU92" s="2189"/>
      <c r="AV92" s="2189"/>
      <c r="AW92" s="2189"/>
      <c r="AX92" s="2189"/>
      <c r="AY92" s="2189"/>
      <c r="AZ92" s="2189"/>
      <c r="BA92" s="2189"/>
      <c r="BB92" s="2189"/>
      <c r="BC92" s="2189"/>
      <c r="BD92" s="2189"/>
      <c r="BE92" s="2189"/>
      <c r="BF92" s="2189"/>
    </row>
    <row s="19274" customFormat="1" customHeight="1" ht="11.25">
      <c r="A93" s="1529"/>
      <c r="B93" s="1529"/>
      <c r="C93" s="1529"/>
      <c r="D93" s="1523"/>
      <c r="E93" s="1533"/>
      <c r="F93" s="2195"/>
      <c r="G93" s="2196"/>
      <c r="H93" s="2196"/>
      <c r="I93" s="2132"/>
      <c r="J93" s="2132"/>
      <c r="K93" s="2197"/>
      <c r="L93" s="2132"/>
      <c r="M93" s="2196"/>
      <c r="N93" s="2781"/>
      <c r="O93" s="2782"/>
      <c r="P93" s="2779"/>
      <c r="Q93" s="2780"/>
      <c r="R93" s="2780"/>
      <c r="S93" s="2783"/>
      <c r="T93" s="2780"/>
      <c r="U93" s="2780"/>
      <c r="V93" s="2780"/>
      <c r="W93" s="2780"/>
      <c r="X93" s="2780"/>
      <c r="Y93" s="2780"/>
      <c r="Z93" s="1539"/>
      <c r="AA93" s="1540"/>
      <c r="AB93" s="1606" t="s">
        <v>1849</v>
      </c>
      <c r="AC93" s="1544"/>
      <c r="AD93" s="1544"/>
      <c r="AE93" s="1544"/>
      <c r="AF93" s="2199"/>
      <c r="AG93" s="2125"/>
      <c r="AH93" s="2125"/>
      <c r="AI93" s="2199"/>
      <c r="AJ93" s="2125"/>
      <c r="AK93" s="2125"/>
      <c r="AL93" s="1536"/>
      <c r="AM93" s="2189"/>
      <c r="AN93" s="2189"/>
      <c r="AO93" s="2189"/>
      <c r="AP93" s="2189"/>
      <c r="AQ93" s="2189"/>
      <c r="AR93" s="2189"/>
      <c r="AS93" s="2189"/>
      <c r="AT93" s="2189"/>
      <c r="AU93" s="2189"/>
      <c r="AV93" s="2189"/>
      <c r="AW93" s="2189"/>
      <c r="AX93" s="2189"/>
      <c r="AY93" s="2189"/>
      <c r="AZ93" s="2189"/>
      <c r="BA93" s="2189"/>
      <c r="BB93" s="2189"/>
      <c r="BC93" s="2189"/>
      <c r="BD93" s="2189"/>
      <c r="BE93" s="2189"/>
      <c r="BF93" s="2189"/>
    </row>
    <row r="95" s="20611" customFormat="1" customHeight="1" ht="11.25">
      <c r="A95" s="2181" t="s">
        <v>1853</v>
      </c>
    </row>
    <row r="97" s="19274" customFormat="1" customHeight="1" ht="11.25">
      <c r="A97" s="1529"/>
      <c r="B97" s="1529"/>
      <c r="C97" s="1529"/>
      <c r="D97" s="1523"/>
      <c r="E97" s="1533"/>
      <c r="F97" s="2196"/>
      <c r="G97" s="2196"/>
      <c r="H97" s="2196"/>
      <c r="I97" s="2196"/>
      <c r="J97" s="2196"/>
      <c r="K97" s="2196"/>
      <c r="L97" s="2196"/>
      <c r="M97" s="2196"/>
      <c r="N97" s="2196"/>
      <c r="O97" s="2196"/>
      <c r="P97" s="2196"/>
      <c r="Q97" s="2196"/>
      <c r="R97" s="2196"/>
      <c r="S97" s="2196"/>
      <c r="T97" s="2196"/>
      <c r="U97" s="2196"/>
      <c r="V97" s="2196"/>
      <c r="W97" s="2196"/>
      <c r="X97" s="2196"/>
      <c r="Y97" s="2196"/>
      <c r="Z97" s="2200"/>
      <c r="AA97" s="2180">
        <v>1</v>
      </c>
      <c r="AB97" s="1543"/>
      <c r="AC97" s="1532"/>
      <c r="AD97" s="1543">
        <f>AB97</f>
        <v>0</v>
      </c>
      <c r="AE97" s="1532"/>
      <c r="AF97" s="2197"/>
      <c r="AG97" s="2125"/>
      <c r="AH97" s="2125"/>
      <c r="AI97" s="2197"/>
      <c r="AJ97" s="2125"/>
      <c r="AK97" s="2125"/>
      <c r="AL97" s="1536"/>
      <c r="AM97" s="2189"/>
      <c r="AN97" s="2189"/>
      <c r="AO97" s="2189"/>
      <c r="AP97" s="2189"/>
      <c r="AQ97" s="2189"/>
      <c r="AR97" s="2189"/>
      <c r="AS97" s="2189"/>
      <c r="AT97" s="2189"/>
      <c r="AU97" s="2189"/>
      <c r="AV97" s="2189"/>
      <c r="AW97" s="2189"/>
      <c r="AX97" s="2189"/>
      <c r="AY97" s="2189"/>
      <c r="AZ97" s="2189"/>
      <c r="BA97" s="2189"/>
      <c r="BB97" s="2189"/>
      <c r="BC97" s="2189"/>
      <c r="BD97" s="2189"/>
      <c r="BE97" s="2189"/>
      <c r="BF97" s="2189"/>
    </row>
    <row r="99" s="20611" customFormat="1" customHeight="1" ht="11.25">
      <c r="A99" s="2181" t="s">
        <v>1854</v>
      </c>
    </row>
    <row r="101" s="19274" customFormat="1" customHeight="1" ht="11.25">
      <c r="A101" s="1529"/>
      <c r="B101" s="1529"/>
      <c r="C101" s="1529"/>
      <c r="D101" s="1523"/>
      <c r="E101" s="1533"/>
      <c r="F101" s="2195"/>
      <c r="G101" s="2196"/>
      <c r="H101" s="2787" t="s">
        <v>106</v>
      </c>
      <c r="I101" s="2834"/>
      <c r="J101" s="2760"/>
      <c r="K101" s="2835"/>
      <c r="L101" s="2829" t="s">
        <v>54</v>
      </c>
      <c r="M101" s="2403"/>
      <c r="N101" s="1542"/>
      <c r="O101" s="1541" t="s">
        <v>376</v>
      </c>
      <c r="P101" s="1542"/>
      <c r="Q101" s="1542"/>
      <c r="R101" s="1542"/>
      <c r="S101" s="1542"/>
      <c r="T101" s="1542"/>
      <c r="U101" s="1542"/>
      <c r="V101" s="1542"/>
      <c r="W101" s="1542"/>
      <c r="X101" s="1542"/>
      <c r="Y101" s="1542"/>
      <c r="Z101" s="1542"/>
      <c r="AA101" s="1542"/>
      <c r="AB101" s="1542"/>
      <c r="AC101" s="1542"/>
      <c r="AD101" s="1542"/>
      <c r="AE101" s="1542"/>
      <c r="AF101" s="2833"/>
      <c r="AG101" s="2829"/>
      <c r="AH101" s="2829"/>
      <c r="AI101" s="2833"/>
      <c r="AJ101" s="2829"/>
      <c r="AK101" s="2829"/>
      <c r="AL101" s="1536"/>
      <c r="AM101" s="2189"/>
      <c r="AN101" s="2189"/>
      <c r="AO101" s="2189"/>
      <c r="AP101" s="2189"/>
      <c r="AQ101" s="2189"/>
      <c r="AR101" s="2189"/>
      <c r="AS101" s="2189"/>
      <c r="AT101" s="2189"/>
      <c r="AU101" s="2189"/>
      <c r="AV101" s="2189"/>
      <c r="AW101" s="2189"/>
      <c r="AX101" s="2189"/>
      <c r="AY101" s="2189"/>
      <c r="AZ101" s="2189"/>
      <c r="BA101" s="2189"/>
      <c r="BB101" s="2189"/>
      <c r="BC101" s="2189"/>
      <c r="BD101" s="2189"/>
      <c r="BE101" s="2189"/>
      <c r="BF101" s="2189"/>
    </row>
    <row s="19274" customFormat="1" customHeight="1" ht="11.25">
      <c r="A102" s="1529"/>
      <c r="B102" s="1529"/>
      <c r="C102" s="1529"/>
      <c r="D102" s="1523"/>
      <c r="E102" s="1533"/>
      <c r="F102" s="2195"/>
      <c r="G102" s="2196"/>
      <c r="H102" s="2787"/>
      <c r="I102" s="2834"/>
      <c r="J102" s="2760"/>
      <c r="K102" s="2835"/>
      <c r="L102" s="2829"/>
      <c r="M102" s="2403"/>
      <c r="N102" s="2836"/>
      <c r="O102" s="2782">
        <v>1</v>
      </c>
      <c r="P102" s="2777" t="s">
        <v>54</v>
      </c>
      <c r="Q102" s="2780" t="s">
        <v>24</v>
      </c>
      <c r="R102" s="2780" t="s">
        <v>24</v>
      </c>
      <c r="S102" s="2780" t="s">
        <v>24</v>
      </c>
      <c r="T102" s="2780" t="s">
        <v>24</v>
      </c>
      <c r="U102" s="2780" t="s">
        <v>24</v>
      </c>
      <c r="V102" s="2780" t="s">
        <v>24</v>
      </c>
      <c r="W102" s="2780" t="s">
        <v>24</v>
      </c>
      <c r="X102" s="2780" t="s">
        <v>24</v>
      </c>
      <c r="Y102" s="2780"/>
      <c r="Z102" s="1539"/>
      <c r="AA102" s="1540"/>
      <c r="AB102" s="1540"/>
      <c r="AC102" s="1544"/>
      <c r="AD102" s="1544"/>
      <c r="AE102" s="1545"/>
      <c r="AF102" s="2833"/>
      <c r="AG102" s="2829"/>
      <c r="AH102" s="2829"/>
      <c r="AI102" s="2833"/>
      <c r="AJ102" s="2829"/>
      <c r="AK102" s="2829"/>
      <c r="AL102" s="1536"/>
      <c r="AM102" s="2189"/>
      <c r="AN102" s="2189"/>
      <c r="AO102" s="2189"/>
      <c r="AP102" s="2189"/>
      <c r="AQ102" s="2189"/>
      <c r="AR102" s="2189"/>
      <c r="AS102" s="2189"/>
      <c r="AT102" s="2189"/>
      <c r="AU102" s="2189"/>
      <c r="AV102" s="2189"/>
      <c r="AW102" s="2189"/>
      <c r="AX102" s="2189"/>
      <c r="AY102" s="2189"/>
      <c r="AZ102" s="2189"/>
      <c r="BA102" s="2189"/>
      <c r="BB102" s="2189"/>
      <c r="BC102" s="2189"/>
      <c r="BD102" s="2189"/>
      <c r="BE102" s="2189"/>
      <c r="BF102" s="2189"/>
    </row>
    <row s="19274" customFormat="1" customHeight="1" ht="11.25">
      <c r="A103" s="1529"/>
      <c r="B103" s="1529"/>
      <c r="C103" s="1529"/>
      <c r="D103" s="1523"/>
      <c r="E103" s="1533"/>
      <c r="F103" s="2195"/>
      <c r="G103" s="2196"/>
      <c r="H103" s="2787"/>
      <c r="I103" s="2834"/>
      <c r="J103" s="2760"/>
      <c r="K103" s="2835"/>
      <c r="L103" s="2829"/>
      <c r="M103" s="2403"/>
      <c r="N103" s="2836"/>
      <c r="O103" s="2782"/>
      <c r="P103" s="2778"/>
      <c r="Q103" s="2780"/>
      <c r="R103" s="2780"/>
      <c r="S103" s="2783"/>
      <c r="T103" s="2780"/>
      <c r="U103" s="2780"/>
      <c r="V103" s="2780"/>
      <c r="W103" s="2780"/>
      <c r="X103" s="2780"/>
      <c r="Y103" s="2780"/>
      <c r="Z103" s="2194"/>
      <c r="AA103" s="2160">
        <v>1</v>
      </c>
      <c r="AB103" s="1543"/>
      <c r="AC103" s="1532"/>
      <c r="AD103" s="1543">
        <f>AB103</f>
        <v>0</v>
      </c>
      <c r="AE103" s="1532"/>
      <c r="AF103" s="2833"/>
      <c r="AG103" s="2829"/>
      <c r="AH103" s="2829"/>
      <c r="AI103" s="2833"/>
      <c r="AJ103" s="2829"/>
      <c r="AK103" s="2829"/>
      <c r="AL103" s="1536"/>
      <c r="AM103" s="2189"/>
      <c r="AN103" s="2189"/>
      <c r="AO103" s="2189"/>
      <c r="AP103" s="2189"/>
      <c r="AQ103" s="2189"/>
      <c r="AR103" s="2189"/>
      <c r="AS103" s="2189"/>
      <c r="AT103" s="2189"/>
      <c r="AU103" s="2189"/>
      <c r="AV103" s="2189"/>
      <c r="AW103" s="2189"/>
      <c r="AX103" s="2189"/>
      <c r="AY103" s="2189"/>
      <c r="AZ103" s="2189"/>
      <c r="BA103" s="2189"/>
      <c r="BB103" s="2189"/>
      <c r="BC103" s="2189"/>
      <c r="BD103" s="2189"/>
      <c r="BE103" s="2189"/>
      <c r="BF103" s="2189"/>
    </row>
    <row s="19274" customFormat="1" customHeight="1" ht="11.25">
      <c r="A104" s="1529"/>
      <c r="B104" s="1529"/>
      <c r="C104" s="1529"/>
      <c r="D104" s="1523"/>
      <c r="E104" s="1533"/>
      <c r="F104" s="2195"/>
      <c r="G104" s="2196"/>
      <c r="H104" s="2787"/>
      <c r="I104" s="2834"/>
      <c r="J104" s="2760"/>
      <c r="K104" s="2835"/>
      <c r="L104" s="2829"/>
      <c r="M104" s="2403"/>
      <c r="N104" s="2836"/>
      <c r="O104" s="2782"/>
      <c r="P104" s="2779"/>
      <c r="Q104" s="2780"/>
      <c r="R104" s="2780"/>
      <c r="S104" s="2783"/>
      <c r="T104" s="2780"/>
      <c r="U104" s="2780"/>
      <c r="V104" s="2780"/>
      <c r="W104" s="2780"/>
      <c r="X104" s="2780"/>
      <c r="Y104" s="2780"/>
      <c r="Z104" s="1539"/>
      <c r="AA104" s="1540"/>
      <c r="AB104" s="1606" t="s">
        <v>1849</v>
      </c>
      <c r="AC104" s="1544"/>
      <c r="AD104" s="1544"/>
      <c r="AE104" s="1546"/>
      <c r="AF104" s="2833"/>
      <c r="AG104" s="2829"/>
      <c r="AH104" s="2829"/>
      <c r="AI104" s="2833"/>
      <c r="AJ104" s="2829"/>
      <c r="AK104" s="2829"/>
      <c r="AL104" s="1536"/>
      <c r="AM104" s="2189"/>
      <c r="AN104" s="2189"/>
      <c r="AO104" s="2189"/>
      <c r="AP104" s="2189"/>
      <c r="AQ104" s="2189"/>
      <c r="AR104" s="2189"/>
      <c r="AS104" s="2189"/>
      <c r="AT104" s="2189"/>
      <c r="AU104" s="2189"/>
      <c r="AV104" s="2189"/>
      <c r="AW104" s="2189"/>
      <c r="AX104" s="2189"/>
      <c r="AY104" s="2189"/>
      <c r="AZ104" s="2189"/>
      <c r="BA104" s="2189"/>
      <c r="BB104" s="2189"/>
      <c r="BC104" s="2189"/>
      <c r="BD104" s="2189"/>
      <c r="BE104" s="2189"/>
      <c r="BF104" s="2189"/>
    </row>
    <row s="19274" customFormat="1" customHeight="1" ht="11.25">
      <c r="A105" s="1529"/>
      <c r="B105" s="1529"/>
      <c r="C105" s="1529"/>
      <c r="D105" s="1523"/>
      <c r="E105" s="1533"/>
      <c r="F105" s="2195"/>
      <c r="G105" s="2196"/>
      <c r="H105" s="2787"/>
      <c r="I105" s="2834"/>
      <c r="J105" s="2760"/>
      <c r="K105" s="2835"/>
      <c r="L105" s="2829"/>
      <c r="M105" s="2403"/>
      <c r="N105" s="1540"/>
      <c r="O105" s="1540"/>
      <c r="P105" s="1531" t="s">
        <v>1850</v>
      </c>
      <c r="Q105" s="1540"/>
      <c r="R105" s="1540"/>
      <c r="S105" s="1540"/>
      <c r="T105" s="1540"/>
      <c r="U105" s="1540"/>
      <c r="V105" s="1540"/>
      <c r="W105" s="1540"/>
      <c r="X105" s="1540"/>
      <c r="Y105" s="1540"/>
      <c r="Z105" s="1540"/>
      <c r="AA105" s="1540"/>
      <c r="AB105" s="1540"/>
      <c r="AC105" s="1540"/>
      <c r="AD105" s="1540"/>
      <c r="AE105" s="1547"/>
      <c r="AF105" s="2833"/>
      <c r="AG105" s="2829"/>
      <c r="AH105" s="2829"/>
      <c r="AI105" s="2833"/>
      <c r="AJ105" s="2829"/>
      <c r="AK105" s="2829"/>
      <c r="AL105" s="1536"/>
      <c r="AM105" s="2189"/>
      <c r="AN105" s="2189"/>
      <c r="AO105" s="2189"/>
      <c r="AP105" s="2189"/>
      <c r="AQ105" s="2189"/>
      <c r="AR105" s="2189"/>
      <c r="AS105" s="2189"/>
      <c r="AT105" s="2189"/>
      <c r="AU105" s="2189"/>
      <c r="AV105" s="2189"/>
      <c r="AW105" s="2189"/>
      <c r="AX105" s="2189"/>
      <c r="AY105" s="2189"/>
      <c r="AZ105" s="2189"/>
      <c r="BA105" s="2189"/>
      <c r="BB105" s="2189"/>
      <c r="BC105" s="2189"/>
      <c r="BD105" s="2189"/>
      <c r="BE105" s="2189"/>
      <c r="BF105" s="2189"/>
    </row>
    <row r="107" s="20611" customFormat="1" customHeight="1" ht="11.25">
      <c r="A107" s="2181" t="s">
        <v>1855</v>
      </c>
    </row>
    <row customHeight="1" ht="17.25"/>
    <row s="20068" customFormat="1" customHeight="1" ht="21">
      <c r="A109" s="1530"/>
      <c r="B109" s="1301"/>
      <c r="D109" s="1285"/>
      <c r="E109" s="1300" t="s">
        <v>24</v>
      </c>
      <c r="F109" s="1484">
        <f>INDEX(IP_MAIN_LIST_NAME_IP,MATCH(A109,IP_MAIN_LIST_IP_ID,0))&amp;" ("&amp;INDEX(IP_MAIN_START_DATE,MATCH(A109,IP_MAIN_LIST_IP_ID,0))&amp;"-"&amp;INDEX(IP_MAIN_END_DATE,MATCH(A109,IP_MAIN_LIST_IP_ID,0))&amp;")"</f>
      </c>
      <c r="G109" s="1568"/>
      <c r="H109" s="1569"/>
      <c r="I109" s="1569"/>
      <c r="J109" s="1569"/>
      <c r="K109" s="1569"/>
      <c r="L109" s="1569"/>
      <c r="M109" s="1569"/>
      <c r="N109" s="1569"/>
      <c r="O109" s="1568"/>
      <c r="P109" s="1568"/>
      <c r="Q109" s="1568"/>
      <c r="R109" s="1568"/>
      <c r="S109" s="1568"/>
      <c r="T109" s="1568"/>
      <c r="U109" s="1570"/>
      <c r="V109" s="1570"/>
      <c r="W109" s="1570"/>
      <c r="X109" s="1570"/>
      <c r="Y109" s="1570"/>
      <c r="Z109" s="1570"/>
      <c r="AA109" s="1570"/>
      <c r="AB109" s="1568"/>
      <c r="AC109" s="1569"/>
      <c r="AD109" s="1569"/>
      <c r="AE109" s="1569"/>
      <c r="AF109" s="1569"/>
      <c r="AG109" s="1569"/>
      <c r="AH109" s="1569"/>
      <c r="AI109" s="1569"/>
      <c r="AJ109" s="1569"/>
      <c r="AK109" s="1569"/>
      <c r="AL109" s="1569"/>
      <c r="AM109" s="1569"/>
      <c r="AN109" s="1569"/>
      <c r="AO109" s="1569"/>
      <c r="AP109" s="1569"/>
      <c r="AQ109" s="1569"/>
      <c r="AR109" s="1569"/>
      <c r="AS109" s="1569"/>
      <c r="AT109" s="1569"/>
      <c r="AU109" s="1569"/>
      <c r="AV109" s="1569"/>
      <c r="AW109" s="1569"/>
      <c r="AX109" s="1569"/>
      <c r="AY109" s="1569"/>
      <c r="AZ109" s="1569"/>
      <c r="BA109" s="1569"/>
      <c r="BB109" s="1569"/>
      <c r="BC109" s="1569"/>
      <c r="BD109" s="1569"/>
      <c r="BE109" s="1569"/>
      <c r="BF109" s="1569"/>
      <c r="BG109" s="1569"/>
      <c r="BH109" s="1569"/>
      <c r="BI109" s="1569"/>
      <c r="BJ109" s="1569"/>
      <c r="BK109" s="1569"/>
      <c r="BL109" s="1569"/>
      <c r="BM109" s="1569"/>
      <c r="BN109" s="1569"/>
      <c r="BO109" s="1569"/>
      <c r="BP109" s="1569"/>
      <c r="BQ109" s="1569"/>
      <c r="BR109" s="1569"/>
      <c r="BS109" s="1569"/>
      <c r="BT109" s="1569"/>
      <c r="BU109" s="1569"/>
      <c r="BV109" s="1569"/>
      <c r="BW109" s="1569"/>
      <c r="BX109" s="1569"/>
      <c r="BY109" s="1569"/>
      <c r="BZ109" s="1569"/>
      <c r="CA109" s="1569"/>
      <c r="CB109" s="1569"/>
      <c r="CC109" s="1569"/>
      <c r="CD109" s="1569"/>
      <c r="CE109" s="1569"/>
      <c r="CF109" s="1569"/>
      <c r="CG109" s="1569"/>
      <c r="CH109" s="1569"/>
      <c r="CI109" s="1569"/>
      <c r="CJ109" s="1569"/>
      <c r="CK109" s="1569"/>
      <c r="CL109" s="1571"/>
      <c r="CM109" s="1571"/>
      <c r="CN109" s="1571"/>
      <c r="CO109" s="1571"/>
      <c r="CP109" s="1571"/>
      <c r="CQ109" s="1571"/>
      <c r="CR109" s="1571"/>
      <c r="CS109" s="1571"/>
      <c r="CT109" s="1571"/>
      <c r="CU109" s="1571"/>
      <c r="CV109" s="1571"/>
      <c r="CW109" s="1571"/>
      <c r="CX109" s="1571"/>
      <c r="CY109" s="1571"/>
      <c r="CZ109" s="1571"/>
      <c r="DA109" s="1571"/>
      <c r="DB109" s="1571"/>
      <c r="DC109" s="1571"/>
      <c r="DD109" s="1571"/>
      <c r="DE109" s="1571"/>
      <c r="DF109" s="1571"/>
      <c r="DG109" s="1571"/>
      <c r="DH109" s="1571"/>
      <c r="DI109" s="1571"/>
      <c r="DJ109" s="1571"/>
      <c r="DK109" s="1571"/>
      <c r="DL109" s="1571"/>
      <c r="DM109" s="1571"/>
      <c r="DN109" s="1571"/>
      <c r="DO109" s="1571"/>
      <c r="DP109" s="1571"/>
      <c r="DQ109" s="1571"/>
      <c r="DR109" s="1571"/>
      <c r="DS109" s="1571"/>
      <c r="DT109" s="1571"/>
      <c r="DU109" s="1571"/>
      <c r="DV109" s="1571"/>
      <c r="DW109" s="1571"/>
      <c r="DX109" s="1571"/>
      <c r="DY109" s="1571"/>
      <c r="DZ109" s="1571"/>
      <c r="EA109" s="1571"/>
      <c r="EB109" s="1571"/>
      <c r="EC109" s="1571"/>
      <c r="ED109" s="1571"/>
      <c r="EE109" s="1571"/>
      <c r="EF109" s="1571"/>
      <c r="EG109" s="1571"/>
      <c r="EH109" s="1571"/>
      <c r="EI109" s="1571"/>
      <c r="EJ109" s="1571"/>
      <c r="EK109" s="1571"/>
      <c r="EL109" s="1571"/>
      <c r="EM109" s="1571"/>
      <c r="EN109" s="1571"/>
      <c r="EO109" s="1571"/>
      <c r="EP109" s="1571"/>
      <c r="EQ109" s="1571"/>
      <c r="ER109" s="1571"/>
      <c r="ES109" s="1571"/>
      <c r="ET109" s="1571"/>
      <c r="EU109" s="1571"/>
      <c r="EV109" s="1571"/>
      <c r="EW109" s="1571"/>
      <c r="EX109" s="1571"/>
      <c r="EY109" s="1571"/>
      <c r="EZ109" s="1571"/>
      <c r="FA109" s="1571"/>
      <c r="FB109" s="1571"/>
      <c r="FC109" s="1571"/>
      <c r="FD109" s="1571"/>
      <c r="FE109" s="1571"/>
      <c r="FF109" s="1571"/>
      <c r="FG109" s="1571"/>
      <c r="FH109" s="1571"/>
      <c r="FI109" s="1571"/>
      <c r="FJ109" s="1571"/>
      <c r="FK109" s="1571"/>
      <c r="FL109" s="1571"/>
      <c r="FM109" s="1571"/>
      <c r="FN109" s="1571"/>
      <c r="FO109" s="1571"/>
      <c r="FP109" s="1571"/>
      <c r="FQ109" s="1571"/>
      <c r="FR109" s="1571"/>
      <c r="FS109" s="1571"/>
      <c r="FT109" s="1571"/>
      <c r="FU109" s="1571"/>
      <c r="FV109" s="1572"/>
      <c r="FW109" s="1566"/>
      <c r="FX109" s="1567"/>
    </row>
    <row s="20068" customFormat="1" customHeight="1" ht="24.75">
      <c r="B110" s="1284"/>
      <c r="C110" s="1285"/>
      <c r="D110" s="1285"/>
      <c r="E110" s="2201"/>
      <c r="F110" s="1573">
        <v>1</v>
      </c>
      <c r="G110" s="1574"/>
      <c r="H110" s="1575"/>
      <c r="I110" s="2350"/>
      <c r="J110" s="1576"/>
      <c r="K110" s="1576"/>
      <c r="L110" s="1576"/>
      <c r="M110" s="1576"/>
      <c r="N110" s="1576"/>
      <c r="O110" s="1577"/>
      <c r="P110" s="1577"/>
      <c r="Q110" s="1577"/>
      <c r="R110" s="1577"/>
      <c r="S110" s="1577"/>
      <c r="T110" s="1577"/>
      <c r="U110" s="1577"/>
      <c r="V110" s="1577"/>
      <c r="W110" s="1577"/>
      <c r="X110" s="1577"/>
      <c r="Y110" s="1577"/>
      <c r="Z110" s="1577"/>
      <c r="AA110" s="1577"/>
      <c r="AB110" s="1577"/>
      <c r="AC110" s="1576"/>
      <c r="AD110" s="1576"/>
      <c r="AE110" s="1576"/>
      <c r="AF110" s="1576"/>
      <c r="AG110" s="1576"/>
      <c r="AH110" s="1576"/>
      <c r="AI110" s="1576"/>
      <c r="AJ110" s="1576"/>
      <c r="AK110" s="1576"/>
      <c r="AL110" s="1576"/>
      <c r="AM110" s="1576"/>
      <c r="AN110" s="1576"/>
      <c r="AO110" s="1576"/>
      <c r="AP110" s="1576"/>
      <c r="AQ110" s="1576"/>
      <c r="AR110" s="1576"/>
      <c r="AS110" s="1576"/>
      <c r="AT110" s="1576"/>
      <c r="AU110" s="1576"/>
      <c r="AV110" s="1576"/>
      <c r="AW110" s="1576"/>
      <c r="AX110" s="1576"/>
      <c r="AY110" s="1576"/>
      <c r="AZ110" s="1576"/>
      <c r="BA110" s="1576"/>
      <c r="BB110" s="1576"/>
      <c r="BC110" s="1576"/>
      <c r="BD110" s="1576"/>
      <c r="BE110" s="1576"/>
      <c r="BF110" s="1576"/>
      <c r="BG110" s="1576"/>
      <c r="BH110" s="1576"/>
      <c r="BI110" s="1576"/>
      <c r="BJ110" s="1576"/>
      <c r="BK110" s="1576"/>
      <c r="BL110" s="1576"/>
      <c r="BM110" s="1576"/>
      <c r="BN110" s="1576"/>
      <c r="BO110" s="1576"/>
      <c r="BP110" s="1576"/>
      <c r="BQ110" s="1576"/>
      <c r="BR110" s="1576"/>
      <c r="BS110" s="1576"/>
      <c r="BT110" s="1577"/>
      <c r="BU110" s="1577"/>
      <c r="BV110" s="1577"/>
      <c r="BW110" s="1577"/>
      <c r="BX110" s="1577"/>
      <c r="BY110" s="1577"/>
      <c r="BZ110" s="1577"/>
      <c r="CA110" s="1577"/>
      <c r="CB110" s="1577"/>
      <c r="CC110" s="1577"/>
      <c r="CD110" s="1577"/>
      <c r="CE110" s="1577"/>
      <c r="CF110" s="1577"/>
      <c r="CG110" s="1577"/>
      <c r="CH110" s="1577"/>
      <c r="CI110" s="1577"/>
      <c r="CJ110" s="1577"/>
      <c r="CK110" s="1577"/>
      <c r="CL110" s="1576"/>
      <c r="CM110" s="1576"/>
      <c r="CN110" s="1576"/>
      <c r="CO110" s="1576"/>
      <c r="CP110" s="1576"/>
      <c r="CQ110" s="1576"/>
      <c r="CR110" s="1576"/>
      <c r="CS110" s="1576"/>
      <c r="CT110" s="1576"/>
      <c r="CU110" s="1576"/>
      <c r="CV110" s="1576"/>
      <c r="CW110" s="1576"/>
      <c r="CX110" s="1576"/>
      <c r="CY110" s="1577"/>
      <c r="CZ110" s="1577"/>
      <c r="DA110" s="1577"/>
      <c r="DB110" s="1577"/>
      <c r="DC110" s="1577"/>
      <c r="DD110" s="1577"/>
      <c r="DE110" s="1577"/>
      <c r="DF110" s="1577"/>
      <c r="DG110" s="1577"/>
      <c r="DH110" s="1577"/>
      <c r="DI110" s="1577"/>
      <c r="DJ110" s="1577"/>
      <c r="DK110" s="1576"/>
      <c r="DL110" s="1576"/>
      <c r="DM110" s="1576"/>
      <c r="DN110" s="1576"/>
      <c r="DO110" s="1576"/>
      <c r="DP110" s="1576"/>
      <c r="DQ110" s="1576"/>
      <c r="DR110" s="1576"/>
      <c r="DS110" s="1576"/>
      <c r="DT110" s="1576"/>
      <c r="DU110" s="1576"/>
      <c r="DV110" s="1576"/>
      <c r="DW110" s="1576"/>
      <c r="DX110" s="1576"/>
      <c r="DY110" s="1576"/>
      <c r="DZ110" s="1576"/>
      <c r="EA110" s="1576"/>
      <c r="EB110" s="1576"/>
      <c r="EC110" s="1576"/>
      <c r="ED110" s="1576"/>
      <c r="EE110" s="1576"/>
      <c r="EF110" s="1576"/>
      <c r="EG110" s="1576"/>
      <c r="EH110" s="1576"/>
      <c r="EI110" s="1576"/>
      <c r="EJ110" s="1576"/>
      <c r="EK110" s="1576"/>
      <c r="EL110" s="1576"/>
      <c r="EM110" s="1576"/>
      <c r="EN110" s="1576"/>
      <c r="EO110" s="1576"/>
      <c r="EP110" s="1576"/>
      <c r="EQ110" s="1576"/>
      <c r="ER110" s="1576"/>
      <c r="ES110" s="1576"/>
      <c r="ET110" s="1576"/>
      <c r="EU110" s="1576"/>
      <c r="EV110" s="1576"/>
      <c r="EW110" s="1576"/>
      <c r="EX110" s="1576"/>
      <c r="EY110" s="1576"/>
      <c r="EZ110" s="1576"/>
      <c r="FA110" s="1576"/>
      <c r="FB110" s="1576"/>
      <c r="FC110" s="1576"/>
      <c r="FD110" s="1576"/>
      <c r="FE110" s="1576"/>
      <c r="FF110" s="1576"/>
      <c r="FG110" s="1576"/>
      <c r="FH110" s="1576"/>
      <c r="FI110" s="1576"/>
      <c r="FJ110" s="1576"/>
      <c r="FK110" s="1576"/>
      <c r="FL110" s="1576"/>
      <c r="FM110" s="1576"/>
      <c r="FN110" s="1576"/>
      <c r="FO110" s="1576"/>
      <c r="FP110" s="1576"/>
      <c r="FQ110" s="1576"/>
      <c r="FR110" s="1576"/>
      <c r="FS110" s="1576"/>
      <c r="FT110" s="1576"/>
      <c r="FU110" s="1576"/>
      <c r="FV110" s="1576"/>
      <c r="FW110" s="1576"/>
      <c r="FX110" s="1567"/>
    </row>
    <row s="20068" customFormat="1" customHeight="1" ht="12">
      <c r="A111" s="1285"/>
      <c r="B111" s="1284"/>
      <c r="C111" s="1285"/>
      <c r="D111" s="1285"/>
      <c r="E111" s="1285"/>
      <c r="F111" s="1578"/>
      <c r="G111" s="2166" t="s">
        <v>1856</v>
      </c>
      <c r="H111" s="1579"/>
      <c r="I111" s="1579"/>
      <c r="J111" s="1579"/>
      <c r="K111" s="1579"/>
      <c r="L111" s="1579"/>
      <c r="M111" s="1579"/>
      <c r="N111" s="1579"/>
      <c r="O111" s="1579"/>
      <c r="P111" s="1579"/>
      <c r="Q111" s="1579"/>
      <c r="R111" s="1579"/>
      <c r="S111" s="1579"/>
      <c r="T111" s="1579"/>
      <c r="U111" s="1579"/>
      <c r="V111" s="1579"/>
      <c r="W111" s="1579"/>
      <c r="X111" s="1579"/>
      <c r="Y111" s="1579"/>
      <c r="Z111" s="1579"/>
      <c r="AA111" s="1579"/>
      <c r="AB111" s="1579"/>
      <c r="AC111" s="1579"/>
      <c r="AD111" s="1579"/>
      <c r="AE111" s="1579"/>
      <c r="AF111" s="1579"/>
      <c r="AG111" s="1579"/>
      <c r="AH111" s="1579"/>
      <c r="AI111" s="1579"/>
      <c r="AJ111" s="1579"/>
      <c r="AK111" s="1579"/>
      <c r="AL111" s="1579"/>
      <c r="AM111" s="1579"/>
      <c r="AN111" s="1579"/>
      <c r="AO111" s="1579"/>
      <c r="AP111" s="1579"/>
      <c r="AQ111" s="1579"/>
      <c r="AR111" s="1579"/>
      <c r="AS111" s="1579"/>
      <c r="AT111" s="1579"/>
      <c r="AU111" s="1579"/>
      <c r="AV111" s="1579"/>
      <c r="AW111" s="1579"/>
      <c r="AX111" s="1579"/>
      <c r="AY111" s="1579"/>
      <c r="AZ111" s="1579"/>
      <c r="BA111" s="1579"/>
      <c r="BB111" s="1579"/>
      <c r="BC111" s="1579"/>
      <c r="BD111" s="1579"/>
      <c r="BE111" s="1579"/>
      <c r="BF111" s="1579"/>
      <c r="BG111" s="1579"/>
      <c r="BH111" s="1579"/>
      <c r="BI111" s="1579"/>
      <c r="BJ111" s="1579"/>
      <c r="BK111" s="1579"/>
      <c r="BL111" s="1579"/>
      <c r="BM111" s="1579"/>
      <c r="BN111" s="1579"/>
      <c r="BO111" s="1579"/>
      <c r="BP111" s="1579"/>
      <c r="BQ111" s="1579"/>
      <c r="BR111" s="1579"/>
      <c r="BS111" s="1579"/>
      <c r="BT111" s="1579"/>
      <c r="BU111" s="1579"/>
      <c r="BV111" s="1579"/>
      <c r="BW111" s="1579"/>
      <c r="BX111" s="1579"/>
      <c r="BY111" s="1579"/>
      <c r="BZ111" s="1579"/>
      <c r="CA111" s="1579"/>
      <c r="CB111" s="1579"/>
      <c r="CC111" s="1579"/>
      <c r="CD111" s="1579"/>
      <c r="CE111" s="1579"/>
      <c r="CF111" s="1579"/>
      <c r="CG111" s="1579"/>
      <c r="CH111" s="1579"/>
      <c r="CI111" s="1579"/>
      <c r="CJ111" s="1579"/>
      <c r="CK111" s="1579"/>
      <c r="CL111" s="1579"/>
      <c r="CM111" s="1579"/>
      <c r="CN111" s="1579"/>
      <c r="CO111" s="1579"/>
      <c r="CP111" s="1579"/>
      <c r="CQ111" s="1579"/>
      <c r="CR111" s="1579"/>
      <c r="CS111" s="1579"/>
      <c r="CT111" s="1579"/>
      <c r="CU111" s="1579"/>
      <c r="CV111" s="1579"/>
      <c r="CW111" s="1579"/>
      <c r="CX111" s="1579"/>
      <c r="CY111" s="1579"/>
      <c r="CZ111" s="1579"/>
      <c r="DA111" s="1579"/>
      <c r="DB111" s="1579"/>
      <c r="DC111" s="1579"/>
      <c r="DD111" s="1579"/>
      <c r="DE111" s="1579"/>
      <c r="DF111" s="1579"/>
      <c r="DG111" s="1579"/>
      <c r="DH111" s="1579"/>
      <c r="DI111" s="1579"/>
      <c r="DJ111" s="1579"/>
      <c r="DK111" s="1579"/>
      <c r="DL111" s="1579"/>
      <c r="DM111" s="1579"/>
      <c r="DN111" s="1579"/>
      <c r="DO111" s="1579"/>
      <c r="DP111" s="1579"/>
      <c r="DQ111" s="1579"/>
      <c r="DR111" s="1579"/>
      <c r="DS111" s="1579"/>
      <c r="DT111" s="1579"/>
      <c r="DU111" s="1579"/>
      <c r="DV111" s="1579"/>
      <c r="DW111" s="1579"/>
      <c r="DX111" s="1579"/>
      <c r="DY111" s="1579"/>
      <c r="DZ111" s="1579"/>
      <c r="EA111" s="1579"/>
      <c r="EB111" s="1579"/>
      <c r="EC111" s="1579"/>
      <c r="ED111" s="1579"/>
      <c r="EE111" s="1579"/>
      <c r="EF111" s="1579"/>
      <c r="EG111" s="1579"/>
      <c r="EH111" s="1579"/>
      <c r="EI111" s="1579"/>
      <c r="EJ111" s="1579"/>
      <c r="EK111" s="1579"/>
      <c r="EL111" s="1579"/>
      <c r="EM111" s="1579"/>
      <c r="EN111" s="1579"/>
      <c r="EO111" s="1579"/>
      <c r="EP111" s="1579"/>
      <c r="EQ111" s="1579"/>
      <c r="ER111" s="1579"/>
      <c r="ES111" s="1579"/>
      <c r="ET111" s="1579"/>
      <c r="EU111" s="1579"/>
      <c r="EV111" s="1579"/>
      <c r="EW111" s="1579"/>
      <c r="EX111" s="1579"/>
      <c r="EY111" s="1579"/>
      <c r="EZ111" s="1579"/>
      <c r="FA111" s="1579"/>
      <c r="FB111" s="1579"/>
      <c r="FC111" s="1579"/>
      <c r="FD111" s="1579"/>
      <c r="FE111" s="1579"/>
      <c r="FF111" s="1579"/>
      <c r="FG111" s="1579"/>
      <c r="FH111" s="1579"/>
      <c r="FI111" s="1579"/>
      <c r="FJ111" s="1579"/>
      <c r="FK111" s="1579"/>
      <c r="FL111" s="1579"/>
      <c r="FM111" s="1579"/>
      <c r="FN111" s="1579"/>
      <c r="FO111" s="1579"/>
      <c r="FP111" s="1579"/>
      <c r="FQ111" s="1579"/>
      <c r="FR111" s="1579"/>
      <c r="FS111" s="1579"/>
      <c r="FT111" s="1579"/>
      <c r="FU111" s="1579"/>
      <c r="FV111" s="1579"/>
      <c r="FW111" s="1580"/>
      <c r="FX111" s="1581"/>
      <c r="FY111" s="1302"/>
      <c r="FZ111" s="1302"/>
      <c r="GA111" s="1302"/>
      <c r="GB111" s="1302"/>
    </row>
    <row r="113" s="20611" customFormat="1" customHeight="1" ht="11.25">
      <c r="A113" s="2181" t="s">
        <v>1857</v>
      </c>
    </row>
    <row r="115" s="18455" customFormat="1" customHeight="1" ht="15">
      <c r="A115" s="984"/>
      <c r="B115" s="985"/>
      <c r="C115" s="985"/>
      <c r="D115" s="2792" t="s">
        <v>106</v>
      </c>
      <c r="E115" s="2648" t="s">
        <v>102</v>
      </c>
      <c r="F115" s="2649"/>
      <c r="G115" s="2650"/>
      <c r="H115" s="2643" t="str">
        <f>IF(A115="","",INDEX(DIFFERENTIATION_UNMERGE_VD,MATCH(A115,DIFFERENTIATION_ID_DIFF,0)))</f>
        <v/>
      </c>
      <c r="I115" s="2643"/>
      <c r="J115" s="2643"/>
      <c r="K115" s="2643"/>
      <c r="L115" s="2643"/>
      <c r="M115" s="2643"/>
      <c r="N115" s="2643"/>
      <c r="O115" s="2643"/>
      <c r="P115" s="2643"/>
      <c r="Q115" s="2643"/>
      <c r="R115" s="2643"/>
      <c r="S115" s="1080"/>
      <c r="T115" s="1077"/>
      <c r="U115" s="986"/>
      <c r="V115" s="986"/>
      <c r="W115" s="987"/>
      <c r="X115" s="987"/>
      <c r="Y115" s="987"/>
      <c r="Z115" s="987"/>
      <c r="AA115" s="988"/>
      <c r="AB115" s="989"/>
      <c r="AC115" s="2647"/>
      <c r="AD115" s="990"/>
      <c r="AE115" s="991" t="s">
        <v>24</v>
      </c>
      <c r="AF115" s="991"/>
      <c r="AG115" s="992" t="s">
        <v>609</v>
      </c>
      <c r="AH115" s="993">
        <v>3</v>
      </c>
      <c r="AI115" s="986"/>
      <c r="AJ115" s="986"/>
      <c r="AK115" s="986"/>
      <c r="AL115" s="986"/>
      <c r="AM115" s="986"/>
      <c r="AN115" s="986"/>
      <c r="AO115" s="986"/>
      <c r="AP115" s="986"/>
      <c r="AQ115" s="986"/>
      <c r="AR115" s="986"/>
      <c r="AS115" s="986"/>
      <c r="AT115" s="986"/>
      <c r="AU115" s="986"/>
      <c r="AV115" s="986"/>
      <c r="AW115" s="986"/>
      <c r="AX115" s="986"/>
      <c r="AY115" s="986"/>
      <c r="AZ115" s="986"/>
      <c r="BA115" s="986"/>
      <c r="BB115" s="986"/>
      <c r="BC115" s="986"/>
      <c r="BD115" s="986"/>
      <c r="BE115" s="986"/>
      <c r="BF115" s="986"/>
      <c r="BG115" s="986"/>
      <c r="BH115" s="986"/>
      <c r="BI115" s="986"/>
      <c r="BJ115" s="986"/>
      <c r="BK115" s="986"/>
      <c r="BL115" s="986"/>
      <c r="BM115" s="986"/>
      <c r="BN115" s="986"/>
      <c r="BO115" s="986"/>
      <c r="BP115" s="986"/>
      <c r="BQ115" s="986"/>
      <c r="BR115" s="986"/>
      <c r="BS115" s="986"/>
      <c r="BT115" s="986"/>
      <c r="BU115" s="986"/>
      <c r="BV115" s="987"/>
      <c r="BW115" s="987"/>
      <c r="BX115" s="987"/>
      <c r="BY115" s="987"/>
      <c r="BZ115" s="987"/>
      <c r="CA115" s="987"/>
      <c r="CB115" s="987"/>
      <c r="CC115" s="987"/>
      <c r="CD115" s="987"/>
      <c r="CE115" s="987"/>
    </row>
    <row s="18455" customFormat="1" customHeight="1" ht="15">
      <c r="A116" s="984"/>
      <c r="B116" s="985"/>
      <c r="C116" s="985"/>
      <c r="D116" s="2793"/>
      <c r="E116" s="2648" t="s">
        <v>564</v>
      </c>
      <c r="F116" s="2649"/>
      <c r="G116" s="2650"/>
      <c r="H116" s="2643" t="str">
        <f>IF(A115="","",INDEX(DIFFERENTIATION_UNMERGE_AREA,MATCH(A115,DIFFERENTIATION_ID_DIFF,0)))</f>
        <v/>
      </c>
      <c r="I116" s="2643"/>
      <c r="J116" s="2643"/>
      <c r="K116" s="2643"/>
      <c r="L116" s="2643"/>
      <c r="M116" s="2643"/>
      <c r="N116" s="2643"/>
      <c r="O116" s="2643"/>
      <c r="P116" s="2643"/>
      <c r="Q116" s="2643"/>
      <c r="R116" s="2643"/>
      <c r="S116" s="1080"/>
      <c r="T116" s="1077"/>
      <c r="U116" s="986"/>
      <c r="V116" s="986"/>
      <c r="W116" s="987"/>
      <c r="X116" s="987"/>
      <c r="Y116" s="987"/>
      <c r="Z116" s="987"/>
      <c r="AA116" s="988"/>
      <c r="AB116" s="989"/>
      <c r="AC116" s="2647"/>
      <c r="AD116" s="990"/>
      <c r="AE116" s="991"/>
      <c r="AF116" s="991"/>
      <c r="AG116" s="992"/>
      <c r="AH116" s="993"/>
      <c r="AI116" s="986"/>
      <c r="AJ116" s="986"/>
      <c r="AK116" s="986"/>
      <c r="AL116" s="986"/>
      <c r="AM116" s="986"/>
      <c r="AN116" s="986"/>
      <c r="AO116" s="986"/>
      <c r="AP116" s="986"/>
      <c r="AQ116" s="986"/>
      <c r="AR116" s="986"/>
      <c r="AS116" s="986"/>
      <c r="AT116" s="986"/>
      <c r="AU116" s="986"/>
      <c r="AV116" s="986"/>
      <c r="AW116" s="986"/>
      <c r="AX116" s="986"/>
      <c r="AY116" s="986"/>
      <c r="AZ116" s="986"/>
      <c r="BA116" s="986"/>
      <c r="BB116" s="986"/>
      <c r="BC116" s="986"/>
      <c r="BD116" s="986"/>
      <c r="BE116" s="986"/>
      <c r="BF116" s="986"/>
      <c r="BG116" s="986"/>
      <c r="BH116" s="986"/>
      <c r="BI116" s="986"/>
      <c r="BJ116" s="986"/>
      <c r="BK116" s="986"/>
      <c r="BL116" s="986"/>
      <c r="BM116" s="986"/>
      <c r="BN116" s="986"/>
      <c r="BO116" s="986"/>
      <c r="BP116" s="986"/>
      <c r="BQ116" s="986"/>
      <c r="BR116" s="986"/>
      <c r="BS116" s="986"/>
      <c r="BT116" s="986"/>
      <c r="BU116" s="986"/>
      <c r="BV116" s="987"/>
      <c r="BW116" s="987"/>
      <c r="BX116" s="987"/>
      <c r="BY116" s="987"/>
      <c r="BZ116" s="987"/>
      <c r="CA116" s="987"/>
      <c r="CB116" s="987"/>
      <c r="CC116" s="987"/>
      <c r="CD116" s="987"/>
      <c r="CE116" s="987"/>
    </row>
    <row s="18455" customFormat="1" customHeight="1" ht="15">
      <c r="A117" s="984"/>
      <c r="B117" s="985"/>
      <c r="C117" s="985"/>
      <c r="D117" s="2793"/>
      <c r="E117" s="2648" t="s">
        <v>565</v>
      </c>
      <c r="F117" s="2649"/>
      <c r="G117" s="2650"/>
      <c r="H117" s="2643" t="str">
        <f>IF(A115="","",INDEX(DIFFERENTIATION_UNMERGE_SYSTEM,MATCH(A115,DIFFERENTIATION_ID_DIFF,0)))</f>
        <v/>
      </c>
      <c r="I117" s="2643"/>
      <c r="J117" s="2643"/>
      <c r="K117" s="2643"/>
      <c r="L117" s="2643"/>
      <c r="M117" s="2643"/>
      <c r="N117" s="2643"/>
      <c r="O117" s="2643"/>
      <c r="P117" s="2643"/>
      <c r="Q117" s="2643"/>
      <c r="R117" s="2643"/>
      <c r="S117" s="1080"/>
      <c r="T117" s="1077"/>
      <c r="U117" s="986"/>
      <c r="V117" s="986"/>
      <c r="W117" s="987"/>
      <c r="X117" s="987"/>
      <c r="Y117" s="987"/>
      <c r="Z117" s="987"/>
      <c r="AA117" s="988"/>
      <c r="AB117" s="989"/>
      <c r="AC117" s="2647"/>
      <c r="AD117" s="990"/>
      <c r="AE117" s="991"/>
      <c r="AF117" s="991"/>
      <c r="AG117" s="992"/>
      <c r="AH117" s="993"/>
      <c r="AI117" s="986"/>
      <c r="AJ117" s="986"/>
      <c r="AK117" s="986"/>
      <c r="AL117" s="986"/>
      <c r="AM117" s="986"/>
      <c r="AN117" s="986"/>
      <c r="AO117" s="986"/>
      <c r="AP117" s="986"/>
      <c r="AQ117" s="986"/>
      <c r="AR117" s="986"/>
      <c r="AS117" s="986"/>
      <c r="AT117" s="986"/>
      <c r="AU117" s="986"/>
      <c r="AV117" s="986"/>
      <c r="AW117" s="986"/>
      <c r="AX117" s="986"/>
      <c r="AY117" s="986"/>
      <c r="AZ117" s="986"/>
      <c r="BA117" s="986"/>
      <c r="BB117" s="986"/>
      <c r="BC117" s="986"/>
      <c r="BD117" s="986"/>
      <c r="BE117" s="986"/>
      <c r="BF117" s="986"/>
      <c r="BG117" s="986"/>
      <c r="BH117" s="986"/>
      <c r="BI117" s="986"/>
      <c r="BJ117" s="986"/>
      <c r="BK117" s="986"/>
      <c r="BL117" s="986"/>
      <c r="BM117" s="986"/>
      <c r="BN117" s="986"/>
      <c r="BO117" s="986"/>
      <c r="BP117" s="986"/>
      <c r="BQ117" s="986"/>
      <c r="BR117" s="986"/>
      <c r="BS117" s="986"/>
      <c r="BT117" s="986"/>
      <c r="BU117" s="986"/>
      <c r="BV117" s="987"/>
      <c r="BW117" s="987"/>
      <c r="BX117" s="987"/>
      <c r="BY117" s="987"/>
      <c r="BZ117" s="987"/>
      <c r="CA117" s="987"/>
      <c r="CB117" s="987"/>
      <c r="CC117" s="987"/>
      <c r="CD117" s="987"/>
      <c r="CE117" s="987"/>
    </row>
    <row s="18455" customFormat="1" customHeight="1" ht="24.75">
      <c r="A118" s="2172"/>
      <c r="B118" s="1523"/>
      <c r="C118" s="773"/>
      <c r="D118" s="2793"/>
      <c r="E118" s="2645" t="s">
        <v>610</v>
      </c>
      <c r="F118" s="2645"/>
      <c r="G118" s="2645"/>
      <c r="H118" s="2645"/>
      <c r="I118" s="2645"/>
      <c r="J118" s="2645"/>
      <c r="K118" s="2645"/>
      <c r="L118" s="2645"/>
      <c r="M118" s="2645"/>
      <c r="N118" s="2645"/>
      <c r="O118" s="2645"/>
      <c r="P118" s="2645"/>
      <c r="Q118" s="919">
        <f>SUMIF(T119:T120,"i",Q119:Q120)</f>
        <v>0</v>
      </c>
      <c r="R118" s="1379"/>
      <c r="S118" s="2164" t="s">
        <v>611</v>
      </c>
      <c r="T118" s="1078" t="s">
        <v>612</v>
      </c>
      <c r="U118" s="2646">
        <v>1</v>
      </c>
      <c r="V118" s="2646" t="s">
        <v>575</v>
      </c>
      <c r="W118" s="1523"/>
      <c r="X118" s="1523"/>
      <c r="Y118" s="1523"/>
      <c r="Z118" s="1523"/>
      <c r="AA118" s="2002"/>
      <c r="AB118" s="1523"/>
      <c r="AC118" s="2647"/>
      <c r="AD118" s="990"/>
      <c r="AE118" s="1523"/>
      <c r="AF118" s="1523"/>
      <c r="AG118" s="2002"/>
      <c r="AH118" s="2002"/>
      <c r="AI118" s="2002"/>
      <c r="AJ118" s="2002"/>
      <c r="AK118" s="2002"/>
      <c r="AL118" s="2002"/>
      <c r="AM118" s="2002"/>
      <c r="AN118" s="2002"/>
      <c r="AO118" s="2002"/>
      <c r="AP118" s="2002"/>
      <c r="AQ118" s="2002"/>
      <c r="AR118" s="2002"/>
      <c r="AS118" s="2002"/>
      <c r="AT118" s="2002"/>
      <c r="AU118" s="2002"/>
      <c r="AV118" s="2002"/>
      <c r="AW118" s="2002"/>
      <c r="AX118" s="2002"/>
      <c r="AY118" s="2002"/>
      <c r="AZ118" s="2002"/>
      <c r="BA118" s="2002"/>
      <c r="BB118" s="2002"/>
      <c r="BC118" s="2002"/>
      <c r="BD118" s="2002"/>
      <c r="BE118" s="2002"/>
      <c r="BF118" s="2002"/>
      <c r="BG118" s="2002"/>
      <c r="BH118" s="2002"/>
      <c r="BI118" s="2002"/>
      <c r="BJ118" s="2002"/>
      <c r="BK118" s="2002"/>
      <c r="BL118" s="2002"/>
      <c r="BM118" s="2002"/>
      <c r="BN118" s="2002"/>
      <c r="BO118" s="2002"/>
      <c r="BP118" s="2002"/>
      <c r="BQ118" s="2002"/>
      <c r="BR118" s="2002"/>
      <c r="BS118" s="2002"/>
      <c r="BT118" s="2002"/>
      <c r="BU118" s="2002"/>
      <c r="BV118" s="1523"/>
      <c r="BW118" s="1523"/>
      <c r="BX118" s="1523"/>
      <c r="BY118" s="1523"/>
      <c r="BZ118" s="1523"/>
      <c r="CA118" s="1523"/>
      <c r="CB118" s="1523"/>
      <c r="CC118" s="1523"/>
      <c r="CD118" s="1523"/>
      <c r="CE118" s="1523"/>
    </row>
    <row s="18455" customFormat="1" customHeight="1" ht="11.25" hidden="1">
      <c r="A119" s="2159"/>
      <c r="B119" s="2002"/>
      <c r="C119" s="2002"/>
      <c r="D119" s="2793"/>
      <c r="E119" s="996"/>
      <c r="F119" s="996">
        <v>0</v>
      </c>
      <c r="G119" s="996"/>
      <c r="H119" s="996"/>
      <c r="I119" s="996"/>
      <c r="J119" s="996"/>
      <c r="K119" s="996"/>
      <c r="L119" s="996"/>
      <c r="M119" s="996"/>
      <c r="N119" s="996"/>
      <c r="O119" s="996"/>
      <c r="P119" s="996"/>
      <c r="Q119" s="996"/>
      <c r="R119" s="996"/>
      <c r="S119" s="997"/>
      <c r="T119" s="1079"/>
      <c r="U119" s="2646"/>
      <c r="V119" s="2646"/>
      <c r="W119" s="2002"/>
      <c r="X119" s="2002"/>
      <c r="Y119" s="2002"/>
      <c r="Z119" s="2002"/>
      <c r="AA119" s="2002"/>
      <c r="AB119" s="1523"/>
      <c r="AC119" s="2647"/>
      <c r="AD119" s="990"/>
      <c r="AE119" s="1523"/>
      <c r="AF119" s="1523"/>
      <c r="AG119" s="2002"/>
      <c r="AH119" s="2002"/>
      <c r="AI119" s="2002"/>
      <c r="AJ119" s="2002"/>
      <c r="AK119" s="2002"/>
      <c r="AL119" s="2002"/>
      <c r="AM119" s="2002"/>
      <c r="AN119" s="2002"/>
      <c r="AO119" s="2002"/>
      <c r="AP119" s="2002"/>
      <c r="AQ119" s="2002"/>
      <c r="AR119" s="2002"/>
      <c r="AS119" s="2002"/>
      <c r="AT119" s="2002"/>
      <c r="AU119" s="2002"/>
      <c r="AV119" s="2002"/>
      <c r="AW119" s="2002"/>
      <c r="AX119" s="2002"/>
      <c r="AY119" s="2002"/>
      <c r="AZ119" s="2002"/>
      <c r="BA119" s="2002"/>
      <c r="BB119" s="2002"/>
      <c r="BC119" s="2002"/>
      <c r="BD119" s="2002"/>
      <c r="BE119" s="2002"/>
      <c r="BF119" s="2002"/>
      <c r="BG119" s="2002"/>
      <c r="BH119" s="2002"/>
      <c r="BI119" s="2002"/>
      <c r="BJ119" s="2002"/>
      <c r="BK119" s="2002"/>
      <c r="BL119" s="2002"/>
      <c r="BM119" s="2002"/>
      <c r="BN119" s="2002"/>
      <c r="BO119" s="2002"/>
      <c r="BP119" s="2002"/>
      <c r="BQ119" s="2002"/>
      <c r="BR119" s="2002"/>
      <c r="BS119" s="2002"/>
      <c r="BT119" s="2002"/>
      <c r="BU119" s="2002"/>
      <c r="BV119" s="2002"/>
      <c r="BW119" s="2002"/>
      <c r="BX119" s="2002"/>
      <c r="BY119" s="2002"/>
      <c r="BZ119" s="2002"/>
      <c r="CA119" s="2002"/>
      <c r="CB119" s="2002"/>
      <c r="CC119" s="2002"/>
      <c r="CD119" s="2002"/>
      <c r="CE119" s="2002"/>
    </row>
    <row s="18455" customFormat="1" customHeight="1" ht="11.25">
      <c r="A120" s="2172"/>
      <c r="B120" s="1523"/>
      <c r="C120" s="773"/>
      <c r="D120" s="2793"/>
      <c r="E120" s="1010" t="s">
        <v>24</v>
      </c>
      <c r="F120" s="1531" t="s">
        <v>24</v>
      </c>
      <c r="G120" s="1531" t="s">
        <v>1858</v>
      </c>
      <c r="H120" s="1012" t="s">
        <v>24</v>
      </c>
      <c r="I120" s="1012"/>
      <c r="J120" s="1012"/>
      <c r="K120" s="1012"/>
      <c r="L120" s="1012"/>
      <c r="M120" s="1012"/>
      <c r="N120" s="1012"/>
      <c r="O120" s="1012"/>
      <c r="P120" s="1012"/>
      <c r="Q120" s="1012"/>
      <c r="R120" s="1013"/>
      <c r="S120" s="1014"/>
      <c r="T120" s="1079"/>
      <c r="U120" s="2646"/>
      <c r="V120" s="2646"/>
      <c r="W120" s="1523"/>
      <c r="X120" s="1523"/>
      <c r="Y120" s="1523"/>
      <c r="Z120" s="1523"/>
      <c r="AA120" s="2002"/>
      <c r="AB120" s="1523"/>
      <c r="AC120" s="2647"/>
      <c r="AD120" s="990"/>
      <c r="AE120" s="1523"/>
      <c r="AF120" s="1523"/>
      <c r="AG120" s="2002"/>
      <c r="AH120" s="2002"/>
      <c r="AI120" s="2002"/>
      <c r="AJ120" s="2002"/>
      <c r="AK120" s="2002"/>
      <c r="AL120" s="2002"/>
      <c r="AM120" s="2002"/>
      <c r="AN120" s="2002"/>
      <c r="AO120" s="2002"/>
      <c r="AP120" s="2002"/>
      <c r="AQ120" s="2002"/>
      <c r="AR120" s="2002"/>
      <c r="AS120" s="2002"/>
      <c r="AT120" s="2002"/>
      <c r="AU120" s="2002"/>
      <c r="AV120" s="2002"/>
      <c r="AW120" s="2002"/>
      <c r="AX120" s="2002"/>
      <c r="AY120" s="2002"/>
      <c r="AZ120" s="2002"/>
      <c r="BA120" s="2002"/>
      <c r="BB120" s="2002"/>
      <c r="BC120" s="2002"/>
      <c r="BD120" s="2002"/>
      <c r="BE120" s="2002"/>
      <c r="BF120" s="2002"/>
      <c r="BG120" s="2002"/>
      <c r="BH120" s="2002"/>
      <c r="BI120" s="2002"/>
      <c r="BJ120" s="2002"/>
      <c r="BK120" s="2002"/>
      <c r="BL120" s="2002"/>
      <c r="BM120" s="2002"/>
      <c r="BN120" s="2002"/>
      <c r="BO120" s="2002"/>
      <c r="BP120" s="2002"/>
      <c r="BQ120" s="2002"/>
      <c r="BR120" s="2002"/>
      <c r="BS120" s="2002"/>
      <c r="BT120" s="2002"/>
      <c r="BU120" s="2002"/>
      <c r="BV120" s="1523"/>
      <c r="BW120" s="1523"/>
      <c r="BX120" s="1523"/>
      <c r="BY120" s="1523"/>
      <c r="BZ120" s="1523"/>
      <c r="CA120" s="1523"/>
      <c r="CB120" s="1523"/>
      <c r="CC120" s="1523"/>
      <c r="CD120" s="1523"/>
      <c r="CE120" s="1523"/>
    </row>
    <row s="18455" customFormat="1" customHeight="1" ht="24.75">
      <c r="A121" s="2172"/>
      <c r="B121" s="1523"/>
      <c r="C121" s="773"/>
      <c r="D121" s="2793"/>
      <c r="E121" s="2645" t="s">
        <v>613</v>
      </c>
      <c r="F121" s="2645"/>
      <c r="G121" s="2645"/>
      <c r="H121" s="2645"/>
      <c r="I121" s="2645"/>
      <c r="J121" s="2645"/>
      <c r="K121" s="2645"/>
      <c r="L121" s="2645"/>
      <c r="M121" s="2645"/>
      <c r="N121" s="2645"/>
      <c r="O121" s="2645"/>
      <c r="P121" s="2645"/>
      <c r="Q121" s="919">
        <f>SUMIF(T122:T123,"i",Q122:Q123)</f>
        <v>0</v>
      </c>
      <c r="R121" s="1379"/>
      <c r="S121" s="2164" t="s">
        <v>614</v>
      </c>
      <c r="T121" s="1078" t="s">
        <v>612</v>
      </c>
      <c r="U121" s="2646">
        <v>1</v>
      </c>
      <c r="V121" s="2646" t="s">
        <v>575</v>
      </c>
      <c r="W121" s="1523"/>
      <c r="X121" s="1523"/>
      <c r="Y121" s="1523"/>
      <c r="Z121" s="1523"/>
      <c r="AA121" s="2002"/>
      <c r="AB121" s="1523"/>
      <c r="AC121" s="2162"/>
      <c r="AD121" s="990"/>
      <c r="AE121" s="1523"/>
      <c r="AF121" s="1523"/>
      <c r="AG121" s="2002"/>
      <c r="AH121" s="2002"/>
      <c r="AI121" s="2002"/>
      <c r="AJ121" s="2002"/>
      <c r="AK121" s="2002"/>
      <c r="AL121" s="2002"/>
      <c r="AM121" s="2002"/>
      <c r="AN121" s="2002"/>
      <c r="AO121" s="2002"/>
      <c r="AP121" s="2002"/>
      <c r="AQ121" s="2002"/>
      <c r="AR121" s="2002"/>
      <c r="AS121" s="2002"/>
      <c r="AT121" s="2002"/>
      <c r="AU121" s="2002"/>
      <c r="AV121" s="2002"/>
      <c r="AW121" s="2002"/>
      <c r="AX121" s="2002"/>
      <c r="AY121" s="2002"/>
      <c r="AZ121" s="2002"/>
      <c r="BA121" s="2002"/>
      <c r="BB121" s="2002"/>
      <c r="BC121" s="2002"/>
      <c r="BD121" s="2002"/>
      <c r="BE121" s="2002"/>
      <c r="BF121" s="2002"/>
      <c r="BG121" s="2002"/>
      <c r="BH121" s="2002"/>
      <c r="BI121" s="2002"/>
      <c r="BJ121" s="2002"/>
      <c r="BK121" s="2002"/>
      <c r="BL121" s="2002"/>
      <c r="BM121" s="2002"/>
      <c r="BN121" s="2002"/>
      <c r="BO121" s="2002"/>
      <c r="BP121" s="2002"/>
      <c r="BQ121" s="2002"/>
      <c r="BR121" s="2002"/>
      <c r="BS121" s="2002"/>
      <c r="BT121" s="2002"/>
      <c r="BU121" s="2002"/>
      <c r="BV121" s="1523"/>
      <c r="BW121" s="1523"/>
      <c r="BX121" s="1523"/>
      <c r="BY121" s="1523"/>
      <c r="BZ121" s="1523"/>
      <c r="CA121" s="1523"/>
      <c r="CB121" s="1523"/>
      <c r="CC121" s="1523"/>
      <c r="CD121" s="1523"/>
      <c r="CE121" s="1523"/>
    </row>
    <row s="18455" customFormat="1" customHeight="1" ht="11.25" hidden="1">
      <c r="A122" s="2159"/>
      <c r="B122" s="2002"/>
      <c r="C122" s="2002"/>
      <c r="D122" s="2793"/>
      <c r="E122" s="996"/>
      <c r="F122" s="996">
        <v>0</v>
      </c>
      <c r="G122" s="996"/>
      <c r="H122" s="996"/>
      <c r="I122" s="996"/>
      <c r="J122" s="996"/>
      <c r="K122" s="996"/>
      <c r="L122" s="996"/>
      <c r="M122" s="996"/>
      <c r="N122" s="996"/>
      <c r="O122" s="996"/>
      <c r="P122" s="996"/>
      <c r="Q122" s="996"/>
      <c r="R122" s="996"/>
      <c r="S122" s="997"/>
      <c r="T122" s="1079"/>
      <c r="U122" s="2646"/>
      <c r="V122" s="2646"/>
      <c r="W122" s="2002"/>
      <c r="X122" s="2002"/>
      <c r="Y122" s="2002"/>
      <c r="Z122" s="2002"/>
      <c r="AA122" s="2002"/>
      <c r="AB122" s="1523"/>
      <c r="AC122" s="2162"/>
      <c r="AD122" s="990"/>
      <c r="AE122" s="1523"/>
      <c r="AF122" s="1523"/>
      <c r="AG122" s="2002"/>
      <c r="AH122" s="2002"/>
      <c r="AI122" s="2002"/>
      <c r="AJ122" s="2002"/>
      <c r="AK122" s="2002"/>
      <c r="AL122" s="2002"/>
      <c r="AM122" s="2002"/>
      <c r="AN122" s="2002"/>
      <c r="AO122" s="2002"/>
      <c r="AP122" s="2002"/>
      <c r="AQ122" s="2002"/>
      <c r="AR122" s="2002"/>
      <c r="AS122" s="2002"/>
      <c r="AT122" s="2002"/>
      <c r="AU122" s="2002"/>
      <c r="AV122" s="2002"/>
      <c r="AW122" s="2002"/>
      <c r="AX122" s="2002"/>
      <c r="AY122" s="2002"/>
      <c r="AZ122" s="2002"/>
      <c r="BA122" s="2002"/>
      <c r="BB122" s="2002"/>
      <c r="BC122" s="2002"/>
      <c r="BD122" s="2002"/>
      <c r="BE122" s="2002"/>
      <c r="BF122" s="2002"/>
      <c r="BG122" s="2002"/>
      <c r="BH122" s="2002"/>
      <c r="BI122" s="2002"/>
      <c r="BJ122" s="2002"/>
      <c r="BK122" s="2002"/>
      <c r="BL122" s="2002"/>
      <c r="BM122" s="2002"/>
      <c r="BN122" s="2002"/>
      <c r="BO122" s="2002"/>
      <c r="BP122" s="2002"/>
      <c r="BQ122" s="2002"/>
      <c r="BR122" s="2002"/>
      <c r="BS122" s="2002"/>
      <c r="BT122" s="2002"/>
      <c r="BU122" s="2002"/>
      <c r="BV122" s="2002"/>
      <c r="BW122" s="2002"/>
      <c r="BX122" s="2002"/>
      <c r="BY122" s="2002"/>
      <c r="BZ122" s="2002"/>
      <c r="CA122" s="2002"/>
      <c r="CB122" s="2002"/>
      <c r="CC122" s="2002"/>
      <c r="CD122" s="2002"/>
      <c r="CE122" s="2002"/>
    </row>
    <row s="18455" customFormat="1" customHeight="1" ht="11.25">
      <c r="A123" s="2172"/>
      <c r="B123" s="1523"/>
      <c r="C123" s="773"/>
      <c r="D123" s="2794"/>
      <c r="E123" s="1010" t="s">
        <v>24</v>
      </c>
      <c r="F123" s="1531" t="s">
        <v>24</v>
      </c>
      <c r="G123" s="1531" t="s">
        <v>1858</v>
      </c>
      <c r="H123" s="1012" t="s">
        <v>24</v>
      </c>
      <c r="I123" s="1012"/>
      <c r="J123" s="1012"/>
      <c r="K123" s="1012"/>
      <c r="L123" s="1012"/>
      <c r="M123" s="1012"/>
      <c r="N123" s="1012"/>
      <c r="O123" s="1012"/>
      <c r="P123" s="1012"/>
      <c r="Q123" s="1012"/>
      <c r="R123" s="1013"/>
      <c r="S123" s="1014"/>
      <c r="T123" s="1079"/>
      <c r="U123" s="2646"/>
      <c r="V123" s="2646"/>
      <c r="W123" s="1523"/>
      <c r="X123" s="1523"/>
      <c r="Y123" s="1523"/>
      <c r="Z123" s="1523"/>
      <c r="AA123" s="2002"/>
      <c r="AB123" s="1523"/>
      <c r="AC123" s="2162"/>
      <c r="AD123" s="990"/>
      <c r="AE123" s="1523"/>
      <c r="AF123" s="1523"/>
      <c r="AG123" s="2002"/>
      <c r="AH123" s="2002"/>
      <c r="AI123" s="2002"/>
      <c r="AJ123" s="2002"/>
      <c r="AK123" s="2002"/>
      <c r="AL123" s="2002"/>
      <c r="AM123" s="2002"/>
      <c r="AN123" s="2002"/>
      <c r="AO123" s="2002"/>
      <c r="AP123" s="2002"/>
      <c r="AQ123" s="2002"/>
      <c r="AR123" s="2002"/>
      <c r="AS123" s="2002"/>
      <c r="AT123" s="2002"/>
      <c r="AU123" s="2002"/>
      <c r="AV123" s="2002"/>
      <c r="AW123" s="2002"/>
      <c r="AX123" s="2002"/>
      <c r="AY123" s="2002"/>
      <c r="AZ123" s="2002"/>
      <c r="BA123" s="2002"/>
      <c r="BB123" s="2002"/>
      <c r="BC123" s="2002"/>
      <c r="BD123" s="2002"/>
      <c r="BE123" s="2002"/>
      <c r="BF123" s="2002"/>
      <c r="BG123" s="2002"/>
      <c r="BH123" s="2002"/>
      <c r="BI123" s="2002"/>
      <c r="BJ123" s="2002"/>
      <c r="BK123" s="2002"/>
      <c r="BL123" s="2002"/>
      <c r="BM123" s="2002"/>
      <c r="BN123" s="2002"/>
      <c r="BO123" s="2002"/>
      <c r="BP123" s="2002"/>
      <c r="BQ123" s="2002"/>
      <c r="BR123" s="2002"/>
      <c r="BS123" s="2002"/>
      <c r="BT123" s="2002"/>
      <c r="BU123" s="2002"/>
      <c r="BV123" s="1523"/>
      <c r="BW123" s="1523"/>
      <c r="BX123" s="1523"/>
      <c r="BY123" s="1523"/>
      <c r="BZ123" s="1523"/>
      <c r="CA123" s="1523"/>
      <c r="CB123" s="1523"/>
      <c r="CC123" s="1523"/>
      <c r="CD123" s="1523"/>
      <c r="CE123" s="1523"/>
    </row>
    <row r="125" s="20611" customFormat="1" customHeight="1" ht="11.25">
      <c r="A125" s="2181" t="s">
        <v>1859</v>
      </c>
    </row>
    <row r="127" s="18455" customFormat="1" customHeight="1" ht="15">
      <c r="A127" s="984"/>
      <c r="B127" s="985"/>
      <c r="C127" s="985"/>
      <c r="D127" s="2792" t="s">
        <v>106</v>
      </c>
      <c r="E127" s="2648" t="s">
        <v>102</v>
      </c>
      <c r="F127" s="2649"/>
      <c r="G127" s="2650"/>
      <c r="H127" s="2643" t="str">
        <f>IF(A127="","",INDEX(DIFFERENTIATION_UNMERGE_VD,MATCH(A127,DIFFERENTIATION_ID_DIFF,0)))</f>
        <v/>
      </c>
      <c r="I127" s="2643"/>
      <c r="J127" s="2643"/>
      <c r="K127" s="2643"/>
      <c r="L127" s="2643"/>
      <c r="M127" s="2643"/>
      <c r="N127" s="2643"/>
      <c r="O127" s="2643"/>
      <c r="P127" s="2643"/>
      <c r="Q127" s="2643"/>
      <c r="R127" s="2643"/>
      <c r="S127" s="1080"/>
      <c r="T127" s="1077"/>
      <c r="U127" s="986"/>
      <c r="V127" s="986"/>
      <c r="W127" s="987"/>
      <c r="X127" s="987"/>
      <c r="Y127" s="987"/>
      <c r="Z127" s="987"/>
      <c r="AA127" s="988"/>
      <c r="AB127" s="989"/>
      <c r="AC127" s="2647"/>
      <c r="AD127" s="990"/>
      <c r="AE127" s="991" t="s">
        <v>24</v>
      </c>
      <c r="AF127" s="991"/>
      <c r="AG127" s="992" t="s">
        <v>609</v>
      </c>
      <c r="AH127" s="993">
        <v>3</v>
      </c>
      <c r="AI127" s="986"/>
      <c r="AJ127" s="986"/>
      <c r="AK127" s="986"/>
      <c r="AL127" s="986"/>
      <c r="AM127" s="986"/>
      <c r="AN127" s="986"/>
      <c r="AO127" s="986"/>
      <c r="AP127" s="986"/>
      <c r="AQ127" s="986"/>
      <c r="AR127" s="986"/>
      <c r="AS127" s="986"/>
      <c r="AT127" s="986"/>
      <c r="AU127" s="986"/>
      <c r="AV127" s="986"/>
      <c r="AW127" s="986"/>
      <c r="AX127" s="986"/>
      <c r="AY127" s="986"/>
      <c r="AZ127" s="986"/>
      <c r="BA127" s="986"/>
      <c r="BB127" s="986"/>
      <c r="BC127" s="986"/>
      <c r="BD127" s="986"/>
      <c r="BE127" s="986"/>
      <c r="BF127" s="986"/>
      <c r="BG127" s="986"/>
      <c r="BH127" s="986"/>
      <c r="BI127" s="986"/>
      <c r="BJ127" s="986"/>
      <c r="BK127" s="986"/>
      <c r="BL127" s="986"/>
      <c r="BM127" s="986"/>
      <c r="BN127" s="986"/>
      <c r="BO127" s="986"/>
      <c r="BP127" s="986"/>
      <c r="BQ127" s="986"/>
      <c r="BR127" s="986"/>
      <c r="BS127" s="986"/>
      <c r="BT127" s="986"/>
      <c r="BU127" s="986"/>
      <c r="BV127" s="987"/>
      <c r="BW127" s="987"/>
      <c r="BX127" s="987"/>
      <c r="BY127" s="987"/>
      <c r="BZ127" s="987"/>
      <c r="CA127" s="987"/>
      <c r="CB127" s="987"/>
      <c r="CC127" s="987"/>
      <c r="CD127" s="987"/>
      <c r="CE127" s="987"/>
    </row>
    <row s="18455" customFormat="1" customHeight="1" ht="15">
      <c r="A128" s="984"/>
      <c r="B128" s="985"/>
      <c r="C128" s="985"/>
      <c r="D128" s="2793"/>
      <c r="E128" s="2648" t="s">
        <v>564</v>
      </c>
      <c r="F128" s="2649"/>
      <c r="G128" s="2650"/>
      <c r="H128" s="2643" t="str">
        <f>IF(A127="","",INDEX(DIFFERENTIATION_UNMERGE_AREA,MATCH(A127,DIFFERENTIATION_ID_DIFF,0)))</f>
        <v/>
      </c>
      <c r="I128" s="2643"/>
      <c r="J128" s="2643"/>
      <c r="K128" s="2643"/>
      <c r="L128" s="2643"/>
      <c r="M128" s="2643"/>
      <c r="N128" s="2643"/>
      <c r="O128" s="2643"/>
      <c r="P128" s="2643"/>
      <c r="Q128" s="2643"/>
      <c r="R128" s="2643"/>
      <c r="S128" s="1080"/>
      <c r="T128" s="1077"/>
      <c r="U128" s="986"/>
      <c r="V128" s="986"/>
      <c r="W128" s="987"/>
      <c r="X128" s="987"/>
      <c r="Y128" s="987"/>
      <c r="Z128" s="987"/>
      <c r="AA128" s="988"/>
      <c r="AB128" s="989"/>
      <c r="AC128" s="2647"/>
      <c r="AD128" s="990"/>
      <c r="AE128" s="991"/>
      <c r="AF128" s="991"/>
      <c r="AG128" s="992"/>
      <c r="AH128" s="993"/>
      <c r="AI128" s="986"/>
      <c r="AJ128" s="986"/>
      <c r="AK128" s="986"/>
      <c r="AL128" s="986"/>
      <c r="AM128" s="986"/>
      <c r="AN128" s="986"/>
      <c r="AO128" s="986"/>
      <c r="AP128" s="986"/>
      <c r="AQ128" s="986"/>
      <c r="AR128" s="986"/>
      <c r="AS128" s="986"/>
      <c r="AT128" s="986"/>
      <c r="AU128" s="986"/>
      <c r="AV128" s="986"/>
      <c r="AW128" s="986"/>
      <c r="AX128" s="986"/>
      <c r="AY128" s="986"/>
      <c r="AZ128" s="986"/>
      <c r="BA128" s="986"/>
      <c r="BB128" s="986"/>
      <c r="BC128" s="986"/>
      <c r="BD128" s="986"/>
      <c r="BE128" s="986"/>
      <c r="BF128" s="986"/>
      <c r="BG128" s="986"/>
      <c r="BH128" s="986"/>
      <c r="BI128" s="986"/>
      <c r="BJ128" s="986"/>
      <c r="BK128" s="986"/>
      <c r="BL128" s="986"/>
      <c r="BM128" s="986"/>
      <c r="BN128" s="986"/>
      <c r="BO128" s="986"/>
      <c r="BP128" s="986"/>
      <c r="BQ128" s="986"/>
      <c r="BR128" s="986"/>
      <c r="BS128" s="986"/>
      <c r="BT128" s="986"/>
      <c r="BU128" s="986"/>
      <c r="BV128" s="987"/>
      <c r="BW128" s="987"/>
      <c r="BX128" s="987"/>
      <c r="BY128" s="987"/>
      <c r="BZ128" s="987"/>
      <c r="CA128" s="987"/>
      <c r="CB128" s="987"/>
      <c r="CC128" s="987"/>
      <c r="CD128" s="987"/>
      <c r="CE128" s="987"/>
    </row>
    <row s="18455" customFormat="1" customHeight="1" ht="15">
      <c r="A129" s="984"/>
      <c r="B129" s="985"/>
      <c r="C129" s="985"/>
      <c r="D129" s="2793"/>
      <c r="E129" s="2648" t="s">
        <v>565</v>
      </c>
      <c r="F129" s="2649"/>
      <c r="G129" s="2650"/>
      <c r="H129" s="2643" t="str">
        <f>IF(A127="","",INDEX(DIFFERENTIATION_UNMERGE_SYSTEM,MATCH(A127,DIFFERENTIATION_ID_DIFF,0)))</f>
        <v/>
      </c>
      <c r="I129" s="2643"/>
      <c r="J129" s="2643"/>
      <c r="K129" s="2643"/>
      <c r="L129" s="2643"/>
      <c r="M129" s="2643"/>
      <c r="N129" s="2643"/>
      <c r="O129" s="2643"/>
      <c r="P129" s="2643"/>
      <c r="Q129" s="2643"/>
      <c r="R129" s="2643"/>
      <c r="S129" s="1080"/>
      <c r="T129" s="1077"/>
      <c r="U129" s="986"/>
      <c r="V129" s="986"/>
      <c r="W129" s="987"/>
      <c r="X129" s="987"/>
      <c r="Y129" s="987"/>
      <c r="Z129" s="987"/>
      <c r="AA129" s="988"/>
      <c r="AB129" s="989"/>
      <c r="AC129" s="2647"/>
      <c r="AD129" s="990"/>
      <c r="AE129" s="991"/>
      <c r="AF129" s="991"/>
      <c r="AG129" s="992"/>
      <c r="AH129" s="993"/>
      <c r="AI129" s="986"/>
      <c r="AJ129" s="986"/>
      <c r="AK129" s="986"/>
      <c r="AL129" s="986"/>
      <c r="AM129" s="986"/>
      <c r="AN129" s="986"/>
      <c r="AO129" s="986"/>
      <c r="AP129" s="986"/>
      <c r="AQ129" s="986"/>
      <c r="AR129" s="986"/>
      <c r="AS129" s="986"/>
      <c r="AT129" s="986"/>
      <c r="AU129" s="986"/>
      <c r="AV129" s="986"/>
      <c r="AW129" s="986"/>
      <c r="AX129" s="986"/>
      <c r="AY129" s="986"/>
      <c r="AZ129" s="986"/>
      <c r="BA129" s="986"/>
      <c r="BB129" s="986"/>
      <c r="BC129" s="986"/>
      <c r="BD129" s="986"/>
      <c r="BE129" s="986"/>
      <c r="BF129" s="986"/>
      <c r="BG129" s="986"/>
      <c r="BH129" s="986"/>
      <c r="BI129" s="986"/>
      <c r="BJ129" s="986"/>
      <c r="BK129" s="986"/>
      <c r="BL129" s="986"/>
      <c r="BM129" s="986"/>
      <c r="BN129" s="986"/>
      <c r="BO129" s="986"/>
      <c r="BP129" s="986"/>
      <c r="BQ129" s="986"/>
      <c r="BR129" s="986"/>
      <c r="BS129" s="986"/>
      <c r="BT129" s="986"/>
      <c r="BU129" s="986"/>
      <c r="BV129" s="987"/>
      <c r="BW129" s="987"/>
      <c r="BX129" s="987"/>
      <c r="BY129" s="987"/>
      <c r="BZ129" s="987"/>
      <c r="CA129" s="987"/>
      <c r="CB129" s="987"/>
      <c r="CC129" s="987"/>
      <c r="CD129" s="987"/>
      <c r="CE129" s="987"/>
    </row>
    <row s="18455" customFormat="1" customHeight="1" ht="24.75">
      <c r="A130" s="2172"/>
      <c r="B130" s="1523"/>
      <c r="C130" s="773"/>
      <c r="D130" s="2793"/>
      <c r="E130" s="2645" t="s">
        <v>610</v>
      </c>
      <c r="F130" s="2645"/>
      <c r="G130" s="2645"/>
      <c r="H130" s="2645"/>
      <c r="I130" s="2645"/>
      <c r="J130" s="2645"/>
      <c r="K130" s="2645"/>
      <c r="L130" s="2645"/>
      <c r="M130" s="2645"/>
      <c r="N130" s="2645"/>
      <c r="O130" s="2645"/>
      <c r="P130" s="2645"/>
      <c r="Q130" s="919">
        <f>SUMIF(T131:T132,"i",Q131:Q132)</f>
        <v>0</v>
      </c>
      <c r="R130" s="1379"/>
      <c r="S130" s="2164" t="s">
        <v>611</v>
      </c>
      <c r="T130" s="1078" t="s">
        <v>612</v>
      </c>
      <c r="U130" s="2646">
        <v>1</v>
      </c>
      <c r="V130" s="2646" t="s">
        <v>575</v>
      </c>
      <c r="W130" s="1523"/>
      <c r="X130" s="1523"/>
      <c r="Y130" s="1523"/>
      <c r="Z130" s="1523"/>
      <c r="AA130" s="2002"/>
      <c r="AB130" s="1523"/>
      <c r="AC130" s="2647"/>
      <c r="AD130" s="990"/>
      <c r="AE130" s="1523"/>
      <c r="AF130" s="1523"/>
      <c r="AG130" s="2002"/>
      <c r="AH130" s="2002"/>
      <c r="AI130" s="2002"/>
      <c r="AJ130" s="2002"/>
      <c r="AK130" s="2002"/>
      <c r="AL130" s="2002"/>
      <c r="AM130" s="2002"/>
      <c r="AN130" s="2002"/>
      <c r="AO130" s="2002"/>
      <c r="AP130" s="2002"/>
      <c r="AQ130" s="2002"/>
      <c r="AR130" s="2002"/>
      <c r="AS130" s="2002"/>
      <c r="AT130" s="2002"/>
      <c r="AU130" s="2002"/>
      <c r="AV130" s="2002"/>
      <c r="AW130" s="2002"/>
      <c r="AX130" s="2002"/>
      <c r="AY130" s="2002"/>
      <c r="AZ130" s="2002"/>
      <c r="BA130" s="2002"/>
      <c r="BB130" s="2002"/>
      <c r="BC130" s="2002"/>
      <c r="BD130" s="2002"/>
      <c r="BE130" s="2002"/>
      <c r="BF130" s="2002"/>
      <c r="BG130" s="2002"/>
      <c r="BH130" s="2002"/>
      <c r="BI130" s="2002"/>
      <c r="BJ130" s="2002"/>
      <c r="BK130" s="2002"/>
      <c r="BL130" s="2002"/>
      <c r="BM130" s="2002"/>
      <c r="BN130" s="2002"/>
      <c r="BO130" s="2002"/>
      <c r="BP130" s="2002"/>
      <c r="BQ130" s="2002"/>
      <c r="BR130" s="2002"/>
      <c r="BS130" s="2002"/>
      <c r="BT130" s="2002"/>
      <c r="BU130" s="2002"/>
      <c r="BV130" s="1523"/>
      <c r="BW130" s="1523"/>
      <c r="BX130" s="1523"/>
      <c r="BY130" s="1523"/>
      <c r="BZ130" s="1523"/>
      <c r="CA130" s="1523"/>
      <c r="CB130" s="1523"/>
      <c r="CC130" s="1523"/>
      <c r="CD130" s="1523"/>
      <c r="CE130" s="1523"/>
    </row>
    <row s="18455" customFormat="1" customHeight="1" ht="11.25" hidden="1">
      <c r="A131" s="2159"/>
      <c r="B131" s="2002"/>
      <c r="C131" s="2002"/>
      <c r="D131" s="2793"/>
      <c r="E131" s="996"/>
      <c r="F131" s="996">
        <v>0</v>
      </c>
      <c r="G131" s="996"/>
      <c r="H131" s="996"/>
      <c r="I131" s="996"/>
      <c r="J131" s="996"/>
      <c r="K131" s="996"/>
      <c r="L131" s="996"/>
      <c r="M131" s="996"/>
      <c r="N131" s="996"/>
      <c r="O131" s="996"/>
      <c r="P131" s="996"/>
      <c r="Q131" s="996"/>
      <c r="R131" s="996"/>
      <c r="S131" s="997"/>
      <c r="T131" s="1079"/>
      <c r="U131" s="2646"/>
      <c r="V131" s="2646"/>
      <c r="W131" s="2002"/>
      <c r="X131" s="2002"/>
      <c r="Y131" s="2002"/>
      <c r="Z131" s="2002"/>
      <c r="AA131" s="2002"/>
      <c r="AB131" s="1523"/>
      <c r="AC131" s="2647"/>
      <c r="AD131" s="990"/>
      <c r="AE131" s="1523"/>
      <c r="AF131" s="1523"/>
      <c r="AG131" s="2002"/>
      <c r="AH131" s="2002"/>
      <c r="AI131" s="2002"/>
      <c r="AJ131" s="2002"/>
      <c r="AK131" s="2002"/>
      <c r="AL131" s="2002"/>
      <c r="AM131" s="2002"/>
      <c r="AN131" s="2002"/>
      <c r="AO131" s="2002"/>
      <c r="AP131" s="2002"/>
      <c r="AQ131" s="2002"/>
      <c r="AR131" s="2002"/>
      <c r="AS131" s="2002"/>
      <c r="AT131" s="2002"/>
      <c r="AU131" s="2002"/>
      <c r="AV131" s="2002"/>
      <c r="AW131" s="2002"/>
      <c r="AX131" s="2002"/>
      <c r="AY131" s="2002"/>
      <c r="AZ131" s="2002"/>
      <c r="BA131" s="2002"/>
      <c r="BB131" s="2002"/>
      <c r="BC131" s="2002"/>
      <c r="BD131" s="2002"/>
      <c r="BE131" s="2002"/>
      <c r="BF131" s="2002"/>
      <c r="BG131" s="2002"/>
      <c r="BH131" s="2002"/>
      <c r="BI131" s="2002"/>
      <c r="BJ131" s="2002"/>
      <c r="BK131" s="2002"/>
      <c r="BL131" s="2002"/>
      <c r="BM131" s="2002"/>
      <c r="BN131" s="2002"/>
      <c r="BO131" s="2002"/>
      <c r="BP131" s="2002"/>
      <c r="BQ131" s="2002"/>
      <c r="BR131" s="2002"/>
      <c r="BS131" s="2002"/>
      <c r="BT131" s="2002"/>
      <c r="BU131" s="2002"/>
      <c r="BV131" s="2002"/>
      <c r="BW131" s="2002"/>
      <c r="BX131" s="2002"/>
      <c r="BY131" s="2002"/>
      <c r="BZ131" s="2002"/>
      <c r="CA131" s="2002"/>
      <c r="CB131" s="2002"/>
      <c r="CC131" s="2002"/>
      <c r="CD131" s="2002"/>
      <c r="CE131" s="2002"/>
    </row>
    <row s="18455" customFormat="1" customHeight="1" ht="11.25">
      <c r="A132" s="2172"/>
      <c r="B132" s="1523"/>
      <c r="C132" s="773"/>
      <c r="D132" s="2793"/>
      <c r="E132" s="1010" t="s">
        <v>24</v>
      </c>
      <c r="F132" s="1531" t="s">
        <v>24</v>
      </c>
      <c r="G132" s="1531" t="s">
        <v>1858</v>
      </c>
      <c r="H132" s="1012" t="s">
        <v>24</v>
      </c>
      <c r="I132" s="1012"/>
      <c r="J132" s="1012"/>
      <c r="K132" s="1012"/>
      <c r="L132" s="1012"/>
      <c r="M132" s="1012"/>
      <c r="N132" s="1012"/>
      <c r="O132" s="1012"/>
      <c r="P132" s="1012"/>
      <c r="Q132" s="1012"/>
      <c r="R132" s="1013"/>
      <c r="S132" s="1014"/>
      <c r="T132" s="1079"/>
      <c r="U132" s="2646"/>
      <c r="V132" s="2646"/>
      <c r="W132" s="1523"/>
      <c r="X132" s="1523"/>
      <c r="Y132" s="1523"/>
      <c r="Z132" s="1523"/>
      <c r="AA132" s="2002"/>
      <c r="AB132" s="1523"/>
      <c r="AC132" s="2647"/>
      <c r="AD132" s="990"/>
      <c r="AE132" s="1523"/>
      <c r="AF132" s="1523"/>
      <c r="AG132" s="2002"/>
      <c r="AH132" s="2002"/>
      <c r="AI132" s="2002"/>
      <c r="AJ132" s="2002"/>
      <c r="AK132" s="2002"/>
      <c r="AL132" s="2002"/>
      <c r="AM132" s="2002"/>
      <c r="AN132" s="2002"/>
      <c r="AO132" s="2002"/>
      <c r="AP132" s="2002"/>
      <c r="AQ132" s="2002"/>
      <c r="AR132" s="2002"/>
      <c r="AS132" s="2002"/>
      <c r="AT132" s="2002"/>
      <c r="AU132" s="2002"/>
      <c r="AV132" s="2002"/>
      <c r="AW132" s="2002"/>
      <c r="AX132" s="2002"/>
      <c r="AY132" s="2002"/>
      <c r="AZ132" s="2002"/>
      <c r="BA132" s="2002"/>
      <c r="BB132" s="2002"/>
      <c r="BC132" s="2002"/>
      <c r="BD132" s="2002"/>
      <c r="BE132" s="2002"/>
      <c r="BF132" s="2002"/>
      <c r="BG132" s="2002"/>
      <c r="BH132" s="2002"/>
      <c r="BI132" s="2002"/>
      <c r="BJ132" s="2002"/>
      <c r="BK132" s="2002"/>
      <c r="BL132" s="2002"/>
      <c r="BM132" s="2002"/>
      <c r="BN132" s="2002"/>
      <c r="BO132" s="2002"/>
      <c r="BP132" s="2002"/>
      <c r="BQ132" s="2002"/>
      <c r="BR132" s="2002"/>
      <c r="BS132" s="2002"/>
      <c r="BT132" s="2002"/>
      <c r="BU132" s="2002"/>
      <c r="BV132" s="1523"/>
      <c r="BW132" s="1523"/>
      <c r="BX132" s="1523"/>
      <c r="BY132" s="1523"/>
      <c r="BZ132" s="1523"/>
      <c r="CA132" s="1523"/>
      <c r="CB132" s="1523"/>
      <c r="CC132" s="1523"/>
      <c r="CD132" s="1523"/>
      <c r="CE132" s="1523"/>
    </row>
    <row s="18772" customFormat="1" customHeight="1" ht="5.25" hidden="1">
      <c r="A133" s="2159"/>
      <c r="B133" s="2002"/>
      <c r="C133" s="2002"/>
      <c r="D133" s="2793"/>
      <c r="E133" s="1401"/>
      <c r="F133" s="1401"/>
      <c r="G133" s="1401"/>
      <c r="H133" s="1401"/>
      <c r="I133" s="1401"/>
      <c r="J133" s="1401"/>
      <c r="K133" s="1401"/>
      <c r="L133" s="1401"/>
      <c r="M133" s="1401"/>
      <c r="N133" s="1401"/>
      <c r="O133" s="1401"/>
      <c r="P133" s="1401"/>
      <c r="Q133" s="1402"/>
      <c r="R133" s="1403"/>
      <c r="S133" s="1404"/>
      <c r="T133" s="1078" t="s">
        <v>612</v>
      </c>
      <c r="U133" s="2646">
        <v>1</v>
      </c>
      <c r="V133" s="2646" t="s">
        <v>575</v>
      </c>
      <c r="W133" s="2002"/>
      <c r="X133" s="2002"/>
      <c r="Y133" s="2002"/>
      <c r="Z133" s="2002"/>
      <c r="AA133" s="2002"/>
      <c r="AB133" s="2002"/>
      <c r="AC133" s="1399"/>
      <c r="AD133" s="1400"/>
      <c r="AE133" s="2002"/>
      <c r="AF133" s="2002"/>
      <c r="AG133" s="2002"/>
      <c r="AH133" s="2002"/>
      <c r="AI133" s="2002"/>
      <c r="AJ133" s="2002"/>
      <c r="AK133" s="2002"/>
      <c r="AL133" s="2002"/>
      <c r="AM133" s="2002"/>
      <c r="AN133" s="2002"/>
      <c r="AO133" s="2002"/>
      <c r="AP133" s="2002"/>
      <c r="AQ133" s="2002"/>
      <c r="AR133" s="2002"/>
      <c r="AS133" s="2002"/>
      <c r="AT133" s="2002"/>
      <c r="AU133" s="2002"/>
      <c r="AV133" s="2002"/>
      <c r="AW133" s="2002"/>
      <c r="AX133" s="2002"/>
      <c r="AY133" s="2002"/>
      <c r="AZ133" s="2002"/>
      <c r="BA133" s="2002"/>
      <c r="BB133" s="2002"/>
      <c r="BC133" s="2002"/>
      <c r="BD133" s="2002"/>
      <c r="BE133" s="2002"/>
      <c r="BF133" s="2002"/>
      <c r="BG133" s="2002"/>
      <c r="BH133" s="2002"/>
      <c r="BI133" s="2002"/>
      <c r="BJ133" s="2002"/>
      <c r="BK133" s="2002"/>
      <c r="BL133" s="2002"/>
      <c r="BM133" s="2002"/>
      <c r="BN133" s="2002"/>
      <c r="BO133" s="2002"/>
      <c r="BP133" s="2002"/>
      <c r="BQ133" s="2002"/>
      <c r="BR133" s="2002"/>
      <c r="BS133" s="2002"/>
      <c r="BT133" s="2002"/>
      <c r="BU133" s="2002"/>
      <c r="BV133" s="2002"/>
      <c r="BW133" s="2002"/>
      <c r="BX133" s="2002"/>
      <c r="BY133" s="2002"/>
      <c r="BZ133" s="2002"/>
      <c r="CA133" s="2002"/>
      <c r="CB133" s="2002"/>
      <c r="CC133" s="2002"/>
      <c r="CD133" s="2002"/>
      <c r="CE133" s="2002"/>
    </row>
    <row s="18772" customFormat="1" customHeight="1" ht="5.25" hidden="1">
      <c r="A134" s="2159"/>
      <c r="B134" s="2002"/>
      <c r="C134" s="2002"/>
      <c r="D134" s="2793"/>
      <c r="E134" s="996"/>
      <c r="F134" s="996"/>
      <c r="G134" s="996"/>
      <c r="H134" s="996"/>
      <c r="I134" s="996"/>
      <c r="J134" s="996"/>
      <c r="K134" s="996"/>
      <c r="L134" s="996"/>
      <c r="M134" s="996"/>
      <c r="N134" s="996"/>
      <c r="O134" s="996"/>
      <c r="P134" s="996"/>
      <c r="Q134" s="996"/>
      <c r="R134" s="996"/>
      <c r="S134" s="997"/>
      <c r="T134" s="1079"/>
      <c r="U134" s="2646"/>
      <c r="V134" s="2646"/>
      <c r="W134" s="2002"/>
      <c r="X134" s="2002"/>
      <c r="Y134" s="2002"/>
      <c r="Z134" s="2002"/>
      <c r="AA134" s="2002"/>
      <c r="AB134" s="2002"/>
      <c r="AC134" s="1399"/>
      <c r="AD134" s="1400"/>
      <c r="AE134" s="2002"/>
      <c r="AF134" s="2002"/>
      <c r="AG134" s="2002"/>
      <c r="AH134" s="2002"/>
      <c r="AI134" s="2002"/>
      <c r="AJ134" s="2002"/>
      <c r="AK134" s="2002"/>
      <c r="AL134" s="2002"/>
      <c r="AM134" s="2002"/>
      <c r="AN134" s="2002"/>
      <c r="AO134" s="2002"/>
      <c r="AP134" s="2002"/>
      <c r="AQ134" s="2002"/>
      <c r="AR134" s="2002"/>
      <c r="AS134" s="2002"/>
      <c r="AT134" s="2002"/>
      <c r="AU134" s="2002"/>
      <c r="AV134" s="2002"/>
      <c r="AW134" s="2002"/>
      <c r="AX134" s="2002"/>
      <c r="AY134" s="2002"/>
      <c r="AZ134" s="2002"/>
      <c r="BA134" s="2002"/>
      <c r="BB134" s="2002"/>
      <c r="BC134" s="2002"/>
      <c r="BD134" s="2002"/>
      <c r="BE134" s="2002"/>
      <c r="BF134" s="2002"/>
      <c r="BG134" s="2002"/>
      <c r="BH134" s="2002"/>
      <c r="BI134" s="2002"/>
      <c r="BJ134" s="2002"/>
      <c r="BK134" s="2002"/>
      <c r="BL134" s="2002"/>
      <c r="BM134" s="2002"/>
      <c r="BN134" s="2002"/>
      <c r="BO134" s="2002"/>
      <c r="BP134" s="2002"/>
      <c r="BQ134" s="2002"/>
      <c r="BR134" s="2002"/>
      <c r="BS134" s="2002"/>
      <c r="BT134" s="2002"/>
      <c r="BU134" s="2002"/>
      <c r="BV134" s="2002"/>
      <c r="BW134" s="2002"/>
      <c r="BX134" s="2002"/>
      <c r="BY134" s="2002"/>
      <c r="BZ134" s="2002"/>
      <c r="CA134" s="2002"/>
      <c r="CB134" s="2002"/>
      <c r="CC134" s="2002"/>
      <c r="CD134" s="2002"/>
      <c r="CE134" s="2002"/>
    </row>
    <row s="18772" customFormat="1" customHeight="1" ht="5.25" hidden="1">
      <c r="A135" s="2159"/>
      <c r="B135" s="2002"/>
      <c r="C135" s="2002"/>
      <c r="D135" s="2794"/>
      <c r="E135" s="1405"/>
      <c r="F135" s="1406"/>
      <c r="G135" s="1406"/>
      <c r="H135" s="1407"/>
      <c r="I135" s="1407"/>
      <c r="J135" s="1407"/>
      <c r="K135" s="1407"/>
      <c r="L135" s="1407"/>
      <c r="M135" s="1407"/>
      <c r="N135" s="1407"/>
      <c r="O135" s="1407"/>
      <c r="P135" s="1407"/>
      <c r="Q135" s="1407"/>
      <c r="R135" s="1308"/>
      <c r="S135" s="1408"/>
      <c r="T135" s="1079"/>
      <c r="U135" s="2646"/>
      <c r="V135" s="2646"/>
      <c r="W135" s="2002"/>
      <c r="X135" s="2002"/>
      <c r="Y135" s="2002"/>
      <c r="Z135" s="2002"/>
      <c r="AA135" s="2002"/>
      <c r="AB135" s="2002"/>
      <c r="AC135" s="1399"/>
      <c r="AD135" s="1400"/>
      <c r="AE135" s="2002"/>
      <c r="AF135" s="2002"/>
      <c r="AG135" s="2002"/>
      <c r="AH135" s="2002"/>
      <c r="AI135" s="2002"/>
      <c r="AJ135" s="2002"/>
      <c r="AK135" s="2002"/>
      <c r="AL135" s="2002"/>
      <c r="AM135" s="2002"/>
      <c r="AN135" s="2002"/>
      <c r="AO135" s="2002"/>
      <c r="AP135" s="2002"/>
      <c r="AQ135" s="2002"/>
      <c r="AR135" s="2002"/>
      <c r="AS135" s="2002"/>
      <c r="AT135" s="2002"/>
      <c r="AU135" s="2002"/>
      <c r="AV135" s="2002"/>
      <c r="AW135" s="2002"/>
      <c r="AX135" s="2002"/>
      <c r="AY135" s="2002"/>
      <c r="AZ135" s="2002"/>
      <c r="BA135" s="2002"/>
      <c r="BB135" s="2002"/>
      <c r="BC135" s="2002"/>
      <c r="BD135" s="2002"/>
      <c r="BE135" s="2002"/>
      <c r="BF135" s="2002"/>
      <c r="BG135" s="2002"/>
      <c r="BH135" s="2002"/>
      <c r="BI135" s="2002"/>
      <c r="BJ135" s="2002"/>
      <c r="BK135" s="2002"/>
      <c r="BL135" s="2002"/>
      <c r="BM135" s="2002"/>
      <c r="BN135" s="2002"/>
      <c r="BO135" s="2002"/>
      <c r="BP135" s="2002"/>
      <c r="BQ135" s="2002"/>
      <c r="BR135" s="2002"/>
      <c r="BS135" s="2002"/>
      <c r="BT135" s="2002"/>
      <c r="BU135" s="2002"/>
      <c r="BV135" s="2002"/>
      <c r="BW135" s="2002"/>
      <c r="BX135" s="2002"/>
      <c r="BY135" s="2002"/>
      <c r="BZ135" s="2002"/>
      <c r="CA135" s="2002"/>
      <c r="CB135" s="2002"/>
      <c r="CC135" s="2002"/>
      <c r="CD135" s="2002"/>
      <c r="CE135" s="2002"/>
    </row>
    <row customHeight="1" ht="17.25">
      <c r="D136" s="2202"/>
    </row>
    <row s="20611" customFormat="1" customHeight="1" ht="11.25">
      <c r="A137" s="2181" t="s">
        <v>1860</v>
      </c>
    </row>
    <row r="139" s="18455" customFormat="1" customHeight="1" ht="45">
      <c r="A139" s="2172"/>
      <c r="B139" s="1523"/>
      <c r="C139" s="773"/>
      <c r="D139" s="450"/>
      <c r="E139" s="2798"/>
      <c r="F139" s="2403" t="s">
        <v>106</v>
      </c>
      <c r="G139" s="2801" t="s">
        <v>24</v>
      </c>
      <c r="H139" s="650"/>
      <c r="I139" s="998" t="s">
        <v>106</v>
      </c>
      <c r="J139" s="2173" t="s">
        <v>1861</v>
      </c>
      <c r="K139" s="999" t="s">
        <v>546</v>
      </c>
      <c r="L139" s="2493" t="s">
        <v>546</v>
      </c>
      <c r="M139" s="2803"/>
      <c r="N139" s="999" t="s">
        <v>546</v>
      </c>
      <c r="O139" s="999" t="s">
        <v>546</v>
      </c>
      <c r="P139" s="999" t="s">
        <v>546</v>
      </c>
      <c r="Q139" s="1000">
        <f>SUM(Q140:Q142)</f>
        <v>0</v>
      </c>
      <c r="R139" s="1000">
        <f>IF(R136=0,0,(Q136/R136)*100)</f>
        <v>0</v>
      </c>
      <c r="S139" s="2462"/>
      <c r="T139" s="1078" t="s">
        <v>612</v>
      </c>
      <c r="U139" s="450"/>
      <c r="V139" s="450"/>
      <c r="AC139" s="450"/>
    </row>
    <row s="18455" customFormat="1" customHeight="1" ht="11.25">
      <c r="A140" s="2172"/>
      <c r="B140" s="1523"/>
      <c r="C140" s="773"/>
      <c r="D140" s="450"/>
      <c r="E140" s="2799"/>
      <c r="F140" s="2403"/>
      <c r="G140" s="2801"/>
      <c r="H140" s="2392"/>
      <c r="I140" s="2787" t="s">
        <v>939</v>
      </c>
      <c r="J140" s="2795"/>
      <c r="K140" s="2796"/>
      <c r="L140" s="1001"/>
      <c r="M140" s="1002" t="s">
        <v>106</v>
      </c>
      <c r="N140" s="2161"/>
      <c r="O140" s="1003"/>
      <c r="P140" s="1004"/>
      <c r="Q140" s="1003"/>
      <c r="R140" s="1005">
        <v>0</v>
      </c>
      <c r="S140" s="2462"/>
      <c r="T140" s="1078"/>
      <c r="U140" s="450"/>
      <c r="V140" s="450"/>
      <c r="AC140" s="450"/>
    </row>
    <row s="18455" customFormat="1" customHeight="1" ht="11.25">
      <c r="A141" s="2172"/>
      <c r="B141" s="1523"/>
      <c r="C141" s="773"/>
      <c r="D141" s="450"/>
      <c r="E141" s="2799"/>
      <c r="F141" s="2403"/>
      <c r="G141" s="2801"/>
      <c r="H141" s="2392"/>
      <c r="I141" s="2787"/>
      <c r="J141" s="2795"/>
      <c r="K141" s="2797"/>
      <c r="L141" s="1006"/>
      <c r="M141" s="1007"/>
      <c r="N141" s="1008" t="s">
        <v>1862</v>
      </c>
      <c r="O141" s="1008"/>
      <c r="P141" s="1008"/>
      <c r="Q141" s="1008"/>
      <c r="R141" s="1009"/>
      <c r="S141" s="2462"/>
      <c r="T141" s="1078"/>
      <c r="U141" s="450"/>
      <c r="V141" s="450"/>
      <c r="AC141" s="450"/>
    </row>
    <row s="18455" customFormat="1" customHeight="1" ht="11.25">
      <c r="A142" s="2172"/>
      <c r="B142" s="1523"/>
      <c r="C142" s="773"/>
      <c r="D142" s="450"/>
      <c r="E142" s="2800"/>
      <c r="F142" s="2403"/>
      <c r="G142" s="2802"/>
      <c r="H142" s="1006" t="s">
        <v>24</v>
      </c>
      <c r="I142" s="1007"/>
      <c r="J142" s="1008" t="s">
        <v>1863</v>
      </c>
      <c r="K142" s="1008"/>
      <c r="L142" s="1008"/>
      <c r="M142" s="1008"/>
      <c r="N142" s="1008"/>
      <c r="O142" s="1008"/>
      <c r="P142" s="1008"/>
      <c r="Q142" s="1008"/>
      <c r="R142" s="1009"/>
      <c r="S142" s="2462"/>
      <c r="T142" s="1078"/>
      <c r="U142" s="450"/>
      <c r="V142" s="450"/>
      <c r="AC142" s="450"/>
    </row>
    <row r="147" s="18455" customFormat="1" customHeight="1" ht="11.25">
      <c r="A147" s="2172"/>
      <c r="B147" s="1523"/>
      <c r="C147" s="773"/>
      <c r="D147" s="450"/>
      <c r="E147" s="2196"/>
      <c r="F147" s="2196"/>
      <c r="G147" s="2196"/>
      <c r="H147" s="2392"/>
      <c r="I147" s="2787" t="s">
        <v>939</v>
      </c>
      <c r="J147" s="2795"/>
      <c r="K147" s="2796"/>
      <c r="L147" s="1001"/>
      <c r="M147" s="1002" t="s">
        <v>106</v>
      </c>
      <c r="N147" s="2161"/>
      <c r="O147" s="1003"/>
      <c r="P147" s="1004"/>
      <c r="Q147" s="1003"/>
      <c r="R147" s="1005">
        <v>0</v>
      </c>
      <c r="S147" s="450"/>
      <c r="T147" s="1078"/>
      <c r="U147" s="450"/>
      <c r="V147" s="450"/>
      <c r="AC147" s="450"/>
    </row>
    <row s="18455" customFormat="1" customHeight="1" ht="11.25">
      <c r="A148" s="2172"/>
      <c r="B148" s="1523"/>
      <c r="C148" s="773"/>
      <c r="D148" s="450"/>
      <c r="E148" s="2196"/>
      <c r="F148" s="2196"/>
      <c r="G148" s="2196"/>
      <c r="H148" s="2392"/>
      <c r="I148" s="2787"/>
      <c r="J148" s="2795"/>
      <c r="K148" s="2797"/>
      <c r="L148" s="1006"/>
      <c r="M148" s="1007"/>
      <c r="N148" s="1008" t="s">
        <v>1862</v>
      </c>
      <c r="O148" s="1008"/>
      <c r="P148" s="1008"/>
      <c r="Q148" s="1008"/>
      <c r="R148" s="1009"/>
      <c r="S148" s="450"/>
      <c r="T148" s="1078"/>
      <c r="U148" s="450"/>
      <c r="V148" s="450"/>
      <c r="AC148" s="450"/>
    </row>
    <row r="150" s="18455" customFormat="1" customHeight="1" ht="11.25">
      <c r="A150" s="2172"/>
      <c r="B150" s="1523"/>
      <c r="C150" s="773"/>
      <c r="D150" s="450"/>
      <c r="E150" s="2203"/>
      <c r="F150" s="2201"/>
      <c r="G150" s="2201"/>
      <c r="H150" s="2204"/>
      <c r="I150" s="2196"/>
      <c r="J150" s="2197"/>
      <c r="K150" s="2197"/>
      <c r="L150" s="1001"/>
      <c r="M150" s="1002" t="s">
        <v>106</v>
      </c>
      <c r="N150" s="2161"/>
      <c r="O150" s="1003"/>
      <c r="P150" s="1004"/>
      <c r="Q150" s="1003"/>
      <c r="R150" s="1005">
        <v>0</v>
      </c>
      <c r="S150" s="450"/>
      <c r="T150" s="1078"/>
      <c r="U150" s="450"/>
      <c r="V150" s="450"/>
      <c r="AC150" s="450"/>
    </row>
    <row r="152" s="20611" customFormat="1" customHeight="1" ht="17.25">
      <c r="A152" s="2181" t="s">
        <v>1864</v>
      </c>
    </row>
    <row customHeight="1" ht="17.25">
      <c r="G153" s="2205"/>
      <c r="H153" s="2205"/>
      <c r="I153" s="2205"/>
      <c r="M153" s="2201"/>
    </row>
    <row s="20809" customFormat="1" customHeight="1" ht="17.25">
      <c r="A154" s="2206"/>
      <c r="C154" s="2208"/>
      <c r="D154" s="2784"/>
      <c r="E154" s="2418"/>
      <c r="F154" s="2420"/>
      <c r="G154" s="2790"/>
      <c r="H154" s="2784"/>
      <c r="I154" s="2784">
        <v>1</v>
      </c>
      <c r="J154" s="2810"/>
      <c r="K154" s="2465" t="s">
        <v>59</v>
      </c>
      <c r="L154" s="2403"/>
      <c r="M154" s="2403" t="s">
        <v>106</v>
      </c>
      <c r="N154" s="2808" t="str">
        <f>IF(Z154="","",INDEX(TERRITORY_MR_LIST,MATCH(Z154,TERRITORY_LIST_ID,0)))</f>
        <v/>
      </c>
      <c r="O154" s="2465" t="s">
        <v>59</v>
      </c>
      <c r="P154" s="2403"/>
      <c r="Q154" s="2403" t="s">
        <v>106</v>
      </c>
      <c r="R154" s="2789" t="s">
        <v>24</v>
      </c>
      <c r="S154" s="2402" t="s">
        <v>59</v>
      </c>
      <c r="T154" s="2177"/>
      <c r="U154" s="2177" t="s">
        <v>106</v>
      </c>
      <c r="V154" s="2209" t="s">
        <v>24</v>
      </c>
      <c r="W154" s="2167"/>
      <c r="Y154" s="1633"/>
      <c r="Z154" s="1633"/>
      <c r="AA154" s="1633"/>
      <c r="AB154" s="1633"/>
      <c r="AC154" s="1633"/>
      <c r="AD154" s="1633"/>
      <c r="AE154" s="1633"/>
      <c r="AF154" s="1633"/>
      <c r="AG154" s="1633"/>
      <c r="AH154" s="1633"/>
      <c r="AI154" s="1633"/>
      <c r="AJ154" s="1633"/>
      <c r="AK154" s="1633"/>
      <c r="AL154" s="2210"/>
      <c r="AM154" s="2210"/>
      <c r="AN154" s="1633"/>
      <c r="AO154" s="1633"/>
      <c r="AP154" s="1633"/>
      <c r="AQ154" s="1633"/>
    </row>
    <row s="20809" customFormat="1" customHeight="1" ht="17.25">
      <c r="A155" s="2206"/>
      <c r="C155" s="2211"/>
      <c r="D155" s="2784"/>
      <c r="E155" s="2418"/>
      <c r="F155" s="2421"/>
      <c r="G155" s="2790"/>
      <c r="H155" s="2784"/>
      <c r="I155" s="2784"/>
      <c r="J155" s="2810"/>
      <c r="K155" s="2466"/>
      <c r="L155" s="2403"/>
      <c r="M155" s="2403"/>
      <c r="N155" s="2808"/>
      <c r="O155" s="2466"/>
      <c r="P155" s="2403"/>
      <c r="Q155" s="2403"/>
      <c r="R155" s="2789"/>
      <c r="S155" s="2402"/>
      <c r="T155" s="678"/>
      <c r="U155" s="679"/>
      <c r="V155" s="679" t="s">
        <v>414</v>
      </c>
      <c r="W155" s="680"/>
      <c r="Y155" s="1625"/>
      <c r="Z155" s="1625"/>
      <c r="AA155" s="1625"/>
      <c r="AB155" s="1625"/>
      <c r="AC155" s="1625"/>
      <c r="AD155" s="1625"/>
      <c r="AE155" s="1625"/>
      <c r="AF155" s="1625"/>
      <c r="AG155" s="1625"/>
      <c r="AH155" s="1625"/>
      <c r="AI155" s="1625"/>
      <c r="AJ155" s="1625"/>
      <c r="AK155" s="1625"/>
    </row>
    <row s="20809" customFormat="1" customHeight="1" ht="17.25">
      <c r="A156" s="2206"/>
      <c r="C156" s="2211"/>
      <c r="D156" s="2785"/>
      <c r="E156" s="2807"/>
      <c r="F156" s="2421"/>
      <c r="G156" s="2791"/>
      <c r="H156" s="2785"/>
      <c r="I156" s="2785"/>
      <c r="J156" s="2811"/>
      <c r="K156" s="2466"/>
      <c r="L156" s="2785"/>
      <c r="M156" s="2785"/>
      <c r="N156" s="2809"/>
      <c r="O156" s="2407"/>
      <c r="P156" s="678"/>
      <c r="Q156" s="679"/>
      <c r="R156" s="679" t="s">
        <v>251</v>
      </c>
      <c r="S156" s="2212"/>
      <c r="T156" s="2212"/>
      <c r="U156" s="2212"/>
      <c r="V156" s="2212"/>
      <c r="W156" s="680"/>
      <c r="Y156" s="1625"/>
      <c r="Z156" s="1625"/>
      <c r="AA156" s="1625"/>
      <c r="AB156" s="1625"/>
      <c r="AC156" s="1625"/>
      <c r="AD156" s="1625"/>
      <c r="AE156" s="1625"/>
      <c r="AF156" s="1625"/>
      <c r="AG156" s="1625"/>
      <c r="AH156" s="1625"/>
      <c r="AI156" s="1625"/>
      <c r="AJ156" s="1625"/>
      <c r="AK156" s="1625"/>
    </row>
    <row s="20809" customFormat="1" customHeight="1" ht="17.25">
      <c r="A157" s="2206"/>
      <c r="C157" s="2211"/>
      <c r="D157" s="2785"/>
      <c r="E157" s="2807"/>
      <c r="F157" s="2421"/>
      <c r="G157" s="2791"/>
      <c r="H157" s="2785"/>
      <c r="I157" s="2785"/>
      <c r="J157" s="2811"/>
      <c r="K157" s="2407"/>
      <c r="L157" s="678"/>
      <c r="M157" s="679"/>
      <c r="N157" s="679" t="s">
        <v>252</v>
      </c>
      <c r="O157" s="679"/>
      <c r="P157" s="679"/>
      <c r="Q157" s="679"/>
      <c r="R157" s="679"/>
      <c r="S157" s="2212"/>
      <c r="T157" s="2212"/>
      <c r="U157" s="2212"/>
      <c r="V157" s="2212"/>
      <c r="W157" s="680"/>
      <c r="Y157" s="1625"/>
      <c r="Z157" s="1625"/>
      <c r="AA157" s="1625"/>
      <c r="AB157" s="1625"/>
      <c r="AC157" s="1625"/>
      <c r="AD157" s="1625"/>
      <c r="AE157" s="1625"/>
      <c r="AF157" s="1625"/>
      <c r="AG157" s="1625"/>
      <c r="AH157" s="1625"/>
      <c r="AI157" s="1625"/>
      <c r="AJ157" s="1625"/>
      <c r="AK157" s="1625"/>
    </row>
    <row s="20809" customFormat="1" customHeight="1" ht="17.25">
      <c r="A158" s="2206"/>
      <c r="C158" s="2211"/>
      <c r="D158" s="2785"/>
      <c r="E158" s="2807"/>
      <c r="F158" s="2422"/>
      <c r="G158" s="2791"/>
      <c r="H158" s="678"/>
      <c r="I158" s="679"/>
      <c r="J158" s="679" t="s">
        <v>253</v>
      </c>
      <c r="K158" s="679"/>
      <c r="L158" s="679"/>
      <c r="M158" s="679"/>
      <c r="N158" s="679"/>
      <c r="O158" s="679"/>
      <c r="P158" s="679"/>
      <c r="Q158" s="679"/>
      <c r="R158" s="679"/>
      <c r="S158" s="2212"/>
      <c r="T158" s="2212"/>
      <c r="U158" s="2212"/>
      <c r="V158" s="2212"/>
      <c r="W158" s="680"/>
      <c r="Y158" s="1625"/>
      <c r="Z158" s="1625"/>
      <c r="AA158" s="1625"/>
      <c r="AB158" s="1625"/>
      <c r="AC158" s="1625"/>
      <c r="AD158" s="1625"/>
      <c r="AE158" s="1625"/>
      <c r="AF158" s="1625"/>
      <c r="AG158" s="1625"/>
      <c r="AH158" s="1625"/>
      <c r="AI158" s="1625"/>
      <c r="AJ158" s="1625"/>
      <c r="AK158" s="1625"/>
    </row>
    <row customHeight="1" ht="17.25">
      <c r="G159" s="2205"/>
      <c r="H159" s="2205"/>
      <c r="I159" s="2205"/>
      <c r="M159" s="2201"/>
    </row>
    <row s="20809" customFormat="1" customHeight="1" ht="17.25">
      <c r="A160" s="2206"/>
      <c r="C160" s="2208"/>
      <c r="D160" s="2196"/>
      <c r="E160" s="2213"/>
      <c r="F160" s="2150"/>
      <c r="G160" s="2214"/>
      <c r="H160" s="2784"/>
      <c r="I160" s="2784">
        <v>1</v>
      </c>
      <c r="J160" s="2810"/>
      <c r="K160" s="2465" t="s">
        <v>59</v>
      </c>
      <c r="L160" s="2403"/>
      <c r="M160" s="2403" t="s">
        <v>106</v>
      </c>
      <c r="N160" s="2808" t="str">
        <f>IF(Z160="","",INDEX(TERRITORY_MR_LIST,MATCH(Z160,TERRITORY_LIST_ID,0)))</f>
        <v/>
      </c>
      <c r="O160" s="2465" t="s">
        <v>59</v>
      </c>
      <c r="P160" s="2403"/>
      <c r="Q160" s="2403" t="s">
        <v>106</v>
      </c>
      <c r="R160" s="2789" t="s">
        <v>24</v>
      </c>
      <c r="S160" s="2402" t="s">
        <v>59</v>
      </c>
      <c r="T160" s="2177"/>
      <c r="U160" s="2177" t="s">
        <v>106</v>
      </c>
      <c r="V160" s="2209" t="s">
        <v>24</v>
      </c>
      <c r="W160" s="2167"/>
      <c r="Y160" s="1633"/>
      <c r="Z160" s="1633"/>
      <c r="AA160" s="1633"/>
      <c r="AB160" s="1633"/>
      <c r="AC160" s="1633"/>
      <c r="AD160" s="1633"/>
      <c r="AE160" s="1633"/>
      <c r="AF160" s="1633"/>
      <c r="AG160" s="1633"/>
      <c r="AH160" s="1633"/>
      <c r="AI160" s="1633"/>
      <c r="AJ160" s="1633"/>
      <c r="AK160" s="1633"/>
      <c r="AL160" s="2210"/>
      <c r="AM160" s="2210"/>
      <c r="AN160" s="1633"/>
      <c r="AO160" s="1633"/>
      <c r="AP160" s="1633"/>
      <c r="AQ160" s="1633"/>
    </row>
    <row s="20809" customFormat="1" customHeight="1" ht="17.25">
      <c r="A161" s="2206"/>
      <c r="C161" s="2211"/>
      <c r="D161" s="2196"/>
      <c r="E161" s="2213"/>
      <c r="F161" s="2150"/>
      <c r="G161" s="2214"/>
      <c r="H161" s="2784"/>
      <c r="I161" s="2784"/>
      <c r="J161" s="2810"/>
      <c r="K161" s="2466"/>
      <c r="L161" s="2403"/>
      <c r="M161" s="2403"/>
      <c r="N161" s="2808"/>
      <c r="O161" s="2466"/>
      <c r="P161" s="2403"/>
      <c r="Q161" s="2403"/>
      <c r="R161" s="2789"/>
      <c r="S161" s="2402"/>
      <c r="T161" s="678"/>
      <c r="U161" s="679"/>
      <c r="V161" s="679" t="s">
        <v>414</v>
      </c>
      <c r="W161" s="680"/>
      <c r="Y161" s="1625"/>
      <c r="Z161" s="1625"/>
      <c r="AA161" s="1625"/>
      <c r="AB161" s="1625"/>
      <c r="AC161" s="1625"/>
      <c r="AD161" s="1625"/>
      <c r="AE161" s="1625"/>
      <c r="AF161" s="1625"/>
      <c r="AG161" s="1625"/>
      <c r="AH161" s="1625"/>
      <c r="AI161" s="1625"/>
      <c r="AJ161" s="1625"/>
      <c r="AK161" s="1625"/>
    </row>
    <row s="20809" customFormat="1" customHeight="1" ht="17.25">
      <c r="A162" s="2206"/>
      <c r="C162" s="2211"/>
      <c r="D162" s="2196"/>
      <c r="E162" s="2213"/>
      <c r="F162" s="2150"/>
      <c r="G162" s="2214"/>
      <c r="H162" s="2785"/>
      <c r="I162" s="2785"/>
      <c r="J162" s="2811"/>
      <c r="K162" s="2466"/>
      <c r="L162" s="2785"/>
      <c r="M162" s="2785"/>
      <c r="N162" s="2809"/>
      <c r="O162" s="2407"/>
      <c r="P162" s="678"/>
      <c r="Q162" s="679"/>
      <c r="R162" s="679" t="s">
        <v>251</v>
      </c>
      <c r="S162" s="2212"/>
      <c r="T162" s="2212"/>
      <c r="U162" s="2212"/>
      <c r="V162" s="2212"/>
      <c r="W162" s="680"/>
      <c r="Y162" s="1625"/>
      <c r="Z162" s="1625"/>
      <c r="AA162" s="1625"/>
      <c r="AB162" s="1625"/>
      <c r="AC162" s="1625"/>
      <c r="AD162" s="1625"/>
      <c r="AE162" s="1625"/>
      <c r="AF162" s="1625"/>
      <c r="AG162" s="1625"/>
      <c r="AH162" s="1625"/>
      <c r="AI162" s="1625"/>
      <c r="AJ162" s="1625"/>
      <c r="AK162" s="1625"/>
    </row>
    <row s="20809" customFormat="1" customHeight="1" ht="17.25">
      <c r="A163" s="2206"/>
      <c r="C163" s="2211"/>
      <c r="D163" s="2196"/>
      <c r="E163" s="2213"/>
      <c r="F163" s="2150"/>
      <c r="G163" s="2214"/>
      <c r="H163" s="2785"/>
      <c r="I163" s="2785"/>
      <c r="J163" s="2811"/>
      <c r="K163" s="2407"/>
      <c r="L163" s="678"/>
      <c r="M163" s="679"/>
      <c r="N163" s="679" t="s">
        <v>252</v>
      </c>
      <c r="O163" s="679"/>
      <c r="P163" s="679"/>
      <c r="Q163" s="679"/>
      <c r="R163" s="679"/>
      <c r="S163" s="2212"/>
      <c r="T163" s="2212"/>
      <c r="U163" s="2212"/>
      <c r="V163" s="2212"/>
      <c r="W163" s="680"/>
      <c r="Y163" s="1625"/>
      <c r="Z163" s="1625"/>
      <c r="AA163" s="1625"/>
      <c r="AB163" s="1625"/>
      <c r="AC163" s="1625"/>
      <c r="AD163" s="1625"/>
      <c r="AE163" s="1625"/>
      <c r="AF163" s="1625"/>
      <c r="AG163" s="1625"/>
      <c r="AH163" s="1625"/>
      <c r="AI163" s="1625"/>
      <c r="AJ163" s="1625"/>
      <c r="AK163" s="1625"/>
    </row>
    <row customHeight="1" ht="17.25">
      <c r="G164" s="2205"/>
      <c r="H164" s="2205"/>
      <c r="I164" s="2205"/>
      <c r="M164" s="2201"/>
    </row>
    <row s="20809" customFormat="1" customHeight="1" ht="17.25">
      <c r="A165" s="2206"/>
      <c r="C165" s="2208"/>
      <c r="D165" s="2196"/>
      <c r="E165" s="2213"/>
      <c r="F165" s="2150"/>
      <c r="G165" s="2214"/>
      <c r="H165" s="2196"/>
      <c r="I165" s="2196"/>
      <c r="J165" s="2215"/>
      <c r="K165" s="2126"/>
      <c r="L165" s="2403"/>
      <c r="M165" s="2403" t="s">
        <v>106</v>
      </c>
      <c r="N165" s="2808" t="str">
        <f>IF(Z165="","",INDEX(TERRITORY_MR_LIST,MATCH(Z165,TERRITORY_LIST_ID,0)))</f>
        <v/>
      </c>
      <c r="O165" s="2465" t="s">
        <v>59</v>
      </c>
      <c r="P165" s="2403"/>
      <c r="Q165" s="2403" t="s">
        <v>106</v>
      </c>
      <c r="R165" s="2789" t="s">
        <v>24</v>
      </c>
      <c r="S165" s="2402" t="s">
        <v>59</v>
      </c>
      <c r="T165" s="2177"/>
      <c r="U165" s="2177" t="s">
        <v>106</v>
      </c>
      <c r="V165" s="2209" t="s">
        <v>24</v>
      </c>
      <c r="W165" s="2167"/>
      <c r="Y165" s="1633"/>
      <c r="Z165" s="1633"/>
      <c r="AA165" s="1633"/>
      <c r="AB165" s="1633"/>
      <c r="AC165" s="1633"/>
      <c r="AD165" s="1633"/>
      <c r="AE165" s="1633"/>
      <c r="AF165" s="1633"/>
      <c r="AG165" s="1633"/>
      <c r="AH165" s="1633"/>
      <c r="AI165" s="1633"/>
      <c r="AJ165" s="1633"/>
      <c r="AK165" s="1633"/>
      <c r="AL165" s="2210"/>
      <c r="AM165" s="2210"/>
      <c r="AN165" s="1633"/>
      <c r="AO165" s="1633"/>
      <c r="AP165" s="1633"/>
      <c r="AQ165" s="1633"/>
    </row>
    <row s="20809" customFormat="1" customHeight="1" ht="17.25">
      <c r="A166" s="2206"/>
      <c r="C166" s="2211"/>
      <c r="D166" s="2196"/>
      <c r="E166" s="2213"/>
      <c r="F166" s="2150"/>
      <c r="G166" s="2214"/>
      <c r="H166" s="2196"/>
      <c r="I166" s="2196"/>
      <c r="J166" s="2215"/>
      <c r="K166" s="2126"/>
      <c r="L166" s="2403"/>
      <c r="M166" s="2403"/>
      <c r="N166" s="2808"/>
      <c r="O166" s="2466"/>
      <c r="P166" s="2403"/>
      <c r="Q166" s="2403"/>
      <c r="R166" s="2789"/>
      <c r="S166" s="2402"/>
      <c r="T166" s="678"/>
      <c r="U166" s="679"/>
      <c r="V166" s="679" t="s">
        <v>414</v>
      </c>
      <c r="W166" s="680"/>
      <c r="Y166" s="1625"/>
      <c r="Z166" s="1625"/>
      <c r="AA166" s="1625"/>
      <c r="AB166" s="1625"/>
      <c r="AC166" s="1625"/>
      <c r="AD166" s="1625"/>
      <c r="AE166" s="1625"/>
      <c r="AF166" s="1625"/>
      <c r="AG166" s="1625"/>
      <c r="AH166" s="1625"/>
      <c r="AI166" s="1625"/>
      <c r="AJ166" s="1625"/>
      <c r="AK166" s="1625"/>
    </row>
    <row s="20809" customFormat="1" customHeight="1" ht="17.25">
      <c r="A167" s="2206"/>
      <c r="C167" s="2211"/>
      <c r="D167" s="2196"/>
      <c r="E167" s="2213"/>
      <c r="F167" s="2150"/>
      <c r="G167" s="2214"/>
      <c r="H167" s="2196"/>
      <c r="I167" s="2196"/>
      <c r="J167" s="2215"/>
      <c r="K167" s="2126"/>
      <c r="L167" s="2785"/>
      <c r="M167" s="2785"/>
      <c r="N167" s="2809"/>
      <c r="O167" s="2407"/>
      <c r="P167" s="678"/>
      <c r="Q167" s="679"/>
      <c r="R167" s="679" t="s">
        <v>251</v>
      </c>
      <c r="S167" s="2212"/>
      <c r="T167" s="2212"/>
      <c r="U167" s="2212"/>
      <c r="V167" s="2212"/>
      <c r="W167" s="680"/>
      <c r="Y167" s="1625"/>
      <c r="Z167" s="1625"/>
      <c r="AA167" s="1625"/>
      <c r="AB167" s="1625"/>
      <c r="AC167" s="1625"/>
      <c r="AD167" s="1625"/>
      <c r="AE167" s="1625"/>
      <c r="AF167" s="1625"/>
      <c r="AG167" s="1625"/>
      <c r="AH167" s="1625"/>
      <c r="AI167" s="1625"/>
      <c r="AJ167" s="1625"/>
      <c r="AK167" s="1625"/>
    </row>
    <row customHeight="1" ht="17.25">
      <c r="G168" s="2205"/>
      <c r="H168" s="2205"/>
      <c r="I168" s="2205"/>
      <c r="M168" s="2201"/>
    </row>
    <row s="20809" customFormat="1" customHeight="1" ht="17.25">
      <c r="A169" s="2206"/>
      <c r="C169" s="2208"/>
      <c r="D169" s="2196"/>
      <c r="E169" s="2213"/>
      <c r="F169" s="2150"/>
      <c r="G169" s="2214"/>
      <c r="H169" s="2196"/>
      <c r="I169" s="2196"/>
      <c r="J169" s="2215"/>
      <c r="K169" s="2126"/>
      <c r="L169" s="2122"/>
      <c r="M169" s="2122"/>
      <c r="N169" s="2216"/>
      <c r="O169" s="2153"/>
      <c r="P169" s="2403"/>
      <c r="Q169" s="2403" t="s">
        <v>106</v>
      </c>
      <c r="R169" s="2789" t="s">
        <v>24</v>
      </c>
      <c r="S169" s="2402" t="s">
        <v>59</v>
      </c>
      <c r="T169" s="2177"/>
      <c r="U169" s="2177" t="s">
        <v>106</v>
      </c>
      <c r="V169" s="2209" t="s">
        <v>24</v>
      </c>
      <c r="W169" s="2167"/>
      <c r="Y169" s="1633"/>
      <c r="Z169" s="1633"/>
      <c r="AA169" s="1633"/>
      <c r="AB169" s="1633"/>
      <c r="AC169" s="1633"/>
      <c r="AD169" s="1633"/>
      <c r="AE169" s="1633"/>
      <c r="AF169" s="1633"/>
      <c r="AG169" s="1633"/>
      <c r="AH169" s="1633"/>
      <c r="AI169" s="1633"/>
      <c r="AJ169" s="1633"/>
      <c r="AK169" s="1633"/>
      <c r="AL169" s="2210"/>
      <c r="AM169" s="2210"/>
      <c r="AN169" s="1633"/>
      <c r="AO169" s="1633"/>
      <c r="AP169" s="1633"/>
      <c r="AQ169" s="1633"/>
    </row>
    <row s="20809" customFormat="1" customHeight="1" ht="17.25">
      <c r="A170" s="2206"/>
      <c r="C170" s="2211"/>
      <c r="D170" s="2196"/>
      <c r="E170" s="2213"/>
      <c r="F170" s="2150"/>
      <c r="G170" s="2214"/>
      <c r="H170" s="2196"/>
      <c r="I170" s="2196"/>
      <c r="J170" s="2215"/>
      <c r="K170" s="2126"/>
      <c r="L170" s="2122"/>
      <c r="M170" s="2122"/>
      <c r="N170" s="2216"/>
      <c r="O170" s="2153"/>
      <c r="P170" s="2403"/>
      <c r="Q170" s="2403"/>
      <c r="R170" s="2789"/>
      <c r="S170" s="2402"/>
      <c r="T170" s="678"/>
      <c r="U170" s="679"/>
      <c r="V170" s="679" t="s">
        <v>414</v>
      </c>
      <c r="W170" s="680"/>
      <c r="Y170" s="1625"/>
      <c r="Z170" s="1625"/>
      <c r="AA170" s="1625"/>
      <c r="AB170" s="1625"/>
      <c r="AC170" s="1625"/>
      <c r="AD170" s="1625"/>
      <c r="AE170" s="1625"/>
      <c r="AF170" s="1625"/>
      <c r="AG170" s="1625"/>
      <c r="AH170" s="1625"/>
      <c r="AI170" s="1625"/>
      <c r="AJ170" s="1625"/>
      <c r="AK170" s="1625"/>
    </row>
    <row customHeight="1" ht="17.25">
      <c r="G171" s="2205"/>
      <c r="H171" s="2205"/>
      <c r="I171" s="2205"/>
      <c r="M171" s="2201"/>
    </row>
    <row s="20809" customFormat="1" customHeight="1" ht="17.25">
      <c r="A172" s="2206"/>
      <c r="C172" s="2208"/>
      <c r="D172" s="2196"/>
      <c r="E172" s="2213"/>
      <c r="F172" s="2150"/>
      <c r="G172" s="2214"/>
      <c r="H172" s="2122"/>
      <c r="I172" s="2122"/>
      <c r="J172" s="2123"/>
      <c r="K172" s="2214"/>
      <c r="L172" s="2122"/>
      <c r="M172" s="2122"/>
      <c r="N172" s="2214"/>
      <c r="O172" s="2214"/>
      <c r="P172" s="2122"/>
      <c r="Q172" s="2122"/>
      <c r="R172" s="2124"/>
      <c r="S172" s="2214"/>
      <c r="T172" s="2177"/>
      <c r="U172" s="2177" t="s">
        <v>106</v>
      </c>
      <c r="V172" s="2209" t="s">
        <v>24</v>
      </c>
      <c r="W172" s="2167"/>
      <c r="Y172" s="1633"/>
      <c r="Z172" s="1633"/>
      <c r="AA172" s="1633"/>
      <c r="AB172" s="1633"/>
      <c r="AC172" s="1633"/>
      <c r="AD172" s="1633"/>
      <c r="AE172" s="1633"/>
      <c r="AF172" s="1633"/>
      <c r="AG172" s="1633"/>
      <c r="AH172" s="1633"/>
      <c r="AI172" s="1633"/>
      <c r="AJ172" s="1633"/>
      <c r="AK172" s="1633"/>
      <c r="AL172" s="2210"/>
      <c r="AM172" s="2210"/>
      <c r="AN172" s="1633"/>
      <c r="AO172" s="1633"/>
      <c r="AP172" s="1633"/>
      <c r="AQ172" s="1633"/>
    </row>
    <row r="174" s="20611" customFormat="1" customHeight="1" ht="17.25">
      <c r="A174" s="2181" t="s">
        <v>1865</v>
      </c>
    </row>
    <row customHeight="1" ht="17.25">
      <c r="G175" s="2205"/>
      <c r="H175" s="2205"/>
      <c r="I175" s="2205"/>
      <c r="M175" s="2201"/>
    </row>
    <row s="20809" customFormat="1" customHeight="1" ht="17.25">
      <c r="A176" s="2206"/>
      <c r="C176" s="2208"/>
      <c r="D176" s="2784"/>
      <c r="E176" s="2418"/>
      <c r="F176" s="2420"/>
      <c r="G176" s="2790"/>
      <c r="H176" s="2784"/>
      <c r="I176" s="2784">
        <v>1</v>
      </c>
      <c r="J176" s="2810"/>
      <c r="K176" s="2465" t="s">
        <v>59</v>
      </c>
      <c r="L176" s="2403"/>
      <c r="M176" s="2403" t="s">
        <v>106</v>
      </c>
      <c r="N176" s="2808" t="str">
        <f>IF(Z176="","",INDEX(TERRITORY_MR_LIST,MATCH(Z176,TERRITORY_LIST_ID,0)))</f>
        <v/>
      </c>
      <c r="O176" s="2465" t="s">
        <v>59</v>
      </c>
      <c r="P176" s="2403"/>
      <c r="Q176" s="2403" t="s">
        <v>106</v>
      </c>
      <c r="R176" s="2789" t="s">
        <v>24</v>
      </c>
      <c r="S176" s="2663" t="s">
        <v>54</v>
      </c>
      <c r="T176" s="2168"/>
      <c r="U176" s="2168" t="s">
        <v>106</v>
      </c>
      <c r="V176" s="1800"/>
      <c r="W176" s="2810"/>
      <c r="Y176" s="1633"/>
      <c r="Z176" s="1633"/>
      <c r="AA176" s="1633"/>
      <c r="AB176" s="1633"/>
      <c r="AC176" s="1633"/>
      <c r="AD176" s="1633"/>
      <c r="AE176" s="1633"/>
      <c r="AF176" s="1633"/>
      <c r="AG176" s="1633"/>
      <c r="AH176" s="1633"/>
      <c r="AI176" s="1633"/>
      <c r="AJ176" s="1633"/>
      <c r="AK176" s="1633"/>
      <c r="AL176" s="2210"/>
      <c r="AM176" s="2210"/>
      <c r="AN176" s="1633"/>
      <c r="AO176" s="1633"/>
      <c r="AP176" s="1633"/>
      <c r="AQ176" s="1633"/>
    </row>
    <row s="20809" customFormat="1" customHeight="1" ht="17.25">
      <c r="A177" s="2206"/>
      <c r="C177" s="2211"/>
      <c r="D177" s="2784"/>
      <c r="E177" s="2418"/>
      <c r="F177" s="2421"/>
      <c r="G177" s="2790"/>
      <c r="H177" s="2784"/>
      <c r="I177" s="2784"/>
      <c r="J177" s="2810"/>
      <c r="K177" s="2466"/>
      <c r="L177" s="2403"/>
      <c r="M177" s="2403"/>
      <c r="N177" s="2808"/>
      <c r="O177" s="2466"/>
      <c r="P177" s="2403"/>
      <c r="Q177" s="2403"/>
      <c r="R177" s="2789"/>
      <c r="S177" s="2663"/>
      <c r="T177" s="1801"/>
      <c r="U177" s="1802"/>
      <c r="V177" s="1802"/>
      <c r="W177" s="2810"/>
      <c r="Y177" s="1625"/>
      <c r="Z177" s="1625"/>
      <c r="AA177" s="1625"/>
      <c r="AB177" s="1625"/>
      <c r="AC177" s="1625"/>
      <c r="AD177" s="1625"/>
      <c r="AE177" s="1625"/>
      <c r="AF177" s="1625"/>
      <c r="AG177" s="1625"/>
      <c r="AH177" s="1625"/>
      <c r="AI177" s="1625"/>
      <c r="AJ177" s="1625"/>
      <c r="AK177" s="1625"/>
    </row>
    <row s="20809" customFormat="1" customHeight="1" ht="17.25">
      <c r="A178" s="2206"/>
      <c r="C178" s="2211"/>
      <c r="D178" s="2785"/>
      <c r="E178" s="2807"/>
      <c r="F178" s="2421"/>
      <c r="G178" s="2791"/>
      <c r="H178" s="2785"/>
      <c r="I178" s="2785"/>
      <c r="J178" s="2811"/>
      <c r="K178" s="2466"/>
      <c r="L178" s="2785"/>
      <c r="M178" s="2785"/>
      <c r="N178" s="2809"/>
      <c r="O178" s="2407"/>
      <c r="P178" s="678"/>
      <c r="Q178" s="679"/>
      <c r="R178" s="679" t="s">
        <v>251</v>
      </c>
      <c r="S178" s="2212"/>
      <c r="T178" s="2212"/>
      <c r="U178" s="2212"/>
      <c r="V178" s="2212"/>
      <c r="W178" s="1799"/>
      <c r="Y178" s="1625"/>
      <c r="Z178" s="1625"/>
      <c r="AA178" s="1625"/>
      <c r="AB178" s="1625"/>
      <c r="AC178" s="1625"/>
      <c r="AD178" s="1625"/>
      <c r="AE178" s="1625"/>
      <c r="AF178" s="1625"/>
      <c r="AG178" s="1625"/>
      <c r="AH178" s="1625"/>
      <c r="AI178" s="1625"/>
      <c r="AJ178" s="1625"/>
      <c r="AK178" s="1625"/>
    </row>
    <row s="20809" customFormat="1" customHeight="1" ht="17.25">
      <c r="A179" s="2206"/>
      <c r="C179" s="2211"/>
      <c r="D179" s="2785"/>
      <c r="E179" s="2807"/>
      <c r="F179" s="2421"/>
      <c r="G179" s="2791"/>
      <c r="H179" s="2785"/>
      <c r="I179" s="2785"/>
      <c r="J179" s="2811"/>
      <c r="K179" s="2407"/>
      <c r="L179" s="678"/>
      <c r="M179" s="679"/>
      <c r="N179" s="679" t="s">
        <v>252</v>
      </c>
      <c r="O179" s="679"/>
      <c r="P179" s="679"/>
      <c r="Q179" s="679"/>
      <c r="R179" s="679"/>
      <c r="S179" s="2212"/>
      <c r="T179" s="2212"/>
      <c r="U179" s="2212"/>
      <c r="V179" s="2212"/>
      <c r="W179" s="680"/>
      <c r="Y179" s="1625"/>
      <c r="Z179" s="1625"/>
      <c r="AA179" s="1625"/>
      <c r="AB179" s="1625"/>
      <c r="AC179" s="1625"/>
      <c r="AD179" s="1625"/>
      <c r="AE179" s="1625"/>
      <c r="AF179" s="1625"/>
      <c r="AG179" s="1625"/>
      <c r="AH179" s="1625"/>
      <c r="AI179" s="1625"/>
      <c r="AJ179" s="1625"/>
      <c r="AK179" s="1625"/>
    </row>
    <row s="20809" customFormat="1" customHeight="1" ht="17.25">
      <c r="A180" s="2206"/>
      <c r="C180" s="2211"/>
      <c r="D180" s="2785"/>
      <c r="E180" s="2807"/>
      <c r="F180" s="2422"/>
      <c r="G180" s="2791"/>
      <c r="H180" s="678"/>
      <c r="I180" s="679"/>
      <c r="J180" s="679" t="s">
        <v>253</v>
      </c>
      <c r="K180" s="679"/>
      <c r="L180" s="679"/>
      <c r="M180" s="679"/>
      <c r="N180" s="679"/>
      <c r="O180" s="679"/>
      <c r="P180" s="679"/>
      <c r="Q180" s="679"/>
      <c r="R180" s="679"/>
      <c r="S180" s="2212"/>
      <c r="T180" s="2212"/>
      <c r="U180" s="2212"/>
      <c r="V180" s="2212"/>
      <c r="W180" s="680"/>
      <c r="Y180" s="1625"/>
      <c r="Z180" s="1625"/>
      <c r="AA180" s="1625"/>
      <c r="AB180" s="1625"/>
      <c r="AC180" s="1625"/>
      <c r="AD180" s="1625"/>
      <c r="AE180" s="1625"/>
      <c r="AF180" s="1625"/>
      <c r="AG180" s="1625"/>
      <c r="AH180" s="1625"/>
      <c r="AI180" s="1625"/>
      <c r="AJ180" s="1625"/>
      <c r="AK180" s="1625"/>
    </row>
    <row customHeight="1" ht="17.25">
      <c r="A181" s="2217"/>
    </row>
    <row s="20809" customFormat="1" customHeight="1" ht="17.25">
      <c r="A182" s="2206"/>
      <c r="C182" s="2208"/>
      <c r="D182" s="2196"/>
      <c r="E182" s="2213"/>
      <c r="F182" s="2150"/>
      <c r="G182" s="2214"/>
      <c r="H182" s="2784"/>
      <c r="I182" s="2784">
        <v>1</v>
      </c>
      <c r="J182" s="2810"/>
      <c r="K182" s="2465" t="s">
        <v>59</v>
      </c>
      <c r="L182" s="2403"/>
      <c r="M182" s="2403" t="s">
        <v>106</v>
      </c>
      <c r="N182" s="2808" t="str">
        <f>IF(Z182="","",INDEX(TERRITORY_MR_LIST,MATCH(Z182,TERRITORY_LIST_ID,0)))</f>
        <v/>
      </c>
      <c r="O182" s="2465" t="s">
        <v>59</v>
      </c>
      <c r="P182" s="2403"/>
      <c r="Q182" s="2403" t="s">
        <v>106</v>
      </c>
      <c r="R182" s="2789" t="s">
        <v>24</v>
      </c>
      <c r="S182" s="2663" t="s">
        <v>54</v>
      </c>
      <c r="T182" s="2168"/>
      <c r="U182" s="2168" t="s">
        <v>106</v>
      </c>
      <c r="V182" s="1800"/>
      <c r="W182" s="2810"/>
      <c r="Y182" s="1633"/>
      <c r="Z182" s="1633"/>
      <c r="AA182" s="1633"/>
      <c r="AB182" s="1633"/>
      <c r="AC182" s="1633"/>
      <c r="AD182" s="1633"/>
      <c r="AE182" s="1633"/>
      <c r="AF182" s="1633"/>
      <c r="AG182" s="1633"/>
      <c r="AH182" s="1633"/>
      <c r="AI182" s="1633"/>
      <c r="AJ182" s="1633"/>
      <c r="AK182" s="1633"/>
      <c r="AL182" s="2210"/>
      <c r="AM182" s="2210"/>
      <c r="AN182" s="1633"/>
      <c r="AO182" s="1633"/>
      <c r="AP182" s="1633"/>
      <c r="AQ182" s="1633"/>
    </row>
    <row s="20809" customFormat="1" customHeight="1" ht="17.25">
      <c r="A183" s="2206"/>
      <c r="C183" s="2211"/>
      <c r="D183" s="2196"/>
      <c r="E183" s="2213"/>
      <c r="F183" s="2150"/>
      <c r="G183" s="2214"/>
      <c r="H183" s="2784"/>
      <c r="I183" s="2784"/>
      <c r="J183" s="2810"/>
      <c r="K183" s="2466"/>
      <c r="L183" s="2403"/>
      <c r="M183" s="2403"/>
      <c r="N183" s="2808"/>
      <c r="O183" s="2466"/>
      <c r="P183" s="2403"/>
      <c r="Q183" s="2403"/>
      <c r="R183" s="2789"/>
      <c r="S183" s="2663"/>
      <c r="T183" s="1801"/>
      <c r="U183" s="1802"/>
      <c r="V183" s="1802"/>
      <c r="W183" s="2810"/>
      <c r="Y183" s="1625"/>
      <c r="Z183" s="1625"/>
      <c r="AA183" s="1625"/>
      <c r="AB183" s="1625"/>
      <c r="AC183" s="1625"/>
      <c r="AD183" s="1625"/>
      <c r="AE183" s="1625"/>
      <c r="AF183" s="1625"/>
      <c r="AG183" s="1625"/>
      <c r="AH183" s="1625"/>
      <c r="AI183" s="1625"/>
      <c r="AJ183" s="1625"/>
      <c r="AK183" s="1625"/>
    </row>
    <row s="20809" customFormat="1" customHeight="1" ht="17.25">
      <c r="A184" s="2206"/>
      <c r="C184" s="2211"/>
      <c r="D184" s="2196"/>
      <c r="E184" s="2213"/>
      <c r="F184" s="2150"/>
      <c r="G184" s="2214"/>
      <c r="H184" s="2785"/>
      <c r="I184" s="2785"/>
      <c r="J184" s="2811"/>
      <c r="K184" s="2466"/>
      <c r="L184" s="2785"/>
      <c r="M184" s="2785"/>
      <c r="N184" s="2809"/>
      <c r="O184" s="2407"/>
      <c r="P184" s="678"/>
      <c r="Q184" s="679"/>
      <c r="R184" s="679" t="s">
        <v>251</v>
      </c>
      <c r="S184" s="2212"/>
      <c r="T184" s="2212"/>
      <c r="U184" s="2212"/>
      <c r="V184" s="2212"/>
      <c r="W184" s="1799"/>
      <c r="Y184" s="1625"/>
      <c r="Z184" s="1625"/>
      <c r="AA184" s="1625"/>
      <c r="AB184" s="1625"/>
      <c r="AC184" s="1625"/>
      <c r="AD184" s="1625"/>
      <c r="AE184" s="1625"/>
      <c r="AF184" s="1625"/>
      <c r="AG184" s="1625"/>
      <c r="AH184" s="1625"/>
      <c r="AI184" s="1625"/>
      <c r="AJ184" s="1625"/>
      <c r="AK184" s="1625"/>
    </row>
    <row s="20809" customFormat="1" customHeight="1" ht="17.25">
      <c r="A185" s="2206"/>
      <c r="C185" s="2211"/>
      <c r="D185" s="2196"/>
      <c r="E185" s="2213"/>
      <c r="F185" s="2150"/>
      <c r="G185" s="2214"/>
      <c r="H185" s="2785"/>
      <c r="I185" s="2785"/>
      <c r="J185" s="2811"/>
      <c r="K185" s="2407"/>
      <c r="L185" s="678"/>
      <c r="M185" s="679"/>
      <c r="N185" s="679" t="s">
        <v>252</v>
      </c>
      <c r="O185" s="679"/>
      <c r="P185" s="679"/>
      <c r="Q185" s="679"/>
      <c r="R185" s="679"/>
      <c r="S185" s="2212"/>
      <c r="T185" s="2212"/>
      <c r="U185" s="2212"/>
      <c r="V185" s="2212"/>
      <c r="W185" s="680"/>
      <c r="Y185" s="1625"/>
      <c r="Z185" s="1625"/>
      <c r="AA185" s="1625"/>
      <c r="AB185" s="1625"/>
      <c r="AC185" s="1625"/>
      <c r="AD185" s="1625"/>
      <c r="AE185" s="1625"/>
      <c r="AF185" s="1625"/>
      <c r="AG185" s="1625"/>
      <c r="AH185" s="1625"/>
      <c r="AI185" s="1625"/>
      <c r="AJ185" s="1625"/>
      <c r="AK185" s="1625"/>
    </row>
    <row customHeight="1" ht="17.25">
      <c r="A186" s="2217"/>
    </row>
    <row s="20809" customFormat="1" customHeight="1" ht="17.25">
      <c r="A187" s="2206"/>
      <c r="C187" s="2208"/>
      <c r="D187" s="2196"/>
      <c r="E187" s="2213"/>
      <c r="F187" s="2150"/>
      <c r="G187" s="2214"/>
      <c r="H187" s="2196"/>
      <c r="I187" s="2196"/>
      <c r="J187" s="2218"/>
      <c r="K187" s="2214"/>
      <c r="L187" s="2403"/>
      <c r="M187" s="2403" t="s">
        <v>106</v>
      </c>
      <c r="N187" s="2808" t="str">
        <f>IF(Z187="","",INDEX(TERRITORY_MR_LIST,MATCH(Z187,TERRITORY_LIST_ID,0)))</f>
        <v/>
      </c>
      <c r="O187" s="2465" t="s">
        <v>59</v>
      </c>
      <c r="P187" s="2403"/>
      <c r="Q187" s="2403" t="s">
        <v>106</v>
      </c>
      <c r="R187" s="2789" t="s">
        <v>24</v>
      </c>
      <c r="S187" s="2663" t="s">
        <v>54</v>
      </c>
      <c r="T187" s="2168"/>
      <c r="U187" s="2168" t="s">
        <v>106</v>
      </c>
      <c r="V187" s="1800"/>
      <c r="W187" s="2810"/>
      <c r="Y187" s="1633"/>
      <c r="Z187" s="1633"/>
      <c r="AA187" s="1633"/>
      <c r="AB187" s="1633"/>
      <c r="AC187" s="1633"/>
      <c r="AD187" s="1633"/>
      <c r="AE187" s="1633"/>
      <c r="AF187" s="1633"/>
      <c r="AG187" s="1633"/>
      <c r="AH187" s="1633"/>
      <c r="AI187" s="1633"/>
      <c r="AJ187" s="1633"/>
      <c r="AK187" s="1633"/>
      <c r="AL187" s="2210"/>
      <c r="AM187" s="2210"/>
      <c r="AN187" s="1633"/>
      <c r="AO187" s="1633"/>
      <c r="AP187" s="1633"/>
      <c r="AQ187" s="1633"/>
    </row>
    <row s="20809" customFormat="1" customHeight="1" ht="17.25">
      <c r="A188" s="2206"/>
      <c r="C188" s="2211"/>
      <c r="D188" s="2196"/>
      <c r="E188" s="2213"/>
      <c r="F188" s="2150"/>
      <c r="G188" s="2214"/>
      <c r="H188" s="2196"/>
      <c r="I188" s="2196"/>
      <c r="J188" s="2218"/>
      <c r="K188" s="2214"/>
      <c r="L188" s="2403"/>
      <c r="M188" s="2403"/>
      <c r="N188" s="2808"/>
      <c r="O188" s="2466"/>
      <c r="P188" s="2403"/>
      <c r="Q188" s="2403"/>
      <c r="R188" s="2789"/>
      <c r="S188" s="2663"/>
      <c r="T188" s="1801"/>
      <c r="U188" s="1802"/>
      <c r="V188" s="1802"/>
      <c r="W188" s="2810"/>
      <c r="Y188" s="1625"/>
      <c r="Z188" s="1625"/>
      <c r="AA188" s="1625"/>
      <c r="AB188" s="1625"/>
      <c r="AC188" s="1625"/>
      <c r="AD188" s="1625"/>
      <c r="AE188" s="1625"/>
      <c r="AF188" s="1625"/>
      <c r="AG188" s="1625"/>
      <c r="AH188" s="1625"/>
      <c r="AI188" s="1625"/>
      <c r="AJ188" s="1625"/>
      <c r="AK188" s="1625"/>
    </row>
    <row s="20809" customFormat="1" customHeight="1" ht="17.25">
      <c r="A189" s="2206"/>
      <c r="C189" s="2211"/>
      <c r="D189" s="2196"/>
      <c r="E189" s="2213"/>
      <c r="F189" s="2150"/>
      <c r="G189" s="2214"/>
      <c r="H189" s="2196"/>
      <c r="I189" s="2196"/>
      <c r="J189" s="2218"/>
      <c r="K189" s="2214"/>
      <c r="L189" s="2785"/>
      <c r="M189" s="2785"/>
      <c r="N189" s="2809"/>
      <c r="O189" s="2407"/>
      <c r="P189" s="678"/>
      <c r="Q189" s="679"/>
      <c r="R189" s="679" t="s">
        <v>251</v>
      </c>
      <c r="S189" s="2212"/>
      <c r="T189" s="2212"/>
      <c r="U189" s="2212"/>
      <c r="V189" s="2212"/>
      <c r="W189" s="1799"/>
      <c r="Y189" s="1625"/>
      <c r="Z189" s="1625"/>
      <c r="AA189" s="1625"/>
      <c r="AB189" s="1625"/>
      <c r="AC189" s="1625"/>
      <c r="AD189" s="1625"/>
      <c r="AE189" s="1625"/>
      <c r="AF189" s="1625"/>
      <c r="AG189" s="1625"/>
      <c r="AH189" s="1625"/>
      <c r="AI189" s="1625"/>
      <c r="AJ189" s="1625"/>
      <c r="AK189" s="1625"/>
    </row>
    <row customHeight="1" ht="17.25">
      <c r="A190" s="2217"/>
    </row>
    <row s="20809" customFormat="1" customHeight="1" ht="17.25">
      <c r="A191" s="2206"/>
      <c r="C191" s="2208"/>
      <c r="D191" s="2196"/>
      <c r="E191" s="2213"/>
      <c r="F191" s="2150"/>
      <c r="G191" s="2214"/>
      <c r="H191" s="2196"/>
      <c r="I191" s="2196"/>
      <c r="J191" s="2218"/>
      <c r="K191" s="2214"/>
      <c r="L191" s="2196"/>
      <c r="M191" s="2196"/>
      <c r="N191" s="2216"/>
      <c r="O191" s="2153"/>
      <c r="P191" s="2403"/>
      <c r="Q191" s="2403" t="s">
        <v>106</v>
      </c>
      <c r="R191" s="2789" t="s">
        <v>24</v>
      </c>
      <c r="S191" s="2663" t="s">
        <v>54</v>
      </c>
      <c r="T191" s="2168"/>
      <c r="U191" s="2168" t="s">
        <v>106</v>
      </c>
      <c r="V191" s="1800"/>
      <c r="W191" s="2810"/>
      <c r="Y191" s="1633"/>
      <c r="Z191" s="1633"/>
      <c r="AA191" s="1633"/>
      <c r="AB191" s="1633"/>
      <c r="AC191" s="1633"/>
      <c r="AD191" s="1633"/>
      <c r="AE191" s="1633"/>
      <c r="AF191" s="1633"/>
      <c r="AG191" s="1633"/>
      <c r="AH191" s="1633"/>
      <c r="AI191" s="1633"/>
      <c r="AJ191" s="1633"/>
      <c r="AK191" s="1633"/>
      <c r="AL191" s="2210"/>
      <c r="AM191" s="2210"/>
      <c r="AN191" s="1633"/>
      <c r="AO191" s="1633"/>
      <c r="AP191" s="1633"/>
      <c r="AQ191" s="1633"/>
    </row>
    <row s="20809" customFormat="1" customHeight="1" ht="17.25">
      <c r="A192" s="2206"/>
      <c r="C192" s="2211"/>
      <c r="D192" s="2196"/>
      <c r="E192" s="2213"/>
      <c r="F192" s="2150"/>
      <c r="G192" s="2214"/>
      <c r="H192" s="2196"/>
      <c r="I192" s="2196"/>
      <c r="J192" s="2218"/>
      <c r="K192" s="2214"/>
      <c r="L192" s="2196"/>
      <c r="M192" s="2196"/>
      <c r="N192" s="2216"/>
      <c r="O192" s="2153"/>
      <c r="P192" s="2403"/>
      <c r="Q192" s="2403"/>
      <c r="R192" s="2789"/>
      <c r="S192" s="2663"/>
      <c r="T192" s="1801"/>
      <c r="U192" s="1802"/>
      <c r="V192" s="1802"/>
      <c r="W192" s="2810"/>
      <c r="Y192" s="1625"/>
      <c r="Z192" s="1625"/>
      <c r="AA192" s="1625"/>
      <c r="AB192" s="1625"/>
      <c r="AC192" s="1625"/>
      <c r="AD192" s="1625"/>
      <c r="AE192" s="1625"/>
      <c r="AF192" s="1625"/>
      <c r="AG192" s="1625"/>
      <c r="AH192" s="1625"/>
      <c r="AI192" s="1625"/>
      <c r="AJ192" s="1625"/>
      <c r="AK192" s="1625"/>
    </row>
    <row customHeight="1" ht="17.25">
      <c r="A193" s="2217"/>
    </row>
    <row customHeight="1" ht="16.5">
      <c r="A194" s="2206"/>
      <c r="B194" s="2207"/>
      <c r="C194" s="2211"/>
      <c r="D194" s="2821"/>
      <c r="E194" s="2462"/>
      <c r="F194" s="2462"/>
      <c r="G194" s="2392"/>
      <c r="H194" s="2822"/>
      <c r="I194" s="2812"/>
      <c r="J194" s="2427"/>
      <c r="K194" s="2410"/>
      <c r="L194" s="2410"/>
      <c r="M194" s="2410"/>
      <c r="N194" s="2804"/>
      <c r="O194" s="2410"/>
      <c r="P194" s="2410"/>
      <c r="Q194" s="2410"/>
      <c r="R194" s="2814"/>
      <c r="S194" s="2410"/>
      <c r="T194" s="2149"/>
      <c r="U194" s="2149"/>
      <c r="V194" s="2219"/>
      <c r="W194" s="1662"/>
    </row>
    <row customHeight="1" ht="16.5">
      <c r="A195" s="2206"/>
      <c r="B195" s="2207"/>
      <c r="C195" s="2211"/>
      <c r="D195" s="2821"/>
      <c r="E195" s="2462"/>
      <c r="F195" s="2462"/>
      <c r="G195" s="2392"/>
      <c r="H195" s="2823"/>
      <c r="I195" s="2813"/>
      <c r="J195" s="2428"/>
      <c r="K195" s="2411"/>
      <c r="L195" s="2411"/>
      <c r="M195" s="2411"/>
      <c r="N195" s="2805"/>
      <c r="O195" s="2411"/>
      <c r="P195" s="2411"/>
      <c r="Q195" s="2411"/>
      <c r="R195" s="2806"/>
      <c r="S195" s="2411"/>
      <c r="T195" s="1663"/>
      <c r="U195" s="1663"/>
      <c r="V195" s="1663"/>
      <c r="W195" s="1664"/>
    </row>
    <row customHeight="1" ht="17.25">
      <c r="A196" s="2206"/>
      <c r="B196" s="2207"/>
      <c r="C196" s="2211"/>
      <c r="D196" s="2821"/>
      <c r="E196" s="2462"/>
      <c r="F196" s="2462"/>
      <c r="G196" s="2392"/>
      <c r="H196" s="2823"/>
      <c r="I196" s="2813"/>
      <c r="J196" s="2824"/>
      <c r="K196" s="2411"/>
      <c r="L196" s="2411"/>
      <c r="M196" s="2411"/>
      <c r="N196" s="2806"/>
      <c r="O196" s="2411"/>
      <c r="P196" s="2152"/>
      <c r="Q196" s="1663"/>
      <c r="R196" s="1663"/>
      <c r="S196" s="2220"/>
      <c r="T196" s="2220"/>
      <c r="U196" s="2220"/>
      <c r="V196" s="2220"/>
      <c r="W196" s="1664"/>
    </row>
    <row customHeight="1" ht="17.25">
      <c r="A197" s="2206"/>
      <c r="B197" s="2207"/>
      <c r="C197" s="2211"/>
      <c r="D197" s="2821"/>
      <c r="E197" s="2462"/>
      <c r="F197" s="2462"/>
      <c r="G197" s="2392"/>
      <c r="H197" s="2823"/>
      <c r="I197" s="2813"/>
      <c r="J197" s="2824"/>
      <c r="K197" s="2411"/>
      <c r="L197" s="1663"/>
      <c r="M197" s="1663"/>
      <c r="N197" s="1663"/>
      <c r="O197" s="1663"/>
      <c r="P197" s="1663"/>
      <c r="Q197" s="1663"/>
      <c r="R197" s="1663"/>
      <c r="S197" s="2220"/>
      <c r="T197" s="2220"/>
      <c r="U197" s="2220"/>
      <c r="V197" s="2220"/>
      <c r="W197" s="1664"/>
    </row>
    <row customHeight="1" ht="17.25">
      <c r="A198" s="2206"/>
      <c r="B198" s="2207"/>
      <c r="C198" s="2211"/>
      <c r="D198" s="2821"/>
      <c r="E198" s="2462"/>
      <c r="F198" s="2462"/>
      <c r="G198" s="2392"/>
      <c r="H198" s="1665"/>
      <c r="I198" s="1666"/>
      <c r="J198" s="1666"/>
      <c r="K198" s="1666"/>
      <c r="L198" s="1666"/>
      <c r="M198" s="1666"/>
      <c r="N198" s="1666"/>
      <c r="O198" s="1666"/>
      <c r="P198" s="1666"/>
      <c r="Q198" s="1666"/>
      <c r="R198" s="1666"/>
      <c r="S198" s="2221"/>
      <c r="T198" s="2221"/>
      <c r="U198" s="2221"/>
      <c r="V198" s="2221"/>
      <c r="W198" s="1668"/>
    </row>
    <row r="200" s="20611" customFormat="1" customHeight="1" ht="17.25">
      <c r="A200" s="2181" t="s">
        <v>1866</v>
      </c>
    </row>
    <row customHeight="1" ht="17.25">
      <c r="G201" s="2205"/>
      <c r="H201" s="2205"/>
      <c r="I201" s="2205"/>
      <c r="M201" s="2201"/>
    </row>
    <row s="18455" customFormat="1" customHeight="1" ht="15">
      <c r="D202" s="2840"/>
      <c r="E202" s="2457"/>
      <c r="F202" s="2457"/>
      <c r="G202" s="2465"/>
      <c r="H202" s="1930"/>
      <c r="I202" s="2841">
        <v>1</v>
      </c>
      <c r="J202" s="2810"/>
      <c r="K202" s="1945"/>
      <c r="L202" s="2465" t="s">
        <v>59</v>
      </c>
      <c r="M202" s="2465" t="s">
        <v>59</v>
      </c>
      <c r="N202" s="1930"/>
      <c r="O202" s="2403" t="s">
        <v>106</v>
      </c>
      <c r="P202" s="2835"/>
      <c r="Q202" s="1946"/>
      <c r="R202" s="2465" t="s">
        <v>59</v>
      </c>
      <c r="S202" s="2465" t="s">
        <v>59</v>
      </c>
      <c r="T202" s="2222"/>
      <c r="U202" s="2403" t="s">
        <v>106</v>
      </c>
      <c r="V202" s="2837" t="str">
        <f>IF(AK202="","",INDEX(TERRITORY_MR_LIST,MATCH(AK202,TERRITORY_LIST_ID,0)))</f>
        <v/>
      </c>
      <c r="W202" s="1947"/>
      <c r="X202" s="2465" t="s">
        <v>59</v>
      </c>
      <c r="Y202" s="2465" t="s">
        <v>54</v>
      </c>
      <c r="Z202" s="1930"/>
      <c r="AA202" s="2403" t="s">
        <v>106</v>
      </c>
      <c r="AB202" s="2839"/>
      <c r="AC202" s="1948"/>
      <c r="AD202" s="2465" t="s">
        <v>59</v>
      </c>
      <c r="AE202" s="2465" t="s">
        <v>54</v>
      </c>
      <c r="AF202" s="1928"/>
      <c r="AG202" s="2177" t="s">
        <v>106</v>
      </c>
      <c r="AH202" s="1938"/>
      <c r="AI202" s="2167"/>
    </row>
    <row s="18455" customFormat="1" customHeight="1" ht="15">
      <c r="D203" s="2840"/>
      <c r="E203" s="2457"/>
      <c r="F203" s="2457"/>
      <c r="G203" s="2466"/>
      <c r="H203" s="1930"/>
      <c r="I203" s="2841"/>
      <c r="J203" s="2810"/>
      <c r="K203" s="1929"/>
      <c r="L203" s="2466"/>
      <c r="M203" s="2466"/>
      <c r="N203" s="1930"/>
      <c r="O203" s="2403"/>
      <c r="P203" s="2835"/>
      <c r="Q203" s="1926"/>
      <c r="R203" s="2466"/>
      <c r="S203" s="2466"/>
      <c r="T203" s="2222"/>
      <c r="U203" s="2403"/>
      <c r="V203" s="2838"/>
      <c r="W203" s="1927"/>
      <c r="X203" s="2466"/>
      <c r="Y203" s="2466"/>
      <c r="Z203" s="1930"/>
      <c r="AA203" s="2403"/>
      <c r="AB203" s="2756"/>
      <c r="AC203" s="1931"/>
      <c r="AD203" s="2407"/>
      <c r="AE203" s="2407"/>
      <c r="AF203" s="1932"/>
      <c r="AG203" s="1933"/>
      <c r="AH203" s="2843" t="s">
        <v>1867</v>
      </c>
      <c r="AI203" s="2844"/>
    </row>
    <row s="18455" customFormat="1" customHeight="1" ht="15">
      <c r="D204" s="2840"/>
      <c r="E204" s="2457"/>
      <c r="F204" s="2457"/>
      <c r="G204" s="2466"/>
      <c r="H204" s="1930"/>
      <c r="I204" s="2841"/>
      <c r="J204" s="2810"/>
      <c r="K204" s="1929"/>
      <c r="L204" s="2466"/>
      <c r="M204" s="2466"/>
      <c r="N204" s="1930"/>
      <c r="O204" s="2403"/>
      <c r="P204" s="2835"/>
      <c r="Q204" s="1926"/>
      <c r="R204" s="2466"/>
      <c r="S204" s="2466"/>
      <c r="T204" s="2222"/>
      <c r="U204" s="2403"/>
      <c r="V204" s="2838"/>
      <c r="W204" s="1927"/>
      <c r="X204" s="2466"/>
      <c r="Y204" s="2466"/>
      <c r="Z204" s="1969"/>
      <c r="AA204" s="1935"/>
      <c r="AB204" s="2845" t="s">
        <v>1868</v>
      </c>
      <c r="AC204" s="2845"/>
      <c r="AD204" s="2845"/>
      <c r="AE204" s="2845"/>
      <c r="AF204" s="2845"/>
      <c r="AG204" s="2845"/>
      <c r="AH204" s="2845"/>
      <c r="AI204" s="2846"/>
    </row>
    <row s="18455" customFormat="1" customHeight="1" ht="15">
      <c r="D205" s="2840"/>
      <c r="E205" s="2457"/>
      <c r="F205" s="2457"/>
      <c r="G205" s="2466"/>
      <c r="H205" s="1930"/>
      <c r="I205" s="2841"/>
      <c r="J205" s="2810"/>
      <c r="K205" s="1929"/>
      <c r="L205" s="2466"/>
      <c r="M205" s="2466"/>
      <c r="N205" s="1930"/>
      <c r="O205" s="2403"/>
      <c r="P205" s="2847"/>
      <c r="Q205" s="1926"/>
      <c r="R205" s="2466"/>
      <c r="S205" s="2466"/>
      <c r="T205" s="2223"/>
      <c r="U205" s="1970"/>
      <c r="V205" s="2843" t="s">
        <v>100</v>
      </c>
      <c r="W205" s="2843"/>
      <c r="X205" s="2843"/>
      <c r="Y205" s="2843"/>
      <c r="Z205" s="2843"/>
      <c r="AA205" s="2843"/>
      <c r="AB205" s="2843"/>
      <c r="AC205" s="2843"/>
      <c r="AD205" s="2843"/>
      <c r="AE205" s="2843"/>
      <c r="AF205" s="2843"/>
      <c r="AG205" s="2843"/>
      <c r="AH205" s="2843"/>
      <c r="AI205" s="2844"/>
    </row>
    <row s="18455" customFormat="1" customHeight="1" ht="11.25">
      <c r="D206" s="2840"/>
      <c r="E206" s="2457"/>
      <c r="F206" s="2457"/>
      <c r="G206" s="2466"/>
      <c r="H206" s="1934"/>
      <c r="I206" s="2841"/>
      <c r="J206" s="2842"/>
      <c r="K206" s="1929"/>
      <c r="L206" s="2466"/>
      <c r="M206" s="2466"/>
      <c r="N206" s="1934"/>
      <c r="O206" s="1935"/>
      <c r="P206" s="2843" t="s">
        <v>1869</v>
      </c>
      <c r="Q206" s="2843"/>
      <c r="R206" s="2843"/>
      <c r="S206" s="2843"/>
      <c r="T206" s="2843"/>
      <c r="U206" s="2843"/>
      <c r="V206" s="2843"/>
      <c r="W206" s="2843"/>
      <c r="X206" s="2843"/>
      <c r="Y206" s="2843"/>
      <c r="Z206" s="2843"/>
      <c r="AA206" s="2843"/>
      <c r="AB206" s="2843"/>
      <c r="AC206" s="2843"/>
      <c r="AD206" s="2843"/>
      <c r="AE206" s="2843"/>
      <c r="AF206" s="2843"/>
      <c r="AG206" s="2843"/>
      <c r="AH206" s="2843"/>
      <c r="AI206" s="2844"/>
    </row>
    <row s="18776" customFormat="1" customHeight="1" ht="11.25">
      <c r="D207" s="2840"/>
      <c r="E207" s="2457"/>
      <c r="F207" s="2457"/>
      <c r="G207" s="2407"/>
      <c r="H207" s="1936"/>
      <c r="I207" s="1937"/>
      <c r="J207" s="2843" t="s">
        <v>253</v>
      </c>
      <c r="K207" s="2843"/>
      <c r="L207" s="2843"/>
      <c r="M207" s="2843"/>
      <c r="N207" s="2843"/>
      <c r="O207" s="2843"/>
      <c r="P207" s="2843"/>
      <c r="Q207" s="2843"/>
      <c r="R207" s="2843"/>
      <c r="S207" s="2843"/>
      <c r="T207" s="2843"/>
      <c r="U207" s="2843"/>
      <c r="V207" s="2843"/>
      <c r="W207" s="2843"/>
      <c r="X207" s="2843"/>
      <c r="Y207" s="2843"/>
      <c r="Z207" s="2843"/>
      <c r="AA207" s="2843"/>
      <c r="AB207" s="2843"/>
      <c r="AC207" s="2843"/>
      <c r="AD207" s="2843"/>
      <c r="AE207" s="2843"/>
      <c r="AF207" s="2843"/>
      <c r="AG207" s="2843"/>
      <c r="AH207" s="2843"/>
      <c r="AI207" s="2844"/>
      <c r="BK207" s="1940"/>
    </row>
    <row customHeight="1" ht="17.25">
      <c r="G208" s="2205"/>
      <c r="I208" s="2205"/>
      <c r="J208" s="2205"/>
      <c r="N208" s="2201"/>
    </row>
    <row s="18455" customFormat="1" customHeight="1" ht="15">
      <c r="D209" s="2840"/>
      <c r="E209" s="2457"/>
      <c r="F209" s="2457"/>
      <c r="G209" s="2462"/>
      <c r="H209" s="1965"/>
      <c r="I209" s="2467"/>
      <c r="J209" s="2427"/>
      <c r="K209" s="2151"/>
      <c r="L209" s="2410"/>
      <c r="M209" s="2410"/>
      <c r="N209" s="1950"/>
      <c r="O209" s="2410"/>
      <c r="P209" s="2427"/>
      <c r="Q209" s="2155"/>
      <c r="R209" s="2410"/>
      <c r="S209" s="2410"/>
      <c r="T209" s="2224"/>
      <c r="U209" s="2410"/>
      <c r="V209" s="2427"/>
      <c r="W209" s="1953"/>
      <c r="X209" s="2410"/>
      <c r="Y209" s="2410"/>
      <c r="Z209" s="1950"/>
      <c r="AA209" s="2410"/>
      <c r="AB209" s="2427"/>
      <c r="AC209" s="1954"/>
      <c r="AD209" s="2410"/>
      <c r="AE209" s="2410"/>
      <c r="AF209" s="2149"/>
      <c r="AG209" s="2149"/>
      <c r="AH209" s="1955"/>
      <c r="AI209" s="1662"/>
    </row>
    <row s="18455" customFormat="1" customHeight="1" ht="15">
      <c r="D210" s="2840"/>
      <c r="E210" s="2457"/>
      <c r="F210" s="2457"/>
      <c r="G210" s="2462"/>
      <c r="H210" s="1966"/>
      <c r="I210" s="2468"/>
      <c r="J210" s="2428"/>
      <c r="K210" s="1976"/>
      <c r="L210" s="2411"/>
      <c r="M210" s="2411"/>
      <c r="N210" s="1956"/>
      <c r="O210" s="2411"/>
      <c r="P210" s="2428"/>
      <c r="Q210" s="2156"/>
      <c r="R210" s="2411"/>
      <c r="S210" s="2411"/>
      <c r="T210" s="2225"/>
      <c r="U210" s="2411"/>
      <c r="V210" s="2428"/>
      <c r="W210" s="1959"/>
      <c r="X210" s="2411"/>
      <c r="Y210" s="2411"/>
      <c r="Z210" s="1956"/>
      <c r="AA210" s="2411"/>
      <c r="AB210" s="2428"/>
      <c r="AC210" s="1960"/>
      <c r="AD210" s="2411"/>
      <c r="AE210" s="2411"/>
      <c r="AF210" s="2154"/>
      <c r="AG210" s="2154"/>
      <c r="AH210" s="2471"/>
      <c r="AI210" s="2472"/>
    </row>
    <row s="18455" customFormat="1" customHeight="1" ht="15">
      <c r="D211" s="2840"/>
      <c r="E211" s="2457"/>
      <c r="F211" s="2457"/>
      <c r="G211" s="2462"/>
      <c r="H211" s="1966"/>
      <c r="I211" s="2468"/>
      <c r="J211" s="2428"/>
      <c r="K211" s="1976"/>
      <c r="L211" s="2411"/>
      <c r="M211" s="2411"/>
      <c r="N211" s="1956"/>
      <c r="O211" s="2411"/>
      <c r="P211" s="2428"/>
      <c r="Q211" s="2156"/>
      <c r="R211" s="2411"/>
      <c r="S211" s="2411"/>
      <c r="T211" s="2225"/>
      <c r="U211" s="2411"/>
      <c r="V211" s="2428"/>
      <c r="W211" s="1959"/>
      <c r="X211" s="2411"/>
      <c r="Y211" s="2411"/>
      <c r="Z211" s="2152"/>
      <c r="AA211" s="2154"/>
      <c r="AB211" s="2471"/>
      <c r="AC211" s="2471"/>
      <c r="AD211" s="2471"/>
      <c r="AE211" s="2471"/>
      <c r="AF211" s="2471"/>
      <c r="AG211" s="2471"/>
      <c r="AH211" s="2471"/>
      <c r="AI211" s="2472"/>
    </row>
    <row s="18455" customFormat="1" customHeight="1" ht="15">
      <c r="D212" s="2840"/>
      <c r="E212" s="2457"/>
      <c r="F212" s="2457"/>
      <c r="G212" s="2462"/>
      <c r="H212" s="1966"/>
      <c r="I212" s="2468"/>
      <c r="J212" s="2428"/>
      <c r="K212" s="1976"/>
      <c r="L212" s="2411"/>
      <c r="M212" s="2411"/>
      <c r="N212" s="1956"/>
      <c r="O212" s="2411"/>
      <c r="P212" s="2428"/>
      <c r="Q212" s="2156"/>
      <c r="R212" s="2411"/>
      <c r="S212" s="2411"/>
      <c r="T212" s="2226"/>
      <c r="U212" s="1963"/>
      <c r="V212" s="2471"/>
      <c r="W212" s="2471"/>
      <c r="X212" s="2471"/>
      <c r="Y212" s="2471"/>
      <c r="Z212" s="2471"/>
      <c r="AA212" s="2471"/>
      <c r="AB212" s="2471"/>
      <c r="AC212" s="2471"/>
      <c r="AD212" s="2471"/>
      <c r="AE212" s="2471"/>
      <c r="AF212" s="2471"/>
      <c r="AG212" s="2471"/>
      <c r="AH212" s="2471"/>
      <c r="AI212" s="2472"/>
    </row>
    <row s="18455" customFormat="1" customHeight="1" ht="11.25">
      <c r="D213" s="2840"/>
      <c r="E213" s="2457"/>
      <c r="F213" s="2457"/>
      <c r="G213" s="2462"/>
      <c r="H213" s="1967"/>
      <c r="I213" s="2468"/>
      <c r="J213" s="2428"/>
      <c r="K213" s="1976"/>
      <c r="L213" s="2411"/>
      <c r="M213" s="2411"/>
      <c r="N213" s="2154"/>
      <c r="O213" s="2154"/>
      <c r="P213" s="2471"/>
      <c r="Q213" s="2471"/>
      <c r="R213" s="2471"/>
      <c r="S213" s="2471"/>
      <c r="T213" s="2471"/>
      <c r="U213" s="2471"/>
      <c r="V213" s="2471"/>
      <c r="W213" s="2471"/>
      <c r="X213" s="2471"/>
      <c r="Y213" s="2471"/>
      <c r="Z213" s="2471"/>
      <c r="AA213" s="2471"/>
      <c r="AB213" s="2471"/>
      <c r="AC213" s="2471"/>
      <c r="AD213" s="2471"/>
      <c r="AE213" s="2471"/>
      <c r="AF213" s="2471"/>
      <c r="AG213" s="2471"/>
      <c r="AH213" s="2471"/>
      <c r="AI213" s="2472"/>
    </row>
    <row s="18776" customFormat="1" customHeight="1" ht="11.25">
      <c r="D214" s="2840"/>
      <c r="E214" s="2457"/>
      <c r="F214" s="2457"/>
      <c r="G214" s="2473"/>
      <c r="H214" s="1964"/>
      <c r="I214" s="1968"/>
      <c r="J214" s="2469"/>
      <c r="K214" s="2469"/>
      <c r="L214" s="2469"/>
      <c r="M214" s="2469"/>
      <c r="N214" s="2469"/>
      <c r="O214" s="2469"/>
      <c r="P214" s="2469"/>
      <c r="Q214" s="2469"/>
      <c r="R214" s="2469"/>
      <c r="S214" s="2469"/>
      <c r="T214" s="2469"/>
      <c r="U214" s="2469"/>
      <c r="V214" s="2469"/>
      <c r="W214" s="2469"/>
      <c r="X214" s="2469"/>
      <c r="Y214" s="2469"/>
      <c r="Z214" s="2469"/>
      <c r="AA214" s="2469"/>
      <c r="AB214" s="2469"/>
      <c r="AC214" s="2469"/>
      <c r="AD214" s="2469"/>
      <c r="AE214" s="2469"/>
      <c r="AF214" s="2469"/>
      <c r="AG214" s="2469"/>
      <c r="AH214" s="2469"/>
      <c r="AI214" s="2470"/>
      <c r="BK214" s="1940"/>
    </row>
    <row customHeight="1" ht="17.25">
      <c r="A215" s="2217"/>
    </row>
  </sheetData>
  <sheetProtection formatColumns="0" formatRows="0" sort="0" autoFilter="0" insertRows="0" insertColumns="1" deleteRows="0" deleteColumns="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56 H64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637372-00A5-483C-DB79-F42297AF757D}"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18848" width="9.140625" hidden="1"/>
    <col min="3" max="4" style="18848" width="3.7109375" customWidth="1"/>
    <col min="5" max="6" style="18848" width="16.00390625" customWidth="1"/>
    <col min="7" max="7" style="18848" width="11.57421875" customWidth="1"/>
    <col min="8" max="9" style="18848" width="3.7109375" customWidth="1"/>
    <col min="10" max="10" style="18848" width="13.140625" customWidth="1"/>
    <col min="11" max="11" style="18848" width="0.28125" customWidth="1"/>
    <col min="12" max="13" style="18848" width="10.7109375" customWidth="1"/>
    <col min="14" max="15" style="18848" width="3.7109375" customWidth="1"/>
    <col min="16" max="16" style="18848" width="19.7109375" customWidth="1"/>
    <col min="17" max="17" style="18848" width="0.28125" customWidth="1"/>
    <col min="18" max="19" style="18848" width="10.7109375" customWidth="1"/>
    <col min="20" max="21" style="18848" width="3.7109375" customWidth="1"/>
    <col min="22" max="22" style="18848" width="25.7109375" customWidth="1"/>
    <col min="23" max="23" style="18848" width="0.28125" customWidth="1"/>
    <col min="24" max="25" style="18848" width="10.7109375" customWidth="1"/>
    <col min="26" max="27" style="18848" width="3.7109375" customWidth="1"/>
    <col min="28" max="28" style="18848" width="16.421875" customWidth="1"/>
    <col min="29" max="29" style="18848" width="0.28125" customWidth="1"/>
    <col min="30" max="31" style="18848" width="10.7109375" customWidth="1"/>
    <col min="32" max="33" style="18848" width="3.7109375" customWidth="1"/>
    <col min="34" max="34" style="18848" width="8.7109375" customWidth="1"/>
    <col min="35" max="35" style="18848" width="21.7109375" customWidth="1"/>
    <col min="36" max="36" style="18455" width="9.140625"/>
    <col min="37" max="37" style="18849" width="9.140625"/>
    <col min="38" max="64" style="18455" width="9.140625"/>
  </cols>
  <sheetData>
    <row s="18772" customFormat="1" customHeight="1" ht="11.25" hidden="1">
      <c r="AJ1" s="783"/>
      <c r="AK1" s="783"/>
      <c r="AL1" s="783"/>
      <c r="AM1" s="783"/>
      <c r="AN1" s="783"/>
      <c r="AO1" s="783"/>
      <c r="AP1" s="783"/>
      <c r="AQ1" s="783"/>
      <c r="AR1" s="783"/>
      <c r="AS1" s="783"/>
      <c r="AT1" s="783"/>
      <c r="AU1" s="783"/>
      <c r="AV1" s="783"/>
      <c r="AW1" s="783"/>
      <c r="AX1" s="783"/>
      <c r="AY1" s="783"/>
      <c r="AZ1" s="783"/>
      <c r="BA1" s="783"/>
      <c r="BB1" s="783"/>
      <c r="BC1" s="783"/>
      <c r="BD1" s="783"/>
      <c r="BE1" s="783"/>
      <c r="BF1" s="783"/>
      <c r="BG1" s="783"/>
      <c r="BH1" s="783"/>
      <c r="BI1" s="783"/>
      <c r="BJ1" s="783"/>
      <c r="BK1" s="783"/>
      <c r="BL1" s="783"/>
    </row>
    <row s="18773" customFormat="1" customHeight="1" ht="11.25" hidden="1">
      <c r="L2" s="1919" t="s">
        <v>279</v>
      </c>
      <c r="M2" s="1919" t="s">
        <v>280</v>
      </c>
      <c r="R2" s="1919" t="s">
        <v>281</v>
      </c>
      <c r="S2" s="1919" t="s">
        <v>280</v>
      </c>
      <c r="X2" s="1919" t="s">
        <v>279</v>
      </c>
      <c r="Y2" s="1919" t="s">
        <v>280</v>
      </c>
      <c r="AD2" s="1919" t="s">
        <v>279</v>
      </c>
      <c r="AE2" s="1919" t="s">
        <v>280</v>
      </c>
      <c r="AJ2" s="1941"/>
      <c r="AK2" s="1941"/>
      <c r="AL2" s="1941"/>
      <c r="AM2" s="1941"/>
      <c r="AN2" s="1941"/>
      <c r="AO2" s="1941"/>
      <c r="AP2" s="1941"/>
      <c r="AQ2" s="1941"/>
      <c r="AR2" s="1941"/>
      <c r="AS2" s="1941"/>
      <c r="AT2" s="1941"/>
      <c r="AU2" s="1941"/>
      <c r="AV2" s="1941"/>
      <c r="AW2" s="1941"/>
      <c r="AX2" s="1941"/>
      <c r="AY2" s="1941"/>
      <c r="AZ2" s="1941"/>
      <c r="BA2" s="1941"/>
      <c r="BB2" s="1941"/>
      <c r="BC2" s="1941"/>
      <c r="BD2" s="1941"/>
      <c r="BE2" s="1941"/>
      <c r="BF2" s="1941"/>
      <c r="BG2" s="1941"/>
      <c r="BH2" s="1941"/>
      <c r="BI2" s="1941"/>
      <c r="BJ2" s="1941"/>
      <c r="BK2" s="1941"/>
      <c r="BL2" s="1941"/>
    </row>
    <row s="18776" customFormat="1" customHeight="1" ht="11.25">
      <c r="AJ3" s="1940"/>
      <c r="AK3" s="667"/>
      <c r="AL3" s="1940"/>
      <c r="AM3" s="1940"/>
      <c r="AN3" s="1940"/>
      <c r="AO3" s="1940"/>
      <c r="AP3" s="1940"/>
      <c r="AQ3" s="1940"/>
      <c r="AR3" s="1940"/>
      <c r="AS3" s="1940"/>
      <c r="AT3" s="1940"/>
      <c r="AU3" s="1940"/>
      <c r="AV3" s="1940"/>
      <c r="AW3" s="1940"/>
      <c r="AX3" s="1940"/>
      <c r="AY3" s="1940"/>
      <c r="AZ3" s="1940"/>
      <c r="BA3" s="1940"/>
      <c r="BB3" s="1940"/>
      <c r="BC3" s="1940"/>
      <c r="BD3" s="1940"/>
      <c r="BE3" s="1940"/>
      <c r="BF3" s="1940"/>
      <c r="BG3" s="1940"/>
      <c r="BH3" s="1940"/>
      <c r="BI3" s="1940"/>
      <c r="BJ3" s="1940"/>
      <c r="BK3" s="1940"/>
      <c r="BL3" s="1940"/>
    </row>
    <row s="18446" customFormat="1" customHeight="1" ht="33">
      <c r="A4" s="1519"/>
      <c r="B4" s="1518"/>
      <c r="C4" s="1881"/>
      <c r="D4" s="2448" t="s">
        <v>282</v>
      </c>
      <c r="E4" s="2448"/>
      <c r="F4" s="2448"/>
      <c r="G4" s="2448"/>
      <c r="H4" s="2448"/>
      <c r="I4" s="2448"/>
      <c r="J4" s="2448"/>
      <c r="K4" s="1060"/>
      <c r="T4" s="1921"/>
      <c r="AJ4" s="1942"/>
      <c r="AK4" s="1943"/>
      <c r="AL4" s="1942"/>
      <c r="AM4" s="1942"/>
      <c r="AN4" s="1942"/>
      <c r="AO4" s="1942"/>
      <c r="AP4" s="1942"/>
      <c r="AQ4" s="1942"/>
      <c r="AR4" s="1942"/>
      <c r="AS4" s="1942"/>
      <c r="AT4" s="1942"/>
      <c r="AU4" s="1942"/>
      <c r="AV4" s="1942"/>
      <c r="AW4" s="1942"/>
      <c r="AX4" s="1942"/>
      <c r="AY4" s="1942"/>
      <c r="AZ4" s="1942"/>
      <c r="BA4" s="1942"/>
      <c r="BB4" s="1942"/>
      <c r="BC4" s="1942"/>
      <c r="BD4" s="1942"/>
      <c r="BE4" s="1942"/>
      <c r="BF4" s="1942"/>
      <c r="BG4" s="1942"/>
      <c r="BH4" s="1942"/>
      <c r="BI4" s="1942"/>
      <c r="BJ4" s="1942"/>
      <c r="BK4" s="1942"/>
      <c r="BL4" s="1942"/>
    </row>
    <row s="18787" customFormat="1" customHeight="1" ht="14.25">
      <c r="A5" s="1998"/>
      <c r="B5" s="1997"/>
      <c r="C5" s="1881"/>
      <c r="D5" s="2474" t="str">
        <f>IF(org=0,"Не определено",org)</f>
        <v>Филиал "Шатурская ГРЭС" ПАО "Юнипро"</v>
      </c>
      <c r="E5" s="2474"/>
      <c r="F5" s="2474"/>
      <c r="G5" s="2474"/>
      <c r="H5" s="2474"/>
      <c r="I5" s="2474"/>
      <c r="J5" s="2474"/>
      <c r="K5" s="1060"/>
      <c r="T5" s="1921"/>
      <c r="AJ5" s="1942"/>
      <c r="AK5" s="1943"/>
      <c r="AL5" s="1942"/>
      <c r="AM5" s="1942"/>
      <c r="AN5" s="1942"/>
      <c r="AO5" s="1942"/>
      <c r="AP5" s="1942"/>
      <c r="AQ5" s="1942"/>
      <c r="AR5" s="1942"/>
      <c r="AS5" s="1942"/>
      <c r="AT5" s="1942"/>
      <c r="AU5" s="1942"/>
      <c r="AV5" s="1942"/>
      <c r="AW5" s="1942"/>
      <c r="AX5" s="1942"/>
      <c r="AY5" s="1942"/>
      <c r="AZ5" s="1942"/>
      <c r="BA5" s="1942"/>
      <c r="BB5" s="1942"/>
      <c r="BC5" s="1942"/>
      <c r="BD5" s="1942"/>
      <c r="BE5" s="1942"/>
      <c r="BF5" s="1942"/>
      <c r="BG5" s="1942"/>
      <c r="BH5" s="1942"/>
      <c r="BI5" s="1942"/>
      <c r="BJ5" s="1942"/>
      <c r="BK5" s="1942"/>
      <c r="BL5" s="1942"/>
    </row>
    <row s="18446" customFormat="1" customHeight="1" ht="14.25">
      <c r="A6" s="1519"/>
      <c r="B6" s="1518"/>
      <c r="C6" s="1881"/>
      <c r="D6" s="1060"/>
      <c r="E6" s="1060"/>
      <c r="F6" s="1060"/>
      <c r="G6" s="1060"/>
      <c r="H6" s="1060"/>
      <c r="I6" s="1060"/>
      <c r="J6" s="1060"/>
      <c r="K6" s="1060"/>
      <c r="T6" s="1921"/>
      <c r="AJ6" s="1942"/>
      <c r="AK6" s="1943"/>
      <c r="AL6" s="1942"/>
      <c r="AM6" s="1942"/>
      <c r="AN6" s="1942"/>
      <c r="AO6" s="1942"/>
      <c r="AP6" s="1942"/>
      <c r="AQ6" s="1942"/>
      <c r="AR6" s="1942"/>
      <c r="AS6" s="1942"/>
      <c r="AT6" s="1942"/>
      <c r="AU6" s="1942"/>
      <c r="AV6" s="1942"/>
      <c r="AW6" s="1942"/>
      <c r="AX6" s="1942"/>
      <c r="AY6" s="1942"/>
      <c r="AZ6" s="1942"/>
      <c r="BA6" s="1942"/>
      <c r="BB6" s="1942"/>
      <c r="BC6" s="1942"/>
      <c r="BD6" s="1942"/>
      <c r="BE6" s="1942"/>
      <c r="BF6" s="1942"/>
      <c r="BG6" s="1942"/>
      <c r="BH6" s="1942"/>
      <c r="BI6" s="1942"/>
      <c r="BJ6" s="1942"/>
      <c r="BK6" s="1942"/>
      <c r="BL6" s="1942"/>
    </row>
    <row s="18772" customFormat="1" customHeight="1" ht="0.75">
      <c r="AJ7" s="783"/>
      <c r="AK7" s="783"/>
      <c r="AL7" s="783"/>
      <c r="AM7" s="783"/>
      <c r="AN7" s="783"/>
      <c r="AO7" s="783"/>
      <c r="AP7" s="783"/>
      <c r="AQ7" s="783"/>
      <c r="AR7" s="783"/>
      <c r="AS7" s="783"/>
      <c r="AT7" s="783"/>
      <c r="AU7" s="783"/>
      <c r="AV7" s="783"/>
      <c r="AW7" s="783"/>
      <c r="AX7" s="783"/>
      <c r="AY7" s="783"/>
      <c r="AZ7" s="783"/>
      <c r="BA7" s="783"/>
      <c r="BB7" s="783"/>
      <c r="BC7" s="783"/>
      <c r="BD7" s="783"/>
      <c r="BE7" s="783"/>
      <c r="BF7" s="783"/>
      <c r="BG7" s="783"/>
      <c r="BH7" s="783"/>
      <c r="BI7" s="783"/>
      <c r="BJ7" s="783"/>
      <c r="BK7" s="783"/>
      <c r="BL7" s="783"/>
    </row>
    <row customHeight="1" ht="31.5">
      <c r="D8" s="2392" t="s">
        <v>85</v>
      </c>
      <c r="E8" s="2392" t="s">
        <v>102</v>
      </c>
      <c r="F8" s="2450" t="s">
        <v>119</v>
      </c>
      <c r="G8" s="2451"/>
      <c r="H8" s="2450" t="s">
        <v>85</v>
      </c>
      <c r="I8" s="2451"/>
      <c r="J8" s="2392" t="s">
        <v>120</v>
      </c>
      <c r="K8" s="1922"/>
      <c r="L8" s="2454" t="s">
        <v>283</v>
      </c>
      <c r="M8" s="2454"/>
      <c r="N8" s="2454"/>
      <c r="O8" s="2454"/>
      <c r="P8" s="2454"/>
      <c r="Q8" s="1923"/>
      <c r="R8" s="2371" t="s">
        <v>284</v>
      </c>
      <c r="S8" s="2455"/>
      <c r="T8" s="2455"/>
      <c r="U8" s="2455"/>
      <c r="V8" s="2455"/>
      <c r="W8" s="1923"/>
      <c r="X8" s="2456" t="s">
        <v>285</v>
      </c>
      <c r="Y8" s="2456"/>
      <c r="Z8" s="2456"/>
      <c r="AA8" s="2456"/>
      <c r="AB8" s="2456"/>
      <c r="AC8" s="1924"/>
      <c r="AD8" s="2392" t="s">
        <v>286</v>
      </c>
      <c r="AE8" s="2392"/>
      <c r="AF8" s="2392"/>
      <c r="AG8" s="2392"/>
      <c r="AH8" s="2376"/>
      <c r="AI8" s="2392" t="s">
        <v>287</v>
      </c>
      <c r="AJ8" s="1940"/>
    </row>
    <row customHeight="1" ht="22.5">
      <c r="D9" s="2392"/>
      <c r="E9" s="2392"/>
      <c r="F9" s="2449" t="s">
        <v>86</v>
      </c>
      <c r="G9" s="2449" t="s">
        <v>125</v>
      </c>
      <c r="H9" s="2452"/>
      <c r="I9" s="2453"/>
      <c r="J9" s="2376"/>
      <c r="K9" s="1925"/>
      <c r="L9" s="2392" t="s">
        <v>288</v>
      </c>
      <c r="M9" s="2376"/>
      <c r="N9" s="2450" t="s">
        <v>85</v>
      </c>
      <c r="O9" s="2451"/>
      <c r="P9" s="2392" t="s">
        <v>126</v>
      </c>
      <c r="Q9" s="1922"/>
      <c r="R9" s="2392" t="s">
        <v>288</v>
      </c>
      <c r="S9" s="2376"/>
      <c r="T9" s="2450" t="s">
        <v>85</v>
      </c>
      <c r="U9" s="2451"/>
      <c r="V9" s="2392" t="s">
        <v>126</v>
      </c>
      <c r="W9" s="1922"/>
      <c r="X9" s="2392" t="s">
        <v>288</v>
      </c>
      <c r="Y9" s="2376"/>
      <c r="Z9" s="2450" t="s">
        <v>85</v>
      </c>
      <c r="AA9" s="2451"/>
      <c r="AB9" s="2392" t="s">
        <v>289</v>
      </c>
      <c r="AC9" s="1922"/>
      <c r="AD9" s="2392" t="s">
        <v>288</v>
      </c>
      <c r="AE9" s="2376"/>
      <c r="AF9" s="2450" t="s">
        <v>85</v>
      </c>
      <c r="AG9" s="2451"/>
      <c r="AH9" s="2376" t="s">
        <v>289</v>
      </c>
      <c r="AI9" s="2392"/>
      <c r="AJ9" s="1940"/>
    </row>
    <row customHeight="1" ht="22.5">
      <c r="D10" s="2449"/>
      <c r="E10" s="2449"/>
      <c r="F10" s="2457"/>
      <c r="G10" s="2457"/>
      <c r="H10" s="2458"/>
      <c r="I10" s="2459"/>
      <c r="J10" s="2450"/>
      <c r="K10" s="1925"/>
      <c r="L10" s="1944" t="s">
        <v>290</v>
      </c>
      <c r="M10" s="1939" t="s">
        <v>291</v>
      </c>
      <c r="N10" s="2452"/>
      <c r="O10" s="2453"/>
      <c r="P10" s="2449"/>
      <c r="Q10" s="1922"/>
      <c r="R10" s="1944" t="s">
        <v>290</v>
      </c>
      <c r="S10" s="1939" t="s">
        <v>291</v>
      </c>
      <c r="T10" s="2452"/>
      <c r="U10" s="2453"/>
      <c r="V10" s="2449"/>
      <c r="W10" s="1922"/>
      <c r="X10" s="1944" t="s">
        <v>290</v>
      </c>
      <c r="Y10" s="1939" t="s">
        <v>291</v>
      </c>
      <c r="Z10" s="2452"/>
      <c r="AA10" s="2453"/>
      <c r="AB10" s="2449"/>
      <c r="AC10" s="1922"/>
      <c r="AD10" s="1944" t="s">
        <v>290</v>
      </c>
      <c r="AE10" s="1939" t="s">
        <v>291</v>
      </c>
      <c r="AF10" s="2452"/>
      <c r="AG10" s="2453"/>
      <c r="AH10" s="2450"/>
      <c r="AI10" s="2449"/>
      <c r="AJ10" s="1940"/>
      <c r="AK10" s="615" t="s">
        <v>292</v>
      </c>
      <c r="AL10" s="615" t="s">
        <v>127</v>
      </c>
    </row>
    <row customHeight="1" ht="14.25">
      <c r="D11" s="2460" t="s">
        <v>106</v>
      </c>
      <c r="E11" s="2462" t="s">
        <v>293</v>
      </c>
      <c r="F11" s="2462" t="s">
        <v>294</v>
      </c>
      <c r="G11" s="2465" t="s">
        <v>54</v>
      </c>
      <c r="H11" s="1965"/>
      <c r="I11" s="2467"/>
      <c r="J11" s="2427"/>
      <c r="K11" s="1880"/>
      <c r="L11" s="2410"/>
      <c r="M11" s="2410"/>
      <c r="N11" s="1950"/>
      <c r="O11" s="2410"/>
      <c r="P11" s="2427"/>
      <c r="Q11" s="1951"/>
      <c r="R11" s="2410"/>
      <c r="S11" s="2410"/>
      <c r="T11" s="1952"/>
      <c r="U11" s="2410"/>
      <c r="V11" s="2427"/>
      <c r="W11" s="1953"/>
      <c r="X11" s="2410"/>
      <c r="Y11" s="2410"/>
      <c r="Z11" s="1950"/>
      <c r="AA11" s="2410"/>
      <c r="AB11" s="2427"/>
      <c r="AC11" s="1954"/>
      <c r="AD11" s="2410"/>
      <c r="AE11" s="2410"/>
      <c r="AF11" s="1879"/>
      <c r="AG11" s="1879"/>
      <c r="AH11" s="1955"/>
      <c r="AI11" s="1662"/>
      <c r="AJ11" s="1940"/>
    </row>
    <row customHeight="1" ht="14.25">
      <c r="D12" s="2460"/>
      <c r="E12" s="2462"/>
      <c r="F12" s="2462"/>
      <c r="G12" s="2466"/>
      <c r="H12" s="1966"/>
      <c r="I12" s="2468"/>
      <c r="J12" s="2428"/>
      <c r="K12" s="1976"/>
      <c r="L12" s="2411"/>
      <c r="M12" s="2411"/>
      <c r="N12" s="1956"/>
      <c r="O12" s="2411"/>
      <c r="P12" s="2428"/>
      <c r="Q12" s="1957"/>
      <c r="R12" s="2411"/>
      <c r="S12" s="2411"/>
      <c r="T12" s="1958"/>
      <c r="U12" s="2411"/>
      <c r="V12" s="2428"/>
      <c r="W12" s="1959"/>
      <c r="X12" s="2411"/>
      <c r="Y12" s="2411"/>
      <c r="Z12" s="1956"/>
      <c r="AA12" s="2411"/>
      <c r="AB12" s="2428"/>
      <c r="AC12" s="1960"/>
      <c r="AD12" s="2411"/>
      <c r="AE12" s="2411"/>
      <c r="AF12" s="1961"/>
      <c r="AG12" s="1961"/>
      <c r="AH12" s="2471"/>
      <c r="AI12" s="2472"/>
      <c r="AJ12" s="1940"/>
    </row>
    <row customHeight="1" ht="14.25">
      <c r="D13" s="2460"/>
      <c r="E13" s="2462"/>
      <c r="F13" s="2462"/>
      <c r="G13" s="2466"/>
      <c r="H13" s="1966"/>
      <c r="I13" s="2468"/>
      <c r="J13" s="2428"/>
      <c r="K13" s="1976"/>
      <c r="L13" s="2411"/>
      <c r="M13" s="2411"/>
      <c r="N13" s="1956"/>
      <c r="O13" s="2411"/>
      <c r="P13" s="2428"/>
      <c r="Q13" s="1957"/>
      <c r="R13" s="2411"/>
      <c r="S13" s="2411"/>
      <c r="T13" s="1958"/>
      <c r="U13" s="2411"/>
      <c r="V13" s="2428"/>
      <c r="W13" s="1959"/>
      <c r="X13" s="2411"/>
      <c r="Y13" s="2411"/>
      <c r="Z13" s="1878"/>
      <c r="AA13" s="1961"/>
      <c r="AB13" s="2471"/>
      <c r="AC13" s="2471"/>
      <c r="AD13" s="2471"/>
      <c r="AE13" s="2471"/>
      <c r="AF13" s="2471"/>
      <c r="AG13" s="2471"/>
      <c r="AH13" s="2471"/>
      <c r="AI13" s="2472"/>
      <c r="AJ13" s="1940"/>
    </row>
    <row customHeight="1" ht="14.25">
      <c r="D14" s="2460"/>
      <c r="E14" s="2462"/>
      <c r="F14" s="2462"/>
      <c r="G14" s="2466"/>
      <c r="H14" s="1966"/>
      <c r="I14" s="2468"/>
      <c r="J14" s="2428"/>
      <c r="K14" s="1976"/>
      <c r="L14" s="2411"/>
      <c r="M14" s="2411"/>
      <c r="N14" s="1956"/>
      <c r="O14" s="2411"/>
      <c r="P14" s="2428"/>
      <c r="Q14" s="1957"/>
      <c r="R14" s="2411"/>
      <c r="S14" s="2411"/>
      <c r="T14" s="1962"/>
      <c r="U14" s="1963"/>
      <c r="V14" s="2471"/>
      <c r="W14" s="2471"/>
      <c r="X14" s="2471"/>
      <c r="Y14" s="2471"/>
      <c r="Z14" s="2471"/>
      <c r="AA14" s="2471"/>
      <c r="AB14" s="2471"/>
      <c r="AC14" s="2471"/>
      <c r="AD14" s="2471"/>
      <c r="AE14" s="2471"/>
      <c r="AF14" s="2471"/>
      <c r="AG14" s="2471"/>
      <c r="AH14" s="2471"/>
      <c r="AI14" s="2472"/>
      <c r="AJ14" s="1940"/>
    </row>
    <row customHeight="1" ht="11.25">
      <c r="D15" s="2460"/>
      <c r="E15" s="2462"/>
      <c r="F15" s="2462"/>
      <c r="G15" s="2466"/>
      <c r="H15" s="1967"/>
      <c r="I15" s="2468"/>
      <c r="J15" s="2428"/>
      <c r="K15" s="1976"/>
      <c r="L15" s="2411"/>
      <c r="M15" s="2411"/>
      <c r="N15" s="1961"/>
      <c r="O15" s="1961"/>
      <c r="P15" s="2471"/>
      <c r="Q15" s="2471"/>
      <c r="R15" s="2471"/>
      <c r="S15" s="2471"/>
      <c r="T15" s="2471"/>
      <c r="U15" s="2471"/>
      <c r="V15" s="2471"/>
      <c r="W15" s="2471"/>
      <c r="X15" s="2471"/>
      <c r="Y15" s="2471"/>
      <c r="Z15" s="2471"/>
      <c r="AA15" s="2471"/>
      <c r="AB15" s="2471"/>
      <c r="AC15" s="2471"/>
      <c r="AD15" s="2471"/>
      <c r="AE15" s="2471"/>
      <c r="AF15" s="2471"/>
      <c r="AG15" s="2471"/>
      <c r="AH15" s="2471"/>
      <c r="AI15" s="2472"/>
      <c r="AJ15" s="1940"/>
    </row>
    <row s="18776" customFormat="1" customHeight="1" ht="11.25">
      <c r="D16" s="2461"/>
      <c r="E16" s="2463"/>
      <c r="F16" s="2464"/>
      <c r="G16" s="2407"/>
      <c r="H16" s="1964"/>
      <c r="I16" s="1968"/>
      <c r="J16" s="2469"/>
      <c r="K16" s="2469"/>
      <c r="L16" s="2469"/>
      <c r="M16" s="2469"/>
      <c r="N16" s="2469"/>
      <c r="O16" s="2469"/>
      <c r="P16" s="2469"/>
      <c r="Q16" s="2469"/>
      <c r="R16" s="2469"/>
      <c r="S16" s="2469"/>
      <c r="T16" s="2469"/>
      <c r="U16" s="2469"/>
      <c r="V16" s="2469"/>
      <c r="W16" s="2469"/>
      <c r="X16" s="2469"/>
      <c r="Y16" s="2469"/>
      <c r="Z16" s="2469"/>
      <c r="AA16" s="2469"/>
      <c r="AB16" s="2469"/>
      <c r="AC16" s="2469"/>
      <c r="AD16" s="2469"/>
      <c r="AE16" s="2469"/>
      <c r="AF16" s="2469"/>
      <c r="AG16" s="2469"/>
      <c r="AH16" s="2469"/>
      <c r="AI16" s="2470"/>
      <c r="AJ16" s="1940"/>
      <c r="AK16" s="667"/>
      <c r="AL16" s="1940"/>
      <c r="AM16" s="1940"/>
      <c r="AN16" s="1940"/>
      <c r="AO16" s="1940"/>
      <c r="AP16" s="1940"/>
      <c r="AQ16" s="1940"/>
      <c r="AR16" s="1940"/>
      <c r="AS16" s="1940"/>
      <c r="AT16" s="1940"/>
      <c r="AU16" s="1940"/>
      <c r="AV16" s="1940"/>
      <c r="AW16" s="1940"/>
      <c r="AX16" s="1940"/>
      <c r="AY16" s="1940"/>
      <c r="AZ16" s="1940"/>
      <c r="BA16" s="1940"/>
      <c r="BB16" s="1940"/>
      <c r="BC16" s="1940"/>
      <c r="BD16" s="1940"/>
      <c r="BE16" s="1940"/>
      <c r="BF16" s="1940"/>
      <c r="BG16" s="1940"/>
      <c r="BH16" s="1940"/>
      <c r="BI16" s="1940"/>
      <c r="BJ16" s="1940"/>
      <c r="BK16" s="1940"/>
      <c r="BL16" s="1940"/>
    </row>
    <row customHeight="1" ht="14.25">
      <c r="D17" s="2460" t="s">
        <v>107</v>
      </c>
      <c r="E17" s="2462" t="s">
        <v>293</v>
      </c>
      <c r="F17" s="2462" t="s">
        <v>295</v>
      </c>
      <c r="G17" s="2465" t="s">
        <v>54</v>
      </c>
      <c r="H17" s="1965"/>
      <c r="I17" s="2467"/>
      <c r="J17" s="2427"/>
      <c r="K17" s="1880"/>
      <c r="L17" s="2410"/>
      <c r="M17" s="2410"/>
      <c r="N17" s="1950"/>
      <c r="O17" s="2410"/>
      <c r="P17" s="2427"/>
      <c r="Q17" s="1951"/>
      <c r="R17" s="2410"/>
      <c r="S17" s="2410"/>
      <c r="T17" s="1952"/>
      <c r="U17" s="2410"/>
      <c r="V17" s="2427"/>
      <c r="W17" s="1953"/>
      <c r="X17" s="2410"/>
      <c r="Y17" s="2410"/>
      <c r="Z17" s="1950"/>
      <c r="AA17" s="2410"/>
      <c r="AB17" s="2427"/>
      <c r="AC17" s="1954"/>
      <c r="AD17" s="2410"/>
      <c r="AE17" s="2410"/>
      <c r="AF17" s="1879"/>
      <c r="AG17" s="1879"/>
      <c r="AH17" s="1955"/>
      <c r="AI17" s="1662"/>
      <c r="AJ17" s="1940"/>
    </row>
    <row customHeight="1" ht="14.25">
      <c r="D18" s="2460"/>
      <c r="E18" s="2462"/>
      <c r="F18" s="2462"/>
      <c r="G18" s="2466"/>
      <c r="H18" s="1966"/>
      <c r="I18" s="2468"/>
      <c r="J18" s="2428"/>
      <c r="K18" s="1949"/>
      <c r="L18" s="2411"/>
      <c r="M18" s="2411"/>
      <c r="N18" s="1956"/>
      <c r="O18" s="2411"/>
      <c r="P18" s="2428"/>
      <c r="Q18" s="1957"/>
      <c r="R18" s="2411"/>
      <c r="S18" s="2411"/>
      <c r="T18" s="1958"/>
      <c r="U18" s="2411"/>
      <c r="V18" s="2428"/>
      <c r="W18" s="1959"/>
      <c r="X18" s="2411"/>
      <c r="Y18" s="2411"/>
      <c r="Z18" s="1956"/>
      <c r="AA18" s="2411"/>
      <c r="AB18" s="2428"/>
      <c r="AC18" s="1960"/>
      <c r="AD18" s="2411"/>
      <c r="AE18" s="2411"/>
      <c r="AF18" s="1961"/>
      <c r="AG18" s="1961"/>
      <c r="AH18" s="2471"/>
      <c r="AI18" s="2472"/>
      <c r="AJ18" s="1940"/>
    </row>
    <row customHeight="1" ht="14.25">
      <c r="D19" s="2460"/>
      <c r="E19" s="2462"/>
      <c r="F19" s="2462"/>
      <c r="G19" s="2466"/>
      <c r="H19" s="1966"/>
      <c r="I19" s="2468"/>
      <c r="J19" s="2428"/>
      <c r="K19" s="1949"/>
      <c r="L19" s="2411"/>
      <c r="M19" s="2411"/>
      <c r="N19" s="1956"/>
      <c r="O19" s="2411"/>
      <c r="P19" s="2428"/>
      <c r="Q19" s="1957"/>
      <c r="R19" s="2411"/>
      <c r="S19" s="2411"/>
      <c r="T19" s="1958"/>
      <c r="U19" s="2411"/>
      <c r="V19" s="2428"/>
      <c r="W19" s="1959"/>
      <c r="X19" s="2411"/>
      <c r="Y19" s="2411"/>
      <c r="Z19" s="1878"/>
      <c r="AA19" s="1961"/>
      <c r="AB19" s="2471"/>
      <c r="AC19" s="2471"/>
      <c r="AD19" s="2471"/>
      <c r="AE19" s="2471"/>
      <c r="AF19" s="2471"/>
      <c r="AG19" s="2471"/>
      <c r="AH19" s="2471"/>
      <c r="AI19" s="2472"/>
      <c r="AJ19" s="1940"/>
    </row>
    <row customHeight="1" ht="14.25">
      <c r="D20" s="2460"/>
      <c r="E20" s="2462"/>
      <c r="F20" s="2462"/>
      <c r="G20" s="2466"/>
      <c r="H20" s="1966"/>
      <c r="I20" s="2468"/>
      <c r="J20" s="2428"/>
      <c r="K20" s="1949"/>
      <c r="L20" s="2411"/>
      <c r="M20" s="2411"/>
      <c r="N20" s="1956"/>
      <c r="O20" s="2411"/>
      <c r="P20" s="2428"/>
      <c r="Q20" s="1957"/>
      <c r="R20" s="2411"/>
      <c r="S20" s="2411"/>
      <c r="T20" s="1962"/>
      <c r="U20" s="1963"/>
      <c r="V20" s="2471"/>
      <c r="W20" s="2471"/>
      <c r="X20" s="2471"/>
      <c r="Y20" s="2471"/>
      <c r="Z20" s="2471"/>
      <c r="AA20" s="2471"/>
      <c r="AB20" s="2471"/>
      <c r="AC20" s="2471"/>
      <c r="AD20" s="2471"/>
      <c r="AE20" s="2471"/>
      <c r="AF20" s="2471"/>
      <c r="AG20" s="2471"/>
      <c r="AH20" s="2471"/>
      <c r="AI20" s="2472"/>
      <c r="AJ20" s="1940"/>
    </row>
    <row customHeight="1" ht="11.25">
      <c r="D21" s="2460"/>
      <c r="E21" s="2462"/>
      <c r="F21" s="2462"/>
      <c r="G21" s="2466"/>
      <c r="H21" s="1967"/>
      <c r="I21" s="2468"/>
      <c r="J21" s="2428"/>
      <c r="K21" s="1949"/>
      <c r="L21" s="2411"/>
      <c r="M21" s="2411"/>
      <c r="N21" s="1961"/>
      <c r="O21" s="1961"/>
      <c r="P21" s="2471"/>
      <c r="Q21" s="2471"/>
      <c r="R21" s="2471"/>
      <c r="S21" s="2471"/>
      <c r="T21" s="2471"/>
      <c r="U21" s="2471"/>
      <c r="V21" s="2471"/>
      <c r="W21" s="2471"/>
      <c r="X21" s="2471"/>
      <c r="Y21" s="2471"/>
      <c r="Z21" s="2471"/>
      <c r="AA21" s="2471"/>
      <c r="AB21" s="2471"/>
      <c r="AC21" s="2471"/>
      <c r="AD21" s="2471"/>
      <c r="AE21" s="2471"/>
      <c r="AF21" s="2471"/>
      <c r="AG21" s="2471"/>
      <c r="AH21" s="2471"/>
      <c r="AI21" s="2472"/>
      <c r="AJ21" s="1940"/>
    </row>
    <row s="18776" customFormat="1" customHeight="1" ht="11.25">
      <c r="D22" s="2461"/>
      <c r="E22" s="2463"/>
      <c r="F22" s="2464"/>
      <c r="G22" s="2407"/>
      <c r="H22" s="1964"/>
      <c r="I22" s="1968"/>
      <c r="J22" s="2469"/>
      <c r="K22" s="2469"/>
      <c r="L22" s="2469"/>
      <c r="M22" s="2469"/>
      <c r="N22" s="2469"/>
      <c r="O22" s="2469"/>
      <c r="P22" s="2469"/>
      <c r="Q22" s="2469"/>
      <c r="R22" s="2469"/>
      <c r="S22" s="2469"/>
      <c r="T22" s="2469"/>
      <c r="U22" s="2469"/>
      <c r="V22" s="2469"/>
      <c r="W22" s="2469"/>
      <c r="X22" s="2469"/>
      <c r="Y22" s="2469"/>
      <c r="Z22" s="2469"/>
      <c r="AA22" s="2469"/>
      <c r="AB22" s="2469"/>
      <c r="AC22" s="2469"/>
      <c r="AD22" s="2469"/>
      <c r="AE22" s="2469"/>
      <c r="AF22" s="2469"/>
      <c r="AG22" s="2469"/>
      <c r="AH22" s="2469"/>
      <c r="AI22" s="2470"/>
      <c r="AJ22" s="1940"/>
      <c r="AK22" s="667"/>
      <c r="AL22" s="1940"/>
      <c r="AM22" s="1940"/>
      <c r="AN22" s="1940"/>
      <c r="AO22" s="1940"/>
      <c r="AP22" s="1940"/>
      <c r="AQ22" s="1940"/>
      <c r="AR22" s="1940"/>
      <c r="AS22" s="1940"/>
      <c r="AT22" s="1940"/>
      <c r="AU22" s="1940"/>
      <c r="AV22" s="1940"/>
      <c r="AW22" s="1940"/>
      <c r="AX22" s="1940"/>
      <c r="AY22" s="1940"/>
      <c r="AZ22" s="1940"/>
      <c r="BA22" s="1940"/>
      <c r="BB22" s="1940"/>
      <c r="BC22" s="1940"/>
      <c r="BD22" s="1940"/>
      <c r="BE22" s="1940"/>
      <c r="BF22" s="1940"/>
      <c r="BG22" s="1940"/>
      <c r="BH22" s="1940"/>
      <c r="BI22" s="1940"/>
      <c r="BJ22" s="1940"/>
      <c r="BK22" s="1940"/>
      <c r="BL22" s="1940"/>
    </row>
    <row customHeight="1" ht="14.25">
      <c r="D23" s="2460" t="s">
        <v>87</v>
      </c>
      <c r="E23" s="2462" t="s">
        <v>293</v>
      </c>
      <c r="F23" s="2462" t="s">
        <v>296</v>
      </c>
      <c r="G23" s="2465" t="s">
        <v>54</v>
      </c>
      <c r="H23" s="1965"/>
      <c r="I23" s="2467"/>
      <c r="J23" s="2427"/>
      <c r="K23" s="1880"/>
      <c r="L23" s="2410"/>
      <c r="M23" s="2410"/>
      <c r="N23" s="1950"/>
      <c r="O23" s="2410"/>
      <c r="P23" s="2427"/>
      <c r="Q23" s="1951"/>
      <c r="R23" s="2410"/>
      <c r="S23" s="2410"/>
      <c r="T23" s="1952"/>
      <c r="U23" s="2410"/>
      <c r="V23" s="2427"/>
      <c r="W23" s="1953"/>
      <c r="X23" s="2410"/>
      <c r="Y23" s="2410"/>
      <c r="Z23" s="1950"/>
      <c r="AA23" s="2410"/>
      <c r="AB23" s="2427"/>
      <c r="AC23" s="1954"/>
      <c r="AD23" s="2410"/>
      <c r="AE23" s="2410"/>
      <c r="AF23" s="1879"/>
      <c r="AG23" s="1879"/>
      <c r="AH23" s="1955"/>
      <c r="AI23" s="1662"/>
      <c r="AJ23" s="1940"/>
      <c r="AK23" s="667" t="s">
        <v>95</v>
      </c>
    </row>
    <row customHeight="1" ht="14.25">
      <c r="D24" s="2460"/>
      <c r="E24" s="2462"/>
      <c r="F24" s="2462"/>
      <c r="G24" s="2466"/>
      <c r="H24" s="1966"/>
      <c r="I24" s="2468"/>
      <c r="J24" s="2428"/>
      <c r="K24" s="1976"/>
      <c r="L24" s="2411"/>
      <c r="M24" s="2411"/>
      <c r="N24" s="1956"/>
      <c r="O24" s="2411"/>
      <c r="P24" s="2428"/>
      <c r="Q24" s="1957"/>
      <c r="R24" s="2411"/>
      <c r="S24" s="2411"/>
      <c r="T24" s="1958"/>
      <c r="U24" s="2411"/>
      <c r="V24" s="2428"/>
      <c r="W24" s="1959"/>
      <c r="X24" s="2411"/>
      <c r="Y24" s="2411"/>
      <c r="Z24" s="1956"/>
      <c r="AA24" s="2411"/>
      <c r="AB24" s="2428"/>
      <c r="AC24" s="1960"/>
      <c r="AD24" s="2411"/>
      <c r="AE24" s="2411"/>
      <c r="AF24" s="1961"/>
      <c r="AG24" s="1961"/>
      <c r="AH24" s="2471"/>
      <c r="AI24" s="2472"/>
      <c r="AJ24" s="1940"/>
    </row>
    <row customHeight="1" ht="14.25">
      <c r="D25" s="2460"/>
      <c r="E25" s="2462"/>
      <c r="F25" s="2462"/>
      <c r="G25" s="2466"/>
      <c r="H25" s="1966"/>
      <c r="I25" s="2468"/>
      <c r="J25" s="2428"/>
      <c r="K25" s="1976"/>
      <c r="L25" s="2411"/>
      <c r="M25" s="2411"/>
      <c r="N25" s="1956"/>
      <c r="O25" s="2411"/>
      <c r="P25" s="2428"/>
      <c r="Q25" s="1957"/>
      <c r="R25" s="2411"/>
      <c r="S25" s="2411"/>
      <c r="T25" s="1958"/>
      <c r="U25" s="2411"/>
      <c r="V25" s="2428"/>
      <c r="W25" s="1959"/>
      <c r="X25" s="2411"/>
      <c r="Y25" s="2411"/>
      <c r="Z25" s="1878"/>
      <c r="AA25" s="1961"/>
      <c r="AB25" s="2471"/>
      <c r="AC25" s="2471"/>
      <c r="AD25" s="2471"/>
      <c r="AE25" s="2471"/>
      <c r="AF25" s="2471"/>
      <c r="AG25" s="2471"/>
      <c r="AH25" s="2471"/>
      <c r="AI25" s="2472"/>
      <c r="AJ25" s="1940"/>
    </row>
    <row customHeight="1" ht="14.25">
      <c r="D26" s="2460"/>
      <c r="E26" s="2462"/>
      <c r="F26" s="2462"/>
      <c r="G26" s="2466"/>
      <c r="H26" s="1966"/>
      <c r="I26" s="2468"/>
      <c r="J26" s="2428"/>
      <c r="K26" s="1976"/>
      <c r="L26" s="2411"/>
      <c r="M26" s="2411"/>
      <c r="N26" s="1956"/>
      <c r="O26" s="2411"/>
      <c r="P26" s="2428"/>
      <c r="Q26" s="1957"/>
      <c r="R26" s="2411"/>
      <c r="S26" s="2411"/>
      <c r="T26" s="1962"/>
      <c r="U26" s="1963"/>
      <c r="V26" s="2471"/>
      <c r="W26" s="2471"/>
      <c r="X26" s="2471"/>
      <c r="Y26" s="2471"/>
      <c r="Z26" s="2471"/>
      <c r="AA26" s="2471"/>
      <c r="AB26" s="2471"/>
      <c r="AC26" s="2471"/>
      <c r="AD26" s="2471"/>
      <c r="AE26" s="2471"/>
      <c r="AF26" s="2471"/>
      <c r="AG26" s="2471"/>
      <c r="AH26" s="2471"/>
      <c r="AI26" s="2472"/>
      <c r="AJ26" s="1940"/>
    </row>
    <row customHeight="1" ht="11.25">
      <c r="D27" s="2460"/>
      <c r="E27" s="2462"/>
      <c r="F27" s="2462"/>
      <c r="G27" s="2466"/>
      <c r="H27" s="1967"/>
      <c r="I27" s="2468"/>
      <c r="J27" s="2428"/>
      <c r="K27" s="1976"/>
      <c r="L27" s="2411"/>
      <c r="M27" s="2411"/>
      <c r="N27" s="1961"/>
      <c r="O27" s="1961"/>
      <c r="P27" s="2471"/>
      <c r="Q27" s="2471"/>
      <c r="R27" s="2471"/>
      <c r="S27" s="2471"/>
      <c r="T27" s="2471"/>
      <c r="U27" s="2471"/>
      <c r="V27" s="2471"/>
      <c r="W27" s="2471"/>
      <c r="X27" s="2471"/>
      <c r="Y27" s="2471"/>
      <c r="Z27" s="2471"/>
      <c r="AA27" s="2471"/>
      <c r="AB27" s="2471"/>
      <c r="AC27" s="2471"/>
      <c r="AD27" s="2471"/>
      <c r="AE27" s="2471"/>
      <c r="AF27" s="2471"/>
      <c r="AG27" s="2471"/>
      <c r="AH27" s="2471"/>
      <c r="AI27" s="2472"/>
      <c r="AJ27" s="1940"/>
    </row>
    <row s="18776" customFormat="1" customHeight="1" ht="11.25">
      <c r="D28" s="2461"/>
      <c r="E28" s="2463"/>
      <c r="F28" s="2464"/>
      <c r="G28" s="2407"/>
      <c r="H28" s="1964"/>
      <c r="I28" s="1968"/>
      <c r="J28" s="2469"/>
      <c r="K28" s="2469"/>
      <c r="L28" s="2469"/>
      <c r="M28" s="2469"/>
      <c r="N28" s="2469"/>
      <c r="O28" s="2469"/>
      <c r="P28" s="2469"/>
      <c r="Q28" s="2469"/>
      <c r="R28" s="2469"/>
      <c r="S28" s="2469"/>
      <c r="T28" s="2469"/>
      <c r="U28" s="2469"/>
      <c r="V28" s="2469"/>
      <c r="W28" s="2469"/>
      <c r="X28" s="2469"/>
      <c r="Y28" s="2469"/>
      <c r="Z28" s="2469"/>
      <c r="AA28" s="2469"/>
      <c r="AB28" s="2469"/>
      <c r="AC28" s="2469"/>
      <c r="AD28" s="2469"/>
      <c r="AE28" s="2469"/>
      <c r="AF28" s="2469"/>
      <c r="AG28" s="2469"/>
      <c r="AH28" s="2469"/>
      <c r="AI28" s="2470"/>
      <c r="AJ28" s="1940"/>
      <c r="AK28" s="667"/>
      <c r="AL28" s="1940"/>
      <c r="AM28" s="1940"/>
      <c r="AN28" s="1940"/>
      <c r="AO28" s="1940"/>
      <c r="AP28" s="1940"/>
      <c r="AQ28" s="1940"/>
      <c r="AR28" s="1940"/>
      <c r="AS28" s="1940"/>
      <c r="AT28" s="1940"/>
      <c r="AU28" s="1940"/>
      <c r="AV28" s="1940"/>
      <c r="AW28" s="1940"/>
      <c r="AX28" s="1940"/>
      <c r="AY28" s="1940"/>
      <c r="AZ28" s="1940"/>
      <c r="BA28" s="1940"/>
      <c r="BB28" s="1940"/>
      <c r="BC28" s="1940"/>
      <c r="BD28" s="1940"/>
      <c r="BE28" s="1940"/>
      <c r="BF28" s="1940"/>
      <c r="BG28" s="1940"/>
      <c r="BH28" s="1940"/>
      <c r="BI28" s="1940"/>
      <c r="BJ28" s="1940"/>
      <c r="BK28" s="1940"/>
      <c r="BL28" s="1940"/>
    </row>
    <row customHeight="1" ht="14.25">
      <c r="D29" s="2460" t="s">
        <v>88</v>
      </c>
      <c r="E29" s="2462" t="s">
        <v>293</v>
      </c>
      <c r="F29" s="2462" t="s">
        <v>297</v>
      </c>
      <c r="G29" s="2465" t="s">
        <v>54</v>
      </c>
      <c r="H29" s="1965"/>
      <c r="I29" s="2467"/>
      <c r="J29" s="2427"/>
      <c r="K29" s="1880"/>
      <c r="L29" s="2410"/>
      <c r="M29" s="2410"/>
      <c r="N29" s="1950"/>
      <c r="O29" s="2410"/>
      <c r="P29" s="2427"/>
      <c r="Q29" s="1951"/>
      <c r="R29" s="2410"/>
      <c r="S29" s="2410"/>
      <c r="T29" s="1952"/>
      <c r="U29" s="2410"/>
      <c r="V29" s="2427"/>
      <c r="W29" s="1953"/>
      <c r="X29" s="2410"/>
      <c r="Y29" s="2410"/>
      <c r="Z29" s="1950"/>
      <c r="AA29" s="2410"/>
      <c r="AB29" s="2427"/>
      <c r="AC29" s="1954"/>
      <c r="AD29" s="2410"/>
      <c r="AE29" s="2410"/>
      <c r="AF29" s="1879"/>
      <c r="AG29" s="1879"/>
      <c r="AH29" s="1955"/>
      <c r="AI29" s="1662"/>
      <c r="AJ29" s="1940"/>
    </row>
    <row customHeight="1" ht="14.25">
      <c r="D30" s="2460"/>
      <c r="E30" s="2462"/>
      <c r="F30" s="2462"/>
      <c r="G30" s="2466"/>
      <c r="H30" s="1966"/>
      <c r="I30" s="2468"/>
      <c r="J30" s="2428"/>
      <c r="K30" s="1949"/>
      <c r="L30" s="2411"/>
      <c r="M30" s="2411"/>
      <c r="N30" s="1956"/>
      <c r="O30" s="2411"/>
      <c r="P30" s="2428"/>
      <c r="Q30" s="1957"/>
      <c r="R30" s="2411"/>
      <c r="S30" s="2411"/>
      <c r="T30" s="1958"/>
      <c r="U30" s="2411"/>
      <c r="V30" s="2428"/>
      <c r="W30" s="1959"/>
      <c r="X30" s="2411"/>
      <c r="Y30" s="2411"/>
      <c r="Z30" s="1956"/>
      <c r="AA30" s="2411"/>
      <c r="AB30" s="2428"/>
      <c r="AC30" s="1960"/>
      <c r="AD30" s="2411"/>
      <c r="AE30" s="2411"/>
      <c r="AF30" s="1961"/>
      <c r="AG30" s="1961"/>
      <c r="AH30" s="2471"/>
      <c r="AI30" s="2472"/>
      <c r="AJ30" s="1940"/>
    </row>
    <row customHeight="1" ht="14.25">
      <c r="D31" s="2460"/>
      <c r="E31" s="2462"/>
      <c r="F31" s="2462"/>
      <c r="G31" s="2466"/>
      <c r="H31" s="1966"/>
      <c r="I31" s="2468"/>
      <c r="J31" s="2428"/>
      <c r="K31" s="1949"/>
      <c r="L31" s="2411"/>
      <c r="M31" s="2411"/>
      <c r="N31" s="1956"/>
      <c r="O31" s="2411"/>
      <c r="P31" s="2428"/>
      <c r="Q31" s="1957"/>
      <c r="R31" s="2411"/>
      <c r="S31" s="2411"/>
      <c r="T31" s="1958"/>
      <c r="U31" s="2411"/>
      <c r="V31" s="2428"/>
      <c r="W31" s="1959"/>
      <c r="X31" s="2411"/>
      <c r="Y31" s="2411"/>
      <c r="Z31" s="1878"/>
      <c r="AA31" s="1961"/>
      <c r="AB31" s="2471"/>
      <c r="AC31" s="2471"/>
      <c r="AD31" s="2471"/>
      <c r="AE31" s="2471"/>
      <c r="AF31" s="2471"/>
      <c r="AG31" s="2471"/>
      <c r="AH31" s="2471"/>
      <c r="AI31" s="2472"/>
      <c r="AJ31" s="1940"/>
    </row>
    <row customHeight="1" ht="14.25">
      <c r="D32" s="2460"/>
      <c r="E32" s="2462"/>
      <c r="F32" s="2462"/>
      <c r="G32" s="2466"/>
      <c r="H32" s="1966"/>
      <c r="I32" s="2468"/>
      <c r="J32" s="2428"/>
      <c r="K32" s="1949"/>
      <c r="L32" s="2411"/>
      <c r="M32" s="2411"/>
      <c r="N32" s="1956"/>
      <c r="O32" s="2411"/>
      <c r="P32" s="2428"/>
      <c r="Q32" s="1957"/>
      <c r="R32" s="2411"/>
      <c r="S32" s="2411"/>
      <c r="T32" s="1962"/>
      <c r="U32" s="1963"/>
      <c r="V32" s="2471"/>
      <c r="W32" s="2471"/>
      <c r="X32" s="2471"/>
      <c r="Y32" s="2471"/>
      <c r="Z32" s="2471"/>
      <c r="AA32" s="2471"/>
      <c r="AB32" s="2471"/>
      <c r="AC32" s="2471"/>
      <c r="AD32" s="2471"/>
      <c r="AE32" s="2471"/>
      <c r="AF32" s="2471"/>
      <c r="AG32" s="2471"/>
      <c r="AH32" s="2471"/>
      <c r="AI32" s="2472"/>
      <c r="AJ32" s="1940"/>
    </row>
    <row customHeight="1" ht="11.25">
      <c r="D33" s="2460"/>
      <c r="E33" s="2462"/>
      <c r="F33" s="2462"/>
      <c r="G33" s="2466"/>
      <c r="H33" s="1967"/>
      <c r="I33" s="2468"/>
      <c r="J33" s="2428"/>
      <c r="K33" s="1949"/>
      <c r="L33" s="2411"/>
      <c r="M33" s="2411"/>
      <c r="N33" s="1961"/>
      <c r="O33" s="1961"/>
      <c r="P33" s="2471"/>
      <c r="Q33" s="2471"/>
      <c r="R33" s="2471"/>
      <c r="S33" s="2471"/>
      <c r="T33" s="2471"/>
      <c r="U33" s="2471"/>
      <c r="V33" s="2471"/>
      <c r="W33" s="2471"/>
      <c r="X33" s="2471"/>
      <c r="Y33" s="2471"/>
      <c r="Z33" s="2471"/>
      <c r="AA33" s="2471"/>
      <c r="AB33" s="2471"/>
      <c r="AC33" s="2471"/>
      <c r="AD33" s="2471"/>
      <c r="AE33" s="2471"/>
      <c r="AF33" s="2471"/>
      <c r="AG33" s="2471"/>
      <c r="AH33" s="2471"/>
      <c r="AI33" s="2472"/>
      <c r="AJ33" s="1940"/>
    </row>
    <row s="18776" customFormat="1" customHeight="1" ht="11.25">
      <c r="D34" s="2461"/>
      <c r="E34" s="2463"/>
      <c r="F34" s="2464"/>
      <c r="G34" s="2407"/>
      <c r="H34" s="1964"/>
      <c r="I34" s="1968"/>
      <c r="J34" s="2469"/>
      <c r="K34" s="2469"/>
      <c r="L34" s="2469"/>
      <c r="M34" s="2469"/>
      <c r="N34" s="2469"/>
      <c r="O34" s="2469"/>
      <c r="P34" s="2469"/>
      <c r="Q34" s="2469"/>
      <c r="R34" s="2469"/>
      <c r="S34" s="2469"/>
      <c r="T34" s="2469"/>
      <c r="U34" s="2469"/>
      <c r="V34" s="2469"/>
      <c r="W34" s="2469"/>
      <c r="X34" s="2469"/>
      <c r="Y34" s="2469"/>
      <c r="Z34" s="2469"/>
      <c r="AA34" s="2469"/>
      <c r="AB34" s="2469"/>
      <c r="AC34" s="2469"/>
      <c r="AD34" s="2469"/>
      <c r="AE34" s="2469"/>
      <c r="AF34" s="2469"/>
      <c r="AG34" s="2469"/>
      <c r="AH34" s="2469"/>
      <c r="AI34" s="2470"/>
      <c r="AJ34" s="1940"/>
      <c r="AK34" s="667"/>
      <c r="AL34" s="1940"/>
      <c r="AM34" s="1940"/>
      <c r="AN34" s="1940"/>
      <c r="AO34" s="1940"/>
      <c r="AP34" s="1940"/>
      <c r="AQ34" s="1940"/>
      <c r="AR34" s="1940"/>
      <c r="AS34" s="1940"/>
      <c r="AT34" s="1940"/>
      <c r="AU34" s="1940"/>
      <c r="AV34" s="1940"/>
      <c r="AW34" s="1940"/>
      <c r="AX34" s="1940"/>
      <c r="AY34" s="1940"/>
      <c r="AZ34" s="1940"/>
      <c r="BA34" s="1940"/>
      <c r="BB34" s="1940"/>
      <c r="BC34" s="1940"/>
      <c r="BD34" s="1940"/>
      <c r="BE34" s="1940"/>
      <c r="BF34" s="1940"/>
      <c r="BG34" s="1940"/>
      <c r="BH34" s="1940"/>
      <c r="BI34" s="1940"/>
      <c r="BJ34" s="1940"/>
      <c r="BK34" s="1940"/>
      <c r="BL34" s="1940"/>
    </row>
    <row customHeight="1" ht="14.25">
      <c r="D35" s="2460" t="s">
        <v>108</v>
      </c>
      <c r="E35" s="2462" t="s">
        <v>293</v>
      </c>
      <c r="F35" s="2462" t="s">
        <v>298</v>
      </c>
      <c r="G35" s="2465" t="s">
        <v>54</v>
      </c>
      <c r="H35" s="1965"/>
      <c r="I35" s="2467"/>
      <c r="J35" s="2427"/>
      <c r="K35" s="1880"/>
      <c r="L35" s="2410"/>
      <c r="M35" s="2410"/>
      <c r="N35" s="1950"/>
      <c r="O35" s="2410"/>
      <c r="P35" s="2427"/>
      <c r="Q35" s="1951"/>
      <c r="R35" s="2410"/>
      <c r="S35" s="2410"/>
      <c r="T35" s="1952"/>
      <c r="U35" s="2410"/>
      <c r="V35" s="2427"/>
      <c r="W35" s="1953"/>
      <c r="X35" s="2410"/>
      <c r="Y35" s="2410"/>
      <c r="Z35" s="1950"/>
      <c r="AA35" s="2410"/>
      <c r="AB35" s="2427"/>
      <c r="AC35" s="1954"/>
      <c r="AD35" s="2410"/>
      <c r="AE35" s="2410"/>
      <c r="AF35" s="1879"/>
      <c r="AG35" s="1879"/>
      <c r="AH35" s="1955"/>
      <c r="AI35" s="1662"/>
      <c r="AJ35" s="1940"/>
    </row>
    <row customHeight="1" ht="14.25">
      <c r="D36" s="2460"/>
      <c r="E36" s="2462"/>
      <c r="F36" s="2462"/>
      <c r="G36" s="2466"/>
      <c r="H36" s="1966"/>
      <c r="I36" s="2468"/>
      <c r="J36" s="2428"/>
      <c r="K36" s="1949"/>
      <c r="L36" s="2411"/>
      <c r="M36" s="2411"/>
      <c r="N36" s="1956"/>
      <c r="O36" s="2411"/>
      <c r="P36" s="2428"/>
      <c r="Q36" s="1957"/>
      <c r="R36" s="2411"/>
      <c r="S36" s="2411"/>
      <c r="T36" s="1958"/>
      <c r="U36" s="2411"/>
      <c r="V36" s="2428"/>
      <c r="W36" s="1959"/>
      <c r="X36" s="2411"/>
      <c r="Y36" s="2411"/>
      <c r="Z36" s="1956"/>
      <c r="AA36" s="2411"/>
      <c r="AB36" s="2428"/>
      <c r="AC36" s="1960"/>
      <c r="AD36" s="2411"/>
      <c r="AE36" s="2411"/>
      <c r="AF36" s="1961"/>
      <c r="AG36" s="1961"/>
      <c r="AH36" s="2471"/>
      <c r="AI36" s="2472"/>
      <c r="AJ36" s="1940"/>
    </row>
    <row customHeight="1" ht="14.25">
      <c r="D37" s="2460"/>
      <c r="E37" s="2462"/>
      <c r="F37" s="2462"/>
      <c r="G37" s="2466"/>
      <c r="H37" s="1966"/>
      <c r="I37" s="2468"/>
      <c r="J37" s="2428"/>
      <c r="K37" s="1949"/>
      <c r="L37" s="2411"/>
      <c r="M37" s="2411"/>
      <c r="N37" s="1956"/>
      <c r="O37" s="2411"/>
      <c r="P37" s="2428"/>
      <c r="Q37" s="1957"/>
      <c r="R37" s="2411"/>
      <c r="S37" s="2411"/>
      <c r="T37" s="1958"/>
      <c r="U37" s="2411"/>
      <c r="V37" s="2428"/>
      <c r="W37" s="1959"/>
      <c r="X37" s="2411"/>
      <c r="Y37" s="2411"/>
      <c r="Z37" s="1878"/>
      <c r="AA37" s="1961"/>
      <c r="AB37" s="2471"/>
      <c r="AC37" s="2471"/>
      <c r="AD37" s="2471"/>
      <c r="AE37" s="2471"/>
      <c r="AF37" s="2471"/>
      <c r="AG37" s="2471"/>
      <c r="AH37" s="2471"/>
      <c r="AI37" s="2472"/>
      <c r="AJ37" s="1940"/>
    </row>
    <row customHeight="1" ht="14.25">
      <c r="D38" s="2460"/>
      <c r="E38" s="2462"/>
      <c r="F38" s="2462"/>
      <c r="G38" s="2466"/>
      <c r="H38" s="1966"/>
      <c r="I38" s="2468"/>
      <c r="J38" s="2428"/>
      <c r="K38" s="1949"/>
      <c r="L38" s="2411"/>
      <c r="M38" s="2411"/>
      <c r="N38" s="1956"/>
      <c r="O38" s="2411"/>
      <c r="P38" s="2428"/>
      <c r="Q38" s="1957"/>
      <c r="R38" s="2411"/>
      <c r="S38" s="2411"/>
      <c r="T38" s="1962"/>
      <c r="U38" s="1963"/>
      <c r="V38" s="2471"/>
      <c r="W38" s="2471"/>
      <c r="X38" s="2471"/>
      <c r="Y38" s="2471"/>
      <c r="Z38" s="2471"/>
      <c r="AA38" s="2471"/>
      <c r="AB38" s="2471"/>
      <c r="AC38" s="2471"/>
      <c r="AD38" s="2471"/>
      <c r="AE38" s="2471"/>
      <c r="AF38" s="2471"/>
      <c r="AG38" s="2471"/>
      <c r="AH38" s="2471"/>
      <c r="AI38" s="2472"/>
      <c r="AJ38" s="1940"/>
    </row>
    <row customHeight="1" ht="11.25">
      <c r="D39" s="2460"/>
      <c r="E39" s="2462"/>
      <c r="F39" s="2462"/>
      <c r="G39" s="2466"/>
      <c r="H39" s="1967"/>
      <c r="I39" s="2468"/>
      <c r="J39" s="2428"/>
      <c r="K39" s="1949"/>
      <c r="L39" s="2411"/>
      <c r="M39" s="2411"/>
      <c r="N39" s="1961"/>
      <c r="O39" s="1961"/>
      <c r="P39" s="2471"/>
      <c r="Q39" s="2471"/>
      <c r="R39" s="2471"/>
      <c r="S39" s="2471"/>
      <c r="T39" s="2471"/>
      <c r="U39" s="2471"/>
      <c r="V39" s="2471"/>
      <c r="W39" s="2471"/>
      <c r="X39" s="2471"/>
      <c r="Y39" s="2471"/>
      <c r="Z39" s="2471"/>
      <c r="AA39" s="2471"/>
      <c r="AB39" s="2471"/>
      <c r="AC39" s="2471"/>
      <c r="AD39" s="2471"/>
      <c r="AE39" s="2471"/>
      <c r="AF39" s="2471"/>
      <c r="AG39" s="2471"/>
      <c r="AH39" s="2471"/>
      <c r="AI39" s="2472"/>
      <c r="AJ39" s="1940"/>
    </row>
    <row s="18776" customFormat="1" customHeight="1" ht="11.25">
      <c r="D40" s="2460"/>
      <c r="E40" s="2462"/>
      <c r="F40" s="2473"/>
      <c r="G40" s="2407"/>
      <c r="H40" s="1964"/>
      <c r="I40" s="1968"/>
      <c r="J40" s="2469"/>
      <c r="K40" s="2469"/>
      <c r="L40" s="2469"/>
      <c r="M40" s="2469"/>
      <c r="N40" s="2469"/>
      <c r="O40" s="2469"/>
      <c r="P40" s="2469"/>
      <c r="Q40" s="2469"/>
      <c r="R40" s="2469"/>
      <c r="S40" s="2469"/>
      <c r="T40" s="2469"/>
      <c r="U40" s="2469"/>
      <c r="V40" s="2469"/>
      <c r="W40" s="2469"/>
      <c r="X40" s="2469"/>
      <c r="Y40" s="2469"/>
      <c r="Z40" s="2469"/>
      <c r="AA40" s="2469"/>
      <c r="AB40" s="2469"/>
      <c r="AC40" s="2469"/>
      <c r="AD40" s="2469"/>
      <c r="AE40" s="2469"/>
      <c r="AF40" s="2469"/>
      <c r="AG40" s="2469"/>
      <c r="AH40" s="2469"/>
      <c r="AI40" s="2470"/>
      <c r="AJ40" s="1940"/>
      <c r="AK40" s="667"/>
      <c r="AL40" s="1940"/>
      <c r="AM40" s="1940"/>
      <c r="AN40" s="1940"/>
      <c r="AO40" s="1940"/>
      <c r="AP40" s="1940"/>
      <c r="AQ40" s="1940"/>
      <c r="AR40" s="1940"/>
      <c r="AS40" s="1940"/>
      <c r="AT40" s="1940"/>
      <c r="AU40" s="1940"/>
      <c r="AV40" s="1940"/>
      <c r="AW40" s="1940"/>
      <c r="AX40" s="1940"/>
      <c r="AY40" s="1940"/>
      <c r="AZ40" s="1940"/>
      <c r="BA40" s="1940"/>
      <c r="BB40" s="1940"/>
      <c r="BC40" s="1940"/>
      <c r="BD40" s="1940"/>
      <c r="BE40" s="1940"/>
      <c r="BF40" s="1940"/>
      <c r="BG40" s="1940"/>
      <c r="BH40" s="1940"/>
      <c r="BI40" s="1940"/>
      <c r="BJ40" s="1940"/>
      <c r="BK40" s="1940"/>
      <c r="BL40" s="1940"/>
    </row>
    <row customHeight="1" ht="11.25">
      <c r="AK41" s="784"/>
    </row>
    <row customHeight="1" ht="11.25">
      <c r="AK42" s="784"/>
    </row>
    <row customHeight="1" ht="11.25">
      <c r="AK43" s="784"/>
    </row>
    <row customHeight="1" ht="11.25">
      <c r="AK44" s="784"/>
    </row>
    <row customHeight="1" ht="11.25">
      <c r="AK45" s="784"/>
    </row>
    <row customHeight="1" ht="11.25">
      <c r="AK46" s="784"/>
    </row>
    <row customHeight="1" ht="11.25">
      <c r="AK47" s="784"/>
    </row>
    <row customHeight="1" ht="11.25">
      <c r="AK48" s="784"/>
    </row>
    <row customHeight="1" ht="11.25">
      <c r="AK49" s="784"/>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FCE5E1-4A33-7FE7-CC13-27C2D846BF7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20911" width="43.140625"/>
    <col min="2" max="2" style="20911" width="43.140625" hidden="1"/>
    <col min="3" max="3" style="20911" width="43.140625"/>
    <col min="4" max="5" style="20911" width="36.421875" customWidth="1"/>
    <col min="6" max="8" style="20912" width="36.421875" customWidth="1"/>
  </cols>
  <sheetData>
    <row customHeight="1" ht="9">
      <c r="A1" s="1207" t="s">
        <v>1870</v>
      </c>
      <c r="B1" s="1207"/>
      <c r="C1" s="1344" t="s">
        <v>1871</v>
      </c>
      <c r="D1" s="1342" t="s">
        <v>722</v>
      </c>
      <c r="E1" s="1342" t="s">
        <v>768</v>
      </c>
      <c r="F1" s="1342" t="s">
        <v>823</v>
      </c>
      <c r="G1" s="1342" t="s">
        <v>809</v>
      </c>
      <c r="H1" s="1342" t="s">
        <v>1545</v>
      </c>
    </row>
    <row customHeight="1" ht="9">
      <c r="A2" s="1345" t="s">
        <v>1872</v>
      </c>
      <c r="B2" s="1345"/>
      <c r="C2" s="1346" t="str">
        <f>INDEX(TEMPLATE_NUMBER_FORM_LIST,MATCH(TEMPLATE_SPHERE,TEMPLATE_SPHERE_LIST,0))</f>
        <v>10</v>
      </c>
      <c r="D2" s="1345" t="s">
        <v>1396</v>
      </c>
      <c r="E2" s="1345" t="s">
        <v>146</v>
      </c>
      <c r="F2" s="1347" t="s">
        <v>146</v>
      </c>
      <c r="G2" s="1345" t="s">
        <v>146</v>
      </c>
      <c r="H2" s="1348"/>
    </row>
    <row customHeight="1" ht="63">
      <c r="A3" s="1207"/>
      <c r="B3" s="1207" t="s">
        <v>106</v>
      </c>
      <c r="C3" s="1346"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1346" t="s">
        <v>1873</v>
      </c>
      <c r="E3" s="134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1347"/>
      <c r="G3" s="1348"/>
      <c r="H3" s="1207"/>
    </row>
    <row customHeight="1" ht="243">
      <c r="A4" s="1207" t="s">
        <v>1874</v>
      </c>
      <c r="B4" s="1207" t="s">
        <v>107</v>
      </c>
      <c r="C4" s="1346" t="str">
        <f>IF(TEMPLATE_SPHERE="HEAT",D4,IF(TEMPLATE_SPHERE="TKO",H4,E4))</f>
        <v>Форма 1. Информация об организации, осуществляющей горячее водоснабжение (общая информация)</v>
      </c>
      <c r="D4" s="1345" t="s">
        <v>1875</v>
      </c>
      <c r="E4" s="1346"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1345"/>
      <c r="G4" s="1345"/>
      <c r="H4" s="1207" t="s">
        <v>1876</v>
      </c>
    </row>
    <row customHeight="1" ht="117">
      <c r="A5" s="1207" t="s">
        <v>1877</v>
      </c>
      <c r="B5" s="1207" t="s">
        <v>87</v>
      </c>
      <c r="C5" s="1346"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1207" t="s">
        <v>1878</v>
      </c>
      <c r="E5" s="121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1348"/>
      <c r="G5" s="1348"/>
      <c r="H5" s="1207" t="s">
        <v>1879</v>
      </c>
    </row>
    <row customHeight="1" ht="45">
      <c r="A6" s="1207" t="s">
        <v>1880</v>
      </c>
      <c r="B6" s="1207" t="s">
        <v>88</v>
      </c>
      <c r="C6" s="1346"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1207" t="s">
        <v>1881</v>
      </c>
      <c r="E6" s="121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1207"/>
      <c r="G6" s="1207"/>
      <c r="H6" s="1348"/>
    </row>
    <row customHeight="1" ht="45">
      <c r="A7" s="1207" t="s">
        <v>1882</v>
      </c>
      <c r="B7" s="1207" t="s">
        <v>108</v>
      </c>
      <c r="C7" s="1346"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1207" t="s">
        <v>1883</v>
      </c>
      <c r="E7" s="1207" t="s">
        <v>1884</v>
      </c>
      <c r="F7" s="1348"/>
      <c r="G7" s="1348"/>
      <c r="H7" s="1348"/>
    </row>
    <row customHeight="1" ht="108">
      <c r="A8" s="1207" t="s">
        <v>1885</v>
      </c>
      <c r="B8" s="1207" t="s">
        <v>89</v>
      </c>
      <c r="C8" s="1346"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1207" t="s">
        <v>1084</v>
      </c>
      <c r="E8" s="1207" t="s">
        <v>1886</v>
      </c>
      <c r="F8" s="1348"/>
      <c r="G8" s="1348"/>
      <c r="H8" s="1348"/>
    </row>
    <row customHeight="1" ht="99">
      <c r="A9" s="1207" t="s">
        <v>1887</v>
      </c>
      <c r="B9" s="1207"/>
      <c r="C9" s="1207" t="s">
        <v>1888</v>
      </c>
      <c r="D9" s="1207"/>
      <c r="E9" s="1207"/>
      <c r="F9" s="1348"/>
      <c r="G9" s="1348"/>
      <c r="H9" s="1348"/>
    </row>
    <row customHeight="1" ht="126">
      <c r="A10" s="1207" t="s">
        <v>1889</v>
      </c>
      <c r="B10" s="1207"/>
      <c r="C10" s="1207" t="s">
        <v>1890</v>
      </c>
      <c r="D10" s="1207"/>
      <c r="E10" s="1207"/>
      <c r="F10" s="1348"/>
      <c r="G10" s="1348"/>
      <c r="H10" s="1348"/>
    </row>
    <row customHeight="1" ht="108">
      <c r="A11" s="1207" t="s">
        <v>1891</v>
      </c>
      <c r="B11" s="1207"/>
      <c r="C11" s="1207" t="s">
        <v>1892</v>
      </c>
      <c r="D11" s="1207"/>
      <c r="E11" s="1207"/>
      <c r="F11" s="1348"/>
      <c r="G11" s="1348"/>
      <c r="H11" s="1348"/>
    </row>
    <row customHeight="1" ht="54">
      <c r="A12" s="1207" t="s">
        <v>1893</v>
      </c>
      <c r="B12" s="1207"/>
      <c r="C12" s="1207" t="s">
        <v>1894</v>
      </c>
      <c r="D12" s="1207"/>
      <c r="E12" s="1207"/>
      <c r="F12" s="1348"/>
      <c r="G12" s="1348"/>
      <c r="H12" s="1348"/>
    </row>
    <row customHeight="1" ht="45">
      <c r="A13" s="1207" t="s">
        <v>1895</v>
      </c>
      <c r="B13" s="1207"/>
      <c r="C13" s="1207" t="s">
        <v>1896</v>
      </c>
      <c r="D13" s="1207"/>
      <c r="E13" s="1207"/>
      <c r="F13" s="1348"/>
      <c r="G13" s="1348"/>
      <c r="H13" s="1348"/>
    </row>
    <row customHeight="1" ht="117">
      <c r="A14" s="1207" t="s">
        <v>1897</v>
      </c>
      <c r="B14" s="1207"/>
      <c r="C14" s="1207" t="s">
        <v>1898</v>
      </c>
      <c r="D14" s="1207"/>
      <c r="E14" s="1207"/>
      <c r="F14" s="1348"/>
      <c r="G14" s="1348"/>
      <c r="H14" s="1348"/>
    </row>
    <row customHeight="1" ht="117">
      <c r="A15" s="1207" t="s">
        <v>1899</v>
      </c>
      <c r="B15" s="1207"/>
      <c r="C15" s="1207" t="s">
        <v>1900</v>
      </c>
      <c r="D15" s="1207"/>
      <c r="E15" s="1207"/>
      <c r="F15" s="1348"/>
      <c r="G15" s="1348"/>
      <c r="H15" s="1348"/>
    </row>
    <row customHeight="1" ht="63">
      <c r="A16" s="1207" t="s">
        <v>1901</v>
      </c>
      <c r="B16" s="1207"/>
      <c r="C16" s="1207" t="s">
        <v>1902</v>
      </c>
      <c r="D16" s="1207"/>
      <c r="E16" s="1207"/>
      <c r="F16" s="1348"/>
      <c r="G16" s="1348"/>
      <c r="H16" s="1348"/>
    </row>
    <row customHeight="1" ht="54">
      <c r="A17" s="1207" t="s">
        <v>1903</v>
      </c>
      <c r="B17" s="1207"/>
      <c r="C17" s="1346" t="s">
        <v>1904</v>
      </c>
      <c r="D17" s="1207"/>
      <c r="E17" s="1207"/>
      <c r="F17" s="1348"/>
      <c r="G17" s="1348"/>
      <c r="H17" s="1348"/>
    </row>
    <row customHeight="1" ht="27">
      <c r="A18" s="1207" t="s">
        <v>1905</v>
      </c>
      <c r="B18" s="1207"/>
      <c r="C18" s="1346" t="s">
        <v>1906</v>
      </c>
      <c r="D18" s="1207"/>
      <c r="E18" s="1207"/>
      <c r="F18" s="1348"/>
      <c r="G18" s="1348"/>
      <c r="H18" s="1348"/>
    </row>
    <row customHeight="1" ht="54">
      <c r="A19" s="1207" t="s">
        <v>1907</v>
      </c>
      <c r="B19" s="1207"/>
      <c r="C19" s="1346" t="s">
        <v>1908</v>
      </c>
      <c r="D19" s="1207"/>
      <c r="E19" s="1207"/>
      <c r="F19" s="1348"/>
      <c r="G19" s="1348"/>
      <c r="H19" s="1348"/>
    </row>
    <row customHeight="1" ht="36">
      <c r="A20" s="1207" t="s">
        <v>1909</v>
      </c>
      <c r="B20" s="1207"/>
      <c r="C20" s="1346" t="s">
        <v>1910</v>
      </c>
      <c r="D20" s="1207"/>
      <c r="E20" s="1207"/>
      <c r="F20" s="1348"/>
      <c r="G20" s="1348"/>
      <c r="H20" s="1348"/>
    </row>
    <row customHeight="1" ht="36">
      <c r="A21" s="1207" t="s">
        <v>1911</v>
      </c>
      <c r="B21" s="1207"/>
      <c r="C21" s="1346" t="s">
        <v>1912</v>
      </c>
      <c r="D21" s="1207"/>
      <c r="E21" s="1207"/>
      <c r="F21" s="1348"/>
      <c r="G21" s="1348"/>
      <c r="H21" s="1348"/>
    </row>
    <row customHeight="1" ht="27">
      <c r="A22" s="1207" t="s">
        <v>1913</v>
      </c>
      <c r="B22" s="1207"/>
      <c r="C22" s="1346" t="s">
        <v>1914</v>
      </c>
      <c r="D22" s="1207"/>
      <c r="E22" s="1207"/>
      <c r="F22" s="1348"/>
      <c r="G22" s="1348"/>
      <c r="H22" s="1348"/>
    </row>
    <row customHeight="1" ht="36">
      <c r="A23" s="1207" t="s">
        <v>1915</v>
      </c>
      <c r="B23" s="1207"/>
      <c r="C23" s="1346" t="s">
        <v>1916</v>
      </c>
      <c r="D23" s="1207"/>
      <c r="E23" s="1207"/>
      <c r="F23" s="1348"/>
      <c r="G23" s="1348"/>
      <c r="H23" s="1348"/>
    </row>
    <row customHeight="1" ht="28.5">
      <c r="A24" s="1207" t="s">
        <v>1917</v>
      </c>
      <c r="B24" s="1207"/>
      <c r="C24" s="1346" t="s">
        <v>1918</v>
      </c>
      <c r="D24" s="1207"/>
      <c r="E24" s="1207"/>
      <c r="F24" s="1348"/>
      <c r="G24" s="1348"/>
      <c r="H24" s="1348"/>
    </row>
    <row customHeight="1" ht="36">
      <c r="A25" s="1207" t="s">
        <v>1919</v>
      </c>
      <c r="B25" s="1207"/>
      <c r="C25" s="1346" t="s">
        <v>1920</v>
      </c>
      <c r="D25" s="1207"/>
      <c r="E25" s="1207"/>
      <c r="F25" s="1348"/>
      <c r="G25" s="1348"/>
      <c r="H25" s="1348"/>
    </row>
    <row customHeight="1" ht="27">
      <c r="A26" s="1207" t="s">
        <v>1921</v>
      </c>
      <c r="B26" s="1207"/>
      <c r="C26" s="1346" t="s">
        <v>1922</v>
      </c>
      <c r="D26" s="1207"/>
      <c r="E26" s="1207"/>
      <c r="F26" s="1348"/>
      <c r="G26" s="1348"/>
      <c r="H26" s="1348"/>
    </row>
    <row customHeight="1" ht="36">
      <c r="A27" s="1207" t="s">
        <v>1923</v>
      </c>
      <c r="B27" s="1207"/>
      <c r="C27" s="1346" t="s">
        <v>1924</v>
      </c>
      <c r="D27" s="1207"/>
      <c r="E27" s="1207"/>
      <c r="F27" s="1348"/>
      <c r="G27" s="1348"/>
      <c r="H27" s="1348"/>
    </row>
    <row customHeight="1" ht="28.5">
      <c r="A28" s="1207" t="s">
        <v>1925</v>
      </c>
      <c r="B28" s="1207"/>
      <c r="C28" s="1346" t="s">
        <v>1926</v>
      </c>
      <c r="D28" s="1207"/>
      <c r="E28" s="1207"/>
      <c r="F28" s="1348"/>
      <c r="G28" s="1348"/>
      <c r="H28" s="1348"/>
    </row>
    <row customHeight="1" ht="126">
      <c r="A29" s="1207" t="s">
        <v>1927</v>
      </c>
      <c r="B29" s="1207" t="s">
        <v>1497</v>
      </c>
      <c r="C29" s="1346"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1207" t="s">
        <v>1928</v>
      </c>
      <c r="E29" s="121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1348"/>
      <c r="G29" s="1348"/>
      <c r="H29" s="1207" t="s">
        <v>1929</v>
      </c>
    </row>
    <row customHeight="1" ht="36">
      <c r="A30" s="1207" t="s">
        <v>1930</v>
      </c>
      <c r="B30" s="1207"/>
      <c r="C30" s="1346"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1207" t="s">
        <v>1931</v>
      </c>
      <c r="E30" s="121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1348"/>
      <c r="G30" s="1348"/>
      <c r="H30" s="1348"/>
    </row>
    <row customHeight="1" ht="54">
      <c r="A31" s="1207" t="s">
        <v>1932</v>
      </c>
      <c r="B31" s="1207"/>
      <c r="C31" s="1346" t="str">
        <f>IF(TEMPLATE_SPHERE="HEAT",D31,IF(TEMPLATE_SPHERE="TKO",H31,E31))</f>
        <v>Форма 1. Информация об организации, осуществляющей горячее водоснабжение (общая информация)</v>
      </c>
      <c r="D31" s="1207" t="s">
        <v>1933</v>
      </c>
      <c r="E31" s="121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1348"/>
      <c r="G31" s="1348"/>
      <c r="H31" s="1348"/>
    </row>
    <row customHeight="1" ht="198">
      <c r="A32" s="1207" t="s">
        <v>1934</v>
      </c>
      <c r="B32" s="1207"/>
      <c r="C32" s="1346" t="str">
        <f>IF(TEMPLATE_SPHERE="HEAT",D32,IF(TEMPLATE_SPHERE="TKO",H32,E32))</f>
        <v>Форма 7. Информация об инвестиционных программах организации горячего водоснабжения и отчетах об их исполнении</v>
      </c>
      <c r="D32" s="1207" t="s">
        <v>1935</v>
      </c>
      <c r="E32" s="121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1348"/>
      <c r="G32" s="1348"/>
      <c r="H32" s="1207" t="s">
        <v>1936</v>
      </c>
    </row>
    <row customHeight="1" ht="9">
      <c r="A33" s="1207"/>
      <c r="B33" s="1207"/>
      <c r="C33" s="1346"/>
      <c r="D33" s="1207"/>
      <c r="E33" s="1207"/>
      <c r="F33" s="1348"/>
      <c r="G33" s="1348"/>
      <c r="H33" s="1348"/>
    </row>
    <row customHeight="1" ht="9">
      <c r="A34" s="1207"/>
      <c r="B34" s="1207" t="s">
        <v>1433</v>
      </c>
      <c r="C34" s="1346">
        <f>INDEX(TEMPLATE_NAME_FORM_LIST,B34,MATCH(TEMPLATE_SPHERE,TEMPLATE_SPHERE_LIST,0))</f>
        <v>0</v>
      </c>
      <c r="D34" s="1207"/>
      <c r="E34" s="1207"/>
      <c r="F34" s="1348"/>
      <c r="G34" s="1348"/>
      <c r="H34" s="134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EB1B6C9-7717-FB46-537E-55A35B523F12}"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20911" width="9.140625"/>
    <col min="3" max="7" style="20955" width="8.00390625" customWidth="1"/>
    <col min="8" max="12" style="20955" width="8.57421875" customWidth="1"/>
    <col min="13" max="14" style="20955" width="27.7109375" customWidth="1"/>
    <col min="15" max="19" style="20955" width="5.140625" customWidth="1"/>
    <col min="20" max="24" style="20955" width="27.7109375" customWidth="1"/>
    <col min="25" max="25" style="20956" width="1.8515625" customWidth="1"/>
    <col min="26" max="26" style="20911" width="27.7109375" customWidth="1"/>
    <col min="27" max="27" style="20957" width="27.7109375" customWidth="1"/>
    <col min="28" max="29" style="20911" width="27.7109375" customWidth="1"/>
    <col min="30" max="30" style="20911" width="3.8515625" customWidth="1"/>
    <col min="31" max="34" style="20911" width="9.140625"/>
  </cols>
  <sheetData>
    <row s="20913" customFormat="1" customHeight="1" ht="18">
      <c r="A1" s="1259"/>
      <c r="B1" s="1259"/>
      <c r="C1" s="1259" t="s">
        <v>1937</v>
      </c>
      <c r="D1" s="1259"/>
      <c r="E1" s="1259"/>
      <c r="F1" s="1259"/>
      <c r="G1" s="1259"/>
      <c r="H1" s="1259" t="s">
        <v>1938</v>
      </c>
      <c r="I1" s="1259"/>
      <c r="J1" s="1259"/>
      <c r="K1" s="1259"/>
      <c r="L1" s="1259"/>
      <c r="M1" s="1259" t="s">
        <v>1939</v>
      </c>
      <c r="N1" s="1259" t="s">
        <v>1940</v>
      </c>
      <c r="O1" s="2848" t="s">
        <v>1941</v>
      </c>
      <c r="P1" s="2848"/>
      <c r="Q1" s="2848"/>
      <c r="R1" s="2848"/>
      <c r="S1" s="2848"/>
      <c r="T1" s="2848" t="s">
        <v>1939</v>
      </c>
      <c r="U1" s="2848"/>
      <c r="V1" s="2848"/>
      <c r="W1" s="2848"/>
      <c r="X1" s="2848"/>
      <c r="Y1" s="1361"/>
      <c r="Z1" s="2848" t="s">
        <v>1942</v>
      </c>
      <c r="AA1" s="2848"/>
      <c r="AB1" s="2848"/>
      <c r="AC1" s="2848"/>
      <c r="AD1" s="2848"/>
    </row>
    <row customHeight="1" ht="18">
      <c r="A2" s="1207"/>
      <c r="B2" s="1207"/>
      <c r="C2" s="1202" t="s">
        <v>722</v>
      </c>
      <c r="D2" s="1202" t="s">
        <v>768</v>
      </c>
      <c r="E2" s="1202" t="s">
        <v>823</v>
      </c>
      <c r="F2" s="1202" t="s">
        <v>809</v>
      </c>
      <c r="G2" s="1202" t="s">
        <v>1545</v>
      </c>
      <c r="H2" s="1204"/>
      <c r="I2" s="1204"/>
      <c r="J2" s="1204"/>
      <c r="K2" s="1204"/>
      <c r="L2" s="1204"/>
      <c r="M2" s="1204"/>
      <c r="N2" s="1204"/>
      <c r="O2" s="1202" t="s">
        <v>722</v>
      </c>
      <c r="P2" s="1202" t="s">
        <v>768</v>
      </c>
      <c r="Q2" s="1202" t="s">
        <v>809</v>
      </c>
      <c r="R2" s="1202" t="s">
        <v>823</v>
      </c>
      <c r="S2" s="1202" t="s">
        <v>1545</v>
      </c>
      <c r="T2" s="1202" t="s">
        <v>722</v>
      </c>
      <c r="U2" s="1202" t="s">
        <v>768</v>
      </c>
      <c r="V2" s="1202" t="s">
        <v>809</v>
      </c>
      <c r="W2" s="1202" t="s">
        <v>823</v>
      </c>
      <c r="X2" s="1202" t="s">
        <v>1545</v>
      </c>
      <c r="Y2" s="1202"/>
      <c r="Z2" s="1202" t="s">
        <v>722</v>
      </c>
      <c r="AA2" s="1211" t="s">
        <v>768</v>
      </c>
      <c r="AB2" s="1202" t="s">
        <v>809</v>
      </c>
      <c r="AC2" s="1202" t="s">
        <v>823</v>
      </c>
      <c r="AD2" s="1202" t="s">
        <v>1545</v>
      </c>
    </row>
    <row customHeight="1" ht="162">
      <c r="A3" s="1206" t="s">
        <v>22</v>
      </c>
      <c r="B3" s="1206"/>
      <c r="C3" s="2852" t="s">
        <v>1943</v>
      </c>
      <c r="D3" s="2853"/>
      <c r="E3" s="2853"/>
      <c r="F3" s="2854"/>
      <c r="G3" s="1204"/>
      <c r="H3" s="1204"/>
      <c r="I3" s="1204"/>
      <c r="J3" s="1204"/>
      <c r="K3" s="1204"/>
      <c r="L3" s="1204"/>
      <c r="M3" s="1204"/>
      <c r="N3" s="1205"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1204"/>
      <c r="P3" s="1204"/>
      <c r="Q3" s="1204"/>
      <c r="R3" s="1204"/>
      <c r="S3" s="1204"/>
      <c r="T3" s="1204"/>
      <c r="U3" s="1204"/>
      <c r="V3" s="1204"/>
      <c r="W3" s="1204"/>
      <c r="X3" s="1204"/>
      <c r="Y3" s="1362"/>
      <c r="Z3" s="1207" t="s">
        <v>1944</v>
      </c>
      <c r="AA3" s="1204" t="s">
        <v>1945</v>
      </c>
      <c r="AB3" s="1207" t="s">
        <v>1946</v>
      </c>
      <c r="AC3" s="1207" t="s">
        <v>1947</v>
      </c>
      <c r="AD3" s="1207"/>
      <c r="AG3" s="1207"/>
      <c r="AH3" s="1207"/>
    </row>
    <row customHeight="1" ht="9">
      <c r="A4" s="1206"/>
      <c r="B4" s="1206"/>
      <c r="C4" s="1204"/>
      <c r="D4" s="1204"/>
      <c r="E4" s="1204"/>
      <c r="F4" s="1204"/>
      <c r="G4" s="1204"/>
      <c r="H4" s="1204"/>
      <c r="I4" s="1204"/>
      <c r="J4" s="1204"/>
      <c r="K4" s="1204"/>
      <c r="L4" s="1204"/>
      <c r="M4" s="1204"/>
      <c r="N4" s="1204"/>
      <c r="O4" s="1204"/>
      <c r="P4" s="1204"/>
      <c r="Q4" s="1204"/>
      <c r="R4" s="1204"/>
      <c r="S4" s="1204"/>
      <c r="T4" s="1204"/>
      <c r="U4" s="1204"/>
      <c r="V4" s="1204"/>
      <c r="W4" s="1204"/>
      <c r="X4" s="1204"/>
      <c r="Y4" s="1362"/>
      <c r="Z4" s="1207"/>
      <c r="AA4" s="1210"/>
      <c r="AB4" s="1207"/>
      <c r="AC4" s="1207"/>
      <c r="AD4" s="1207"/>
    </row>
    <row customHeight="1" ht="9">
      <c r="A5" s="1206"/>
      <c r="B5" s="1206"/>
      <c r="C5" s="1204"/>
      <c r="D5" s="1204"/>
      <c r="E5" s="1204"/>
      <c r="F5" s="1204"/>
      <c r="G5" s="1204"/>
      <c r="H5" s="1204"/>
      <c r="I5" s="1204"/>
      <c r="J5" s="1204"/>
      <c r="K5" s="1204"/>
      <c r="L5" s="1204"/>
      <c r="M5" s="1204"/>
      <c r="N5" s="1204"/>
      <c r="O5" s="1204"/>
      <c r="P5" s="1204"/>
      <c r="Q5" s="1204"/>
      <c r="R5" s="1204"/>
      <c r="S5" s="1204"/>
      <c r="T5" s="1204"/>
      <c r="U5" s="1204"/>
      <c r="V5" s="1204"/>
      <c r="W5" s="1204"/>
      <c r="X5" s="1204"/>
      <c r="Y5" s="1362"/>
      <c r="Z5" s="1207"/>
      <c r="AA5" s="1210"/>
      <c r="AB5" s="1207"/>
      <c r="AC5" s="1207"/>
      <c r="AD5" s="1207"/>
    </row>
    <row customHeight="1" ht="9">
      <c r="A6" s="1206"/>
      <c r="B6" s="1206"/>
      <c r="C6" s="1204"/>
      <c r="D6" s="1204"/>
      <c r="E6" s="1204"/>
      <c r="F6" s="1204"/>
      <c r="G6" s="1204"/>
      <c r="H6" s="1204"/>
      <c r="I6" s="1204"/>
      <c r="J6" s="1204"/>
      <c r="K6" s="1204"/>
      <c r="L6" s="1204"/>
      <c r="M6" s="1204"/>
      <c r="N6" s="1204"/>
      <c r="O6" s="1204"/>
      <c r="P6" s="1204"/>
      <c r="Q6" s="1204"/>
      <c r="R6" s="1204"/>
      <c r="S6" s="1204"/>
      <c r="T6" s="1204"/>
      <c r="U6" s="1204"/>
      <c r="V6" s="1204"/>
      <c r="W6" s="1204"/>
      <c r="X6" s="1204"/>
      <c r="Y6" s="1362"/>
      <c r="Z6" s="1207"/>
      <c r="AA6" s="1210"/>
      <c r="AB6" s="1207"/>
      <c r="AC6" s="1207"/>
      <c r="AD6" s="1207"/>
    </row>
    <row customHeight="1" ht="9">
      <c r="A7" s="1206"/>
      <c r="B7" s="1206"/>
      <c r="C7" s="1204"/>
      <c r="D7" s="1204"/>
      <c r="E7" s="1204"/>
      <c r="F7" s="1204"/>
      <c r="G7" s="1204"/>
      <c r="H7" s="1204"/>
      <c r="I7" s="1204"/>
      <c r="J7" s="1204"/>
      <c r="K7" s="1204"/>
      <c r="L7" s="1204"/>
      <c r="M7" s="1204"/>
      <c r="N7" s="1204"/>
      <c r="O7" s="1204"/>
      <c r="P7" s="1204"/>
      <c r="Q7" s="1204"/>
      <c r="R7" s="1204"/>
      <c r="S7" s="1204"/>
      <c r="T7" s="1204"/>
      <c r="U7" s="1204"/>
      <c r="V7" s="1204"/>
      <c r="W7" s="1204"/>
      <c r="X7" s="1204"/>
      <c r="Y7" s="1362"/>
      <c r="Z7" s="1207"/>
      <c r="AA7" s="1210"/>
      <c r="AB7" s="1207"/>
      <c r="AC7" s="1207"/>
      <c r="AD7" s="1207"/>
    </row>
    <row customHeight="1" ht="9">
      <c r="A8" s="1206"/>
      <c r="B8" s="1206"/>
      <c r="C8" s="1204"/>
      <c r="D8" s="1204"/>
      <c r="E8" s="1204"/>
      <c r="F8" s="1204"/>
      <c r="G8" s="1204"/>
      <c r="H8" s="1204"/>
      <c r="I8" s="1204"/>
      <c r="J8" s="1204"/>
      <c r="K8" s="1204"/>
      <c r="L8" s="1204"/>
      <c r="M8" s="1204"/>
      <c r="N8" s="1204"/>
      <c r="O8" s="1204"/>
      <c r="P8" s="1204"/>
      <c r="Q8" s="1204"/>
      <c r="R8" s="1204"/>
      <c r="S8" s="1204"/>
      <c r="T8" s="1204"/>
      <c r="U8" s="1204"/>
      <c r="V8" s="1204"/>
      <c r="W8" s="1204"/>
      <c r="X8" s="1204"/>
      <c r="Y8" s="1362"/>
      <c r="Z8" s="1207"/>
      <c r="AA8" s="1210"/>
      <c r="AB8" s="1207"/>
      <c r="AC8" s="1207"/>
      <c r="AD8" s="1207"/>
    </row>
    <row customHeight="1" ht="9">
      <c r="A9" s="1206"/>
      <c r="B9" s="1206"/>
      <c r="C9" s="1204"/>
      <c r="D9" s="1204"/>
      <c r="E9" s="1204"/>
      <c r="F9" s="1204"/>
      <c r="G9" s="1204"/>
      <c r="H9" s="1204"/>
      <c r="I9" s="1204"/>
      <c r="J9" s="1204"/>
      <c r="K9" s="1204"/>
      <c r="L9" s="1204"/>
      <c r="M9" s="1204"/>
      <c r="N9" s="1204"/>
      <c r="O9" s="1204"/>
      <c r="P9" s="1204"/>
      <c r="Q9" s="1204"/>
      <c r="R9" s="1204"/>
      <c r="S9" s="1204"/>
      <c r="T9" s="1204"/>
      <c r="U9" s="1204"/>
      <c r="V9" s="1204"/>
      <c r="W9" s="1204"/>
      <c r="X9" s="1204"/>
      <c r="Y9" s="1362"/>
      <c r="Z9" s="1207"/>
      <c r="AA9" s="1210"/>
      <c r="AB9" s="1207"/>
      <c r="AC9" s="1207"/>
      <c r="AD9" s="1207"/>
    </row>
    <row customHeight="1" ht="9">
      <c r="A10" s="1260"/>
      <c r="B10" s="1260"/>
      <c r="C10" s="1260"/>
      <c r="D10" s="1260"/>
      <c r="E10" s="1260"/>
      <c r="F10" s="1260"/>
      <c r="G10" s="1260"/>
      <c r="H10" s="1260"/>
      <c r="I10" s="1260"/>
      <c r="J10" s="1260"/>
      <c r="K10" s="1260"/>
      <c r="L10" s="1260"/>
      <c r="M10" s="1260"/>
      <c r="N10" s="1260"/>
      <c r="O10" s="1260"/>
      <c r="P10" s="1260"/>
      <c r="Q10" s="1260"/>
      <c r="R10" s="1260"/>
      <c r="S10" s="1260"/>
      <c r="T10" s="1260"/>
      <c r="U10" s="1260"/>
      <c r="V10" s="1260"/>
      <c r="W10" s="1260"/>
      <c r="X10" s="1260"/>
      <c r="Y10" s="1260"/>
      <c r="Z10" s="1260"/>
      <c r="AA10" s="1260"/>
      <c r="AB10" s="1260"/>
      <c r="AC10" s="1260"/>
      <c r="AD10" s="1260"/>
    </row>
    <row customHeight="1" ht="45">
      <c r="A11" s="2849" t="s">
        <v>29</v>
      </c>
      <c r="B11" s="1260">
        <v>1</v>
      </c>
      <c r="C11" s="2855" t="s">
        <v>1484</v>
      </c>
      <c r="D11" s="2855" t="s">
        <v>1480</v>
      </c>
      <c r="E11" s="2855" t="s">
        <v>1578</v>
      </c>
      <c r="F11" s="2855" t="s">
        <v>1948</v>
      </c>
      <c r="G11" s="2855"/>
      <c r="H11" s="1259" t="s">
        <v>1949</v>
      </c>
      <c r="I11" s="1259"/>
      <c r="J11" s="1259"/>
      <c r="K11" s="1259"/>
      <c r="L11" s="1259"/>
      <c r="M11" s="1205" t="str">
        <f>IF(TEMPLATE_SPHERE="HEAT",T11,U11)</f>
        <v>Количество поданных заявлений </v>
      </c>
      <c r="N11" s="120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1204"/>
      <c r="P11" s="1204"/>
      <c r="Q11" s="1204"/>
      <c r="R11" s="1204"/>
      <c r="S11" s="1204"/>
      <c r="T11" s="1204" t="s">
        <v>1950</v>
      </c>
      <c r="U11" s="1204" t="s">
        <v>1951</v>
      </c>
      <c r="V11" s="1204"/>
      <c r="W11" s="1204"/>
      <c r="X11" s="1204"/>
      <c r="Y11" s="1362"/>
      <c r="Z11" s="1207" t="s">
        <v>1952</v>
      </c>
      <c r="AA11" s="121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1207"/>
      <c r="AC11" s="1207"/>
      <c r="AD11" s="1207"/>
    </row>
    <row customHeight="1" ht="45">
      <c r="A12" s="2849"/>
      <c r="B12" s="1260">
        <v>2</v>
      </c>
      <c r="C12" s="2856"/>
      <c r="D12" s="2856"/>
      <c r="E12" s="2856"/>
      <c r="F12" s="2856"/>
      <c r="G12" s="2856"/>
      <c r="H12" s="1259" t="s">
        <v>1953</v>
      </c>
      <c r="I12" s="1259"/>
      <c r="J12" s="1259"/>
      <c r="K12" s="1259"/>
      <c r="L12" s="1259"/>
      <c r="M12" s="1205" t="str">
        <f>IF(TEMPLATE_SPHERE="HEAT",T12,U12)</f>
        <v>Количество исполненных заявлений </v>
      </c>
      <c r="N12" s="120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1204"/>
      <c r="P12" s="1204"/>
      <c r="Q12" s="1204"/>
      <c r="R12" s="1204"/>
      <c r="S12" s="1204"/>
      <c r="T12" s="1204" t="s">
        <v>1954</v>
      </c>
      <c r="U12" s="1204" t="s">
        <v>1955</v>
      </c>
      <c r="V12" s="1204"/>
      <c r="W12" s="1204"/>
      <c r="X12" s="1204"/>
      <c r="Y12" s="1362"/>
      <c r="Z12" s="1207" t="s">
        <v>1956</v>
      </c>
      <c r="AA12" s="121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1207"/>
      <c r="AC12" s="1207"/>
      <c r="AD12" s="1207"/>
    </row>
    <row customHeight="1" ht="72">
      <c r="A13" s="2849"/>
      <c r="B13" s="1260">
        <v>3</v>
      </c>
      <c r="C13" s="2856"/>
      <c r="D13" s="2856"/>
      <c r="E13" s="2856"/>
      <c r="F13" s="2856"/>
      <c r="G13" s="2856"/>
      <c r="H13" s="2848" t="s">
        <v>1957</v>
      </c>
      <c r="I13" s="1259"/>
      <c r="J13" s="1259"/>
      <c r="K13" s="1259"/>
      <c r="L13" s="1259"/>
      <c r="M13" s="120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120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1204"/>
      <c r="P13" s="1205"/>
      <c r="Q13" s="1205"/>
      <c r="R13" s="1205"/>
      <c r="S13" s="1204"/>
      <c r="T13" s="1204" t="s">
        <v>1958</v>
      </c>
      <c r="U13" s="1205" t="s">
        <v>1959</v>
      </c>
      <c r="V13" s="1205"/>
      <c r="W13" s="1205"/>
      <c r="X13" s="1204"/>
      <c r="Y13" s="1362"/>
      <c r="Z13" s="1207" t="s">
        <v>1960</v>
      </c>
      <c r="AA13" s="121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1207"/>
      <c r="AC13" s="1207"/>
      <c r="AD13" s="1207"/>
    </row>
    <row customHeight="1" ht="45">
      <c r="A14" s="2849"/>
      <c r="B14" s="1260">
        <v>4</v>
      </c>
      <c r="C14" s="2856"/>
      <c r="D14" s="2856"/>
      <c r="E14" s="2856"/>
      <c r="F14" s="2856"/>
      <c r="G14" s="2856"/>
      <c r="H14" s="2848"/>
      <c r="I14" s="1262"/>
      <c r="J14" s="1262"/>
      <c r="K14" s="1262"/>
      <c r="L14" s="1262"/>
      <c r="M14" s="1208"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120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1204"/>
      <c r="P14" s="1205"/>
      <c r="Q14" s="1205"/>
      <c r="R14" s="1205"/>
      <c r="S14" s="1204"/>
      <c r="T14" s="1204" t="s">
        <v>1961</v>
      </c>
      <c r="U14" s="120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1205"/>
      <c r="W14" s="1205"/>
      <c r="X14" s="1204"/>
      <c r="Y14" s="1362"/>
      <c r="Z14" s="1207" t="s">
        <v>1962</v>
      </c>
      <c r="AA14" s="1210" t="s">
        <v>1962</v>
      </c>
      <c r="AB14" s="1207"/>
      <c r="AC14" s="1207"/>
      <c r="AD14" s="1207"/>
    </row>
    <row customHeight="1" ht="108">
      <c r="A15" s="2849"/>
      <c r="B15" s="1260">
        <v>5</v>
      </c>
      <c r="C15" s="2856"/>
      <c r="D15" s="2856"/>
      <c r="E15" s="2856"/>
      <c r="F15" s="2856"/>
      <c r="G15" s="2856"/>
      <c r="H15" s="2850" t="s">
        <v>1963</v>
      </c>
      <c r="I15" s="1261"/>
      <c r="J15" s="1261"/>
      <c r="K15" s="1261"/>
      <c r="L15" s="1261"/>
      <c r="M15" s="1210"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1209"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1204"/>
      <c r="P15" s="1205"/>
      <c r="Q15" s="1205"/>
      <c r="R15" s="1205"/>
      <c r="S15" s="1204"/>
      <c r="T15" s="1204" t="s">
        <v>1964</v>
      </c>
      <c r="U15" s="120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1205"/>
      <c r="W15" s="1205"/>
      <c r="X15" s="1204"/>
      <c r="Y15" s="1362"/>
      <c r="Z15" s="1207" t="s">
        <v>1965</v>
      </c>
      <c r="AA15" s="121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1207"/>
      <c r="AC15" s="1207"/>
      <c r="AD15" s="1207"/>
    </row>
    <row customHeight="1" ht="108">
      <c r="A16" s="1260"/>
      <c r="B16" s="1260">
        <v>6</v>
      </c>
      <c r="C16" s="2857"/>
      <c r="D16" s="2857"/>
      <c r="E16" s="2857"/>
      <c r="F16" s="2857"/>
      <c r="G16" s="2857"/>
      <c r="H16" s="2851"/>
      <c r="I16" s="1324"/>
      <c r="J16" s="1324"/>
      <c r="K16" s="1324"/>
      <c r="L16" s="1324"/>
      <c r="M16" s="1253"/>
      <c r="N16" s="1209"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1204"/>
      <c r="P16" s="1205"/>
      <c r="Q16" s="1205"/>
      <c r="R16" s="1205"/>
      <c r="S16" s="1204"/>
      <c r="T16" s="1204"/>
      <c r="U16" s="1205"/>
      <c r="V16" s="1205"/>
      <c r="W16" s="1205"/>
      <c r="X16" s="1204"/>
      <c r="Y16" s="1362"/>
      <c r="Z16" s="1207" t="s">
        <v>1965</v>
      </c>
      <c r="AA16" s="121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1207"/>
      <c r="AC16" s="1207"/>
      <c r="AD16" s="1207"/>
    </row>
    <row customHeight="1" ht="9">
      <c r="A17" s="1260"/>
      <c r="B17" s="1260"/>
      <c r="C17" s="1260">
        <v>22</v>
      </c>
      <c r="D17" s="1260">
        <v>21</v>
      </c>
      <c r="E17" s="1260">
        <v>42</v>
      </c>
      <c r="F17" s="1260">
        <v>63</v>
      </c>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row>
    <row customHeight="1" ht="27">
      <c r="A18" s="1206" t="s">
        <v>1581</v>
      </c>
      <c r="B18" s="1260">
        <v>1</v>
      </c>
      <c r="C18" s="1204" t="s">
        <v>1949</v>
      </c>
      <c r="D18" s="1329" t="s">
        <v>1949</v>
      </c>
      <c r="E18" s="1204" t="s">
        <v>1949</v>
      </c>
      <c r="F18" s="1204" t="s">
        <v>1949</v>
      </c>
      <c r="G18" s="1204"/>
      <c r="H18" s="1364"/>
      <c r="I18" s="1367">
        <f>INDEX(TEMPLATE_NUMBER_POINT_FHD,B18,MATCH(TEMPLATE_SPHERE,TEMPLATE_SPHERE_LIST_FOR_NOTE,0))</f>
        <v>1</v>
      </c>
      <c r="J18" s="1367" t="str">
        <f>INDEX(TEMPLATE_DATA_POINT_FHD,B18,MATCH(TEMPLATE_SPHERE,TEMPLATE_SPHERE_LIST_FOR_NOTE,0))</f>
        <v>Выручка от регулируемых видов деятельности в сфере горячего водоснабжения</v>
      </c>
      <c r="K18" s="1367" t="str">
        <f>INDEX(TEMPLATE_NOTE_POINT_FHD,B18,MATCH(TEMPLATE_SPHERE,TEMPLATE_SPHERE_LIST_FOR_NOTE,0))</f>
        <v>Указывается выручка с распределением по видам деятельности.</v>
      </c>
      <c r="L18" s="1205">
        <f>IF(I18=0,"",I18)</f>
        <v>1</v>
      </c>
      <c r="M18" s="1205" t="str">
        <f>IF(J18=0,"",J18)</f>
        <v>Выручка от регулируемых видов деятельности в сфере горячего водоснабжения</v>
      </c>
      <c r="N18" s="1205" t="str">
        <f>IF(K18=0,"",K18)</f>
        <v>Указывается выручка с распределением по видам деятельности.</v>
      </c>
      <c r="O18" s="1319">
        <v>1</v>
      </c>
      <c r="P18" s="1319">
        <v>1</v>
      </c>
      <c r="Q18" s="1319">
        <v>1</v>
      </c>
      <c r="R18" s="1319">
        <v>1</v>
      </c>
      <c r="S18" s="1319"/>
      <c r="T18" s="1326" t="s">
        <v>1966</v>
      </c>
      <c r="U18" s="1207" t="s">
        <v>1967</v>
      </c>
      <c r="V18" s="1207" t="s">
        <v>1968</v>
      </c>
      <c r="W18" s="1207" t="s">
        <v>1969</v>
      </c>
      <c r="X18" s="1204"/>
      <c r="Y18" s="1362"/>
      <c r="Z18" s="1207" t="s">
        <v>1970</v>
      </c>
      <c r="AA18" s="1210" t="s">
        <v>1971</v>
      </c>
      <c r="AB18" s="1210" t="s">
        <v>1971</v>
      </c>
      <c r="AC18" s="1210" t="s">
        <v>1971</v>
      </c>
      <c r="AD18" s="1207"/>
    </row>
    <row customHeight="1" ht="36">
      <c r="A19" s="1206"/>
      <c r="B19" s="1260">
        <v>2</v>
      </c>
      <c r="C19" s="1204" t="s">
        <v>1953</v>
      </c>
      <c r="D19" s="1329" t="s">
        <v>1953</v>
      </c>
      <c r="E19" s="1204" t="s">
        <v>1953</v>
      </c>
      <c r="F19" s="1204" t="s">
        <v>1953</v>
      </c>
      <c r="G19" s="1204"/>
      <c r="H19" s="1364"/>
      <c r="I19" s="1367">
        <f>INDEX(TEMPLATE_NUMBER_POINT_FHD,B19,MATCH(TEMPLATE_SPHERE,TEMPLATE_SPHERE_LIST_FOR_NOTE,0))</f>
        <v>2</v>
      </c>
      <c r="J19" s="1367"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367" t="str">
        <f>INDEX(TEMPLATE_NOTE_POINT_FHD,B19,MATCH(TEMPLATE_SPHERE,TEMPLATE_SPHERE_LIST_FOR_NOTE,0))</f>
        <v>Указывается суммарная себестоимость производимых товаров.</v>
      </c>
      <c r="L19" s="1205">
        <f>IF(I19=0,"",I19)</f>
        <v>2</v>
      </c>
      <c r="M19" s="1205" t="str">
        <f>IF(J19=0,"",J19)</f>
        <v>Себестоимость производимых товаров (оказываемых услуг) по регулируемым видам деятельности в сфере горячего водоснабжения, включая:</v>
      </c>
      <c r="N19" s="1205" t="str">
        <f>IF(K19=0,"",K19)</f>
        <v>Указывается суммарная себестоимость производимых товаров.</v>
      </c>
      <c r="O19" s="1319">
        <v>2</v>
      </c>
      <c r="P19" s="1319">
        <v>2</v>
      </c>
      <c r="Q19" s="1319">
        <v>2</v>
      </c>
      <c r="R19" s="1319">
        <v>2</v>
      </c>
      <c r="S19" s="1319"/>
      <c r="T19" s="1326" t="s">
        <v>1972</v>
      </c>
      <c r="U19" s="1207" t="s">
        <v>1973</v>
      </c>
      <c r="V19" s="1207" t="s">
        <v>1974</v>
      </c>
      <c r="W19" s="1207" t="s">
        <v>1975</v>
      </c>
      <c r="X19" s="1204"/>
      <c r="Y19" s="1362"/>
      <c r="Z19" s="1207" t="s">
        <v>1976</v>
      </c>
      <c r="AA19" s="1210" t="s">
        <v>1976</v>
      </c>
      <c r="AB19" s="1210" t="s">
        <v>1976</v>
      </c>
      <c r="AC19" s="1210" t="s">
        <v>1976</v>
      </c>
      <c r="AD19" s="1207"/>
    </row>
    <row customHeight="1" ht="27">
      <c r="A20" s="1206"/>
      <c r="B20" s="1260">
        <v>3</v>
      </c>
      <c r="C20" s="1204">
        <v>1</v>
      </c>
      <c r="D20" s="1329"/>
      <c r="E20" s="1204"/>
      <c r="F20" s="1204"/>
      <c r="G20" s="1204"/>
      <c r="H20" s="1364"/>
      <c r="I20" s="1367" t="str">
        <f>INDEX(TEMPLATE_NUMBER_POINT_FHD,B20,MATCH(TEMPLATE_SPHERE,TEMPLATE_SPHERE_LIST_FOR_NOTE,0))</f>
        <v>2.1</v>
      </c>
      <c r="J20" s="1367" t="str">
        <f>INDEX(TEMPLATE_DATA_POINT_FHD,B20,MATCH(TEMPLATE_SPHERE,TEMPLATE_SPHERE_LIST_FOR_NOTE,0))</f>
        <v>Расходы на приобретаемую тепловую энергию (мощность), используемую для горячего водоснабжения</v>
      </c>
      <c r="K20" s="1367">
        <f>INDEX(TEMPLATE_NOTE_POINT_FHD,B20,MATCH(TEMPLATE_SPHERE,TEMPLATE_SPHERE_LIST_FOR_NOTE,0))</f>
        <v>0</v>
      </c>
      <c r="L20" s="1205" t="str">
        <f>IF(I20=0,"",I20)</f>
        <v>2.1</v>
      </c>
      <c r="M20" s="1205" t="str">
        <f>IF(J20=0,"",J20)</f>
        <v>Расходы на приобретаемую тепловую энергию (мощность), используемую для горячего водоснабжения</v>
      </c>
      <c r="N20" s="1205" t="str">
        <f>IF(K20=0,"",K20)</f>
        <v/>
      </c>
      <c r="O20" s="1319" t="s">
        <v>622</v>
      </c>
      <c r="P20" s="1319" t="s">
        <v>622</v>
      </c>
      <c r="Q20" s="1319" t="s">
        <v>622</v>
      </c>
      <c r="R20" s="1319" t="s">
        <v>622</v>
      </c>
      <c r="S20" s="1319"/>
      <c r="T20" s="1326" t="s">
        <v>1977</v>
      </c>
      <c r="U20" s="1207" t="s">
        <v>1978</v>
      </c>
      <c r="V20" s="1207" t="s">
        <v>1979</v>
      </c>
      <c r="W20" s="1207" t="s">
        <v>1980</v>
      </c>
      <c r="X20" s="1204"/>
      <c r="Y20" s="1362"/>
      <c r="Z20" s="1207"/>
      <c r="AA20" s="1210"/>
      <c r="AB20" s="1207"/>
      <c r="AC20" s="1207"/>
      <c r="AD20" s="1207"/>
    </row>
    <row customHeight="1" ht="36">
      <c r="A21" s="1206"/>
      <c r="B21" s="1260">
        <v>4</v>
      </c>
      <c r="C21" s="1204">
        <v>2</v>
      </c>
      <c r="D21" s="1329"/>
      <c r="E21" s="1204"/>
      <c r="F21" s="1204"/>
      <c r="G21" s="1204"/>
      <c r="H21" s="1364"/>
      <c r="I21" s="1367">
        <f>INDEX(TEMPLATE_NUMBER_POINT_FHD,B21,MATCH(TEMPLATE_SPHERE,TEMPLATE_SPHERE_LIST_FOR_NOTE,0))</f>
        <v>0</v>
      </c>
      <c r="J21" s="1367">
        <f>INDEX(TEMPLATE_DATA_POINT_FHD,B21,MATCH(TEMPLATE_SPHERE,TEMPLATE_SPHERE_LIST_FOR_NOTE,0))</f>
        <v>0</v>
      </c>
      <c r="K21" s="1367">
        <f>INDEX(TEMPLATE_NOTE_POINT_FHD,B21,MATCH(TEMPLATE_SPHERE,TEMPLATE_SPHERE_LIST_FOR_NOTE,0))</f>
        <v>0</v>
      </c>
      <c r="L21" s="1205" t="str">
        <f>IF(I21=0,"",I21)</f>
        <v/>
      </c>
      <c r="M21" s="1205" t="str">
        <f>IF(J21=0,"",J21)</f>
        <v/>
      </c>
      <c r="N21" s="1205" t="str">
        <f>IF(K21=0,"",K21)</f>
        <v/>
      </c>
      <c r="O21" s="1319" t="s">
        <v>307</v>
      </c>
      <c r="P21" s="1319"/>
      <c r="Q21" s="1319"/>
      <c r="R21" s="1319"/>
      <c r="S21" s="1319"/>
      <c r="T21" s="1326" t="s">
        <v>1981</v>
      </c>
      <c r="U21" s="1207"/>
      <c r="V21" s="1207"/>
      <c r="W21" s="1207"/>
      <c r="X21" s="1204"/>
      <c r="Y21" s="1362"/>
      <c r="Z21" s="1207" t="s">
        <v>1982</v>
      </c>
      <c r="AA21" s="1210"/>
      <c r="AB21" s="1207"/>
      <c r="AC21" s="1207"/>
      <c r="AD21" s="1207"/>
    </row>
    <row customHeight="1" ht="36">
      <c r="A22" s="1206"/>
      <c r="B22" s="1260">
        <v>5</v>
      </c>
      <c r="C22" s="1204">
        <v>3</v>
      </c>
      <c r="D22" s="1329"/>
      <c r="E22" s="1204"/>
      <c r="F22" s="1204"/>
      <c r="G22" s="1252"/>
      <c r="H22" s="1320"/>
      <c r="I22" s="1367" t="str">
        <f>INDEX(TEMPLATE_NUMBER_POINT_FHD,B22,MATCH(TEMPLATE_SPHERE,TEMPLATE_SPHERE_LIST_FOR_NOTE,0))</f>
        <v>2.2</v>
      </c>
      <c r="J22" s="1367"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367">
        <f>INDEX(TEMPLATE_NOTE_POINT_FHD,B22,MATCH(TEMPLATE_SPHERE,TEMPLATE_SPHERE_LIST_FOR_NOTE,0))</f>
        <v>0</v>
      </c>
      <c r="L22" s="1205" t="str">
        <f>IF(I22=0,"",I22)</f>
        <v>2.2</v>
      </c>
      <c r="M22" s="1205" t="str">
        <f>IF(J22=0,"",J22)</f>
        <v>Расходы на тепловую энергию, производимую с применением собственных источников и используемую для горячего водоснабжения</v>
      </c>
      <c r="N22" s="1205" t="str">
        <f>IF(K22=0,"",K22)</f>
        <v/>
      </c>
      <c r="O22" s="1319"/>
      <c r="P22" s="1319"/>
      <c r="Q22" s="1319" t="s">
        <v>307</v>
      </c>
      <c r="R22" s="1319"/>
      <c r="S22" s="1319"/>
      <c r="T22" s="1326"/>
      <c r="U22" s="1207"/>
      <c r="V22" s="1207" t="s">
        <v>1983</v>
      </c>
      <c r="W22" s="1207"/>
      <c r="X22" s="1204"/>
      <c r="Y22" s="1362"/>
      <c r="Z22" s="1207"/>
      <c r="AA22" s="1210"/>
      <c r="AB22" s="1207"/>
      <c r="AC22" s="1207"/>
      <c r="AD22" s="1207"/>
    </row>
    <row customHeight="1" ht="27">
      <c r="A23" s="1206"/>
      <c r="B23" s="1260">
        <v>6</v>
      </c>
      <c r="C23" s="1204">
        <v>4</v>
      </c>
      <c r="D23" s="1329"/>
      <c r="E23" s="1204"/>
      <c r="F23" s="1204"/>
      <c r="G23" s="1252"/>
      <c r="H23" s="1320"/>
      <c r="I23" s="1367" t="str">
        <f>INDEX(TEMPLATE_NUMBER_POINT_FHD,B23,MATCH(TEMPLATE_SPHERE,TEMPLATE_SPHERE_LIST_FOR_NOTE,0))</f>
        <v>2.3</v>
      </c>
      <c r="J23" s="1367" t="str">
        <f>INDEX(TEMPLATE_DATA_POINT_FHD,B23,MATCH(TEMPLATE_SPHERE,TEMPLATE_SPHERE_LIST_FOR_NOTE,0))</f>
        <v>Расходы на приобретаемую холодную воду, используемую для горячего водоснабжения</v>
      </c>
      <c r="K23" s="1367">
        <f>INDEX(TEMPLATE_NOTE_POINT_FHD,B23,MATCH(TEMPLATE_SPHERE,TEMPLATE_SPHERE_LIST_FOR_NOTE,0))</f>
        <v>0</v>
      </c>
      <c r="L23" s="1205" t="str">
        <f>IF(I23=0,"",I23)</f>
        <v>2.3</v>
      </c>
      <c r="M23" s="1205" t="str">
        <f>IF(J23=0,"",J23)</f>
        <v>Расходы на приобретаемую холодную воду, используемую для горячего водоснабжения</v>
      </c>
      <c r="N23" s="1205" t="str">
        <f>IF(K23=0,"",K23)</f>
        <v/>
      </c>
      <c r="O23" s="1319"/>
      <c r="P23" s="1319"/>
      <c r="Q23" s="1319" t="s">
        <v>310</v>
      </c>
      <c r="R23" s="1319"/>
      <c r="S23" s="1319"/>
      <c r="T23" s="1326"/>
      <c r="U23" s="1207"/>
      <c r="V23" s="1207" t="s">
        <v>1984</v>
      </c>
      <c r="W23" s="1207"/>
      <c r="X23" s="1204"/>
      <c r="Y23" s="1362"/>
      <c r="Z23" s="1207"/>
      <c r="AA23" s="1210"/>
      <c r="AB23" s="1207"/>
      <c r="AC23" s="1207"/>
      <c r="AD23" s="1207"/>
    </row>
    <row customHeight="1" ht="36">
      <c r="A24" s="1206"/>
      <c r="B24" s="1260">
        <v>7</v>
      </c>
      <c r="C24" s="1204">
        <v>5</v>
      </c>
      <c r="D24" s="1329"/>
      <c r="E24" s="1204"/>
      <c r="F24" s="1204"/>
      <c r="G24" s="1252"/>
      <c r="H24" s="1320"/>
      <c r="I24" s="1367" t="str">
        <f>INDEX(TEMPLATE_NUMBER_POINT_FHD,B24,MATCH(TEMPLATE_SPHERE,TEMPLATE_SPHERE_LIST_FOR_NOTE,0))</f>
        <v>2.4</v>
      </c>
      <c r="J24" s="1367"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367">
        <f>INDEX(TEMPLATE_NOTE_POINT_FHD,B24,MATCH(TEMPLATE_SPHERE,TEMPLATE_SPHERE_LIST_FOR_NOTE,0))</f>
        <v>0</v>
      </c>
      <c r="L24" s="1205" t="str">
        <f>IF(I24=0,"",I24)</f>
        <v>2.4</v>
      </c>
      <c r="M24" s="1205"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1205" t="str">
        <f>IF(K24=0,"",K24)</f>
        <v/>
      </c>
      <c r="O24" s="1319"/>
      <c r="P24" s="1319"/>
      <c r="Q24" s="1319" t="s">
        <v>642</v>
      </c>
      <c r="R24" s="1319"/>
      <c r="S24" s="1319"/>
      <c r="T24" s="1326"/>
      <c r="U24" s="1207"/>
      <c r="V24" s="1207" t="s">
        <v>1985</v>
      </c>
      <c r="W24" s="1207"/>
      <c r="X24" s="1204"/>
      <c r="Y24" s="1362"/>
      <c r="Z24" s="1207"/>
      <c r="AA24" s="1210"/>
      <c r="AB24" s="1207"/>
      <c r="AC24" s="1207"/>
      <c r="AD24" s="1207"/>
    </row>
    <row customHeight="1" ht="36">
      <c r="A25" s="1206"/>
      <c r="B25" s="1260">
        <v>8</v>
      </c>
      <c r="C25" s="1204">
        <v>6</v>
      </c>
      <c r="D25" s="1329"/>
      <c r="E25" s="1204"/>
      <c r="F25" s="1204"/>
      <c r="G25" s="1252"/>
      <c r="H25" s="1320"/>
      <c r="I25" s="1367" t="str">
        <f>INDEX(TEMPLATE_NUMBER_POINT_FHD,B25,MATCH(TEMPLATE_SPHERE,TEMPLATE_SPHERE_LIST_FOR_NOTE,0))</f>
        <v>2.5</v>
      </c>
      <c r="J25" s="136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367">
        <f>INDEX(TEMPLATE_NOTE_POINT_FHD,B25,MATCH(TEMPLATE_SPHERE,TEMPLATE_SPHERE_LIST_FOR_NOTE,0))</f>
        <v>0</v>
      </c>
      <c r="L25" s="1205" t="str">
        <f>IF(I25=0,"",I25)</f>
        <v>2.5</v>
      </c>
      <c r="M25" s="1205" t="str">
        <f>IF(J25=0,"",J25)</f>
        <v>Расходы на приобретаемую электрическую энергию (мощность), используемую в технологическом процессе</v>
      </c>
      <c r="N25" s="1205" t="str">
        <f>IF(K25=0,"",K25)</f>
        <v/>
      </c>
      <c r="O25" s="1319" t="s">
        <v>310</v>
      </c>
      <c r="P25" s="1319" t="s">
        <v>307</v>
      </c>
      <c r="Q25" s="1319" t="s">
        <v>649</v>
      </c>
      <c r="R25" s="1319" t="s">
        <v>307</v>
      </c>
      <c r="S25" s="1319"/>
      <c r="T25" s="1326" t="s">
        <v>1986</v>
      </c>
      <c r="U25" s="1207" t="s">
        <v>1986</v>
      </c>
      <c r="V25" s="1207" t="s">
        <v>1986</v>
      </c>
      <c r="W25" s="1207" t="s">
        <v>1986</v>
      </c>
      <c r="X25" s="1204"/>
      <c r="Y25" s="1362"/>
      <c r="Z25" s="1207"/>
      <c r="AA25" s="1210"/>
      <c r="AB25" s="1207"/>
      <c r="AC25" s="1207"/>
      <c r="AD25" s="1207"/>
    </row>
    <row customHeight="1" ht="18">
      <c r="A26" s="1206"/>
      <c r="B26" s="1260">
        <v>9</v>
      </c>
      <c r="C26" s="1204" t="s">
        <v>821</v>
      </c>
      <c r="D26" s="1329"/>
      <c r="E26" s="1204"/>
      <c r="F26" s="1204"/>
      <c r="G26" s="1252"/>
      <c r="H26" s="1320"/>
      <c r="I26" s="1367" t="str">
        <f>INDEX(TEMPLATE_NUMBER_POINT_FHD,B26,MATCH(TEMPLATE_SPHERE,TEMPLATE_SPHERE_LIST_FOR_NOTE,0))</f>
        <v>2.5.1</v>
      </c>
      <c r="J26" s="1367" t="str">
        <f>INDEX(TEMPLATE_DATA_POINT_FHD,B26,MATCH(TEMPLATE_SPHERE,TEMPLATE_SPHERE_LIST_FOR_NOTE,0))</f>
        <v>Средневзвешенная стоимость 1 кВт.ч (с учетом мощности)</v>
      </c>
      <c r="K26" s="1367">
        <f>INDEX(TEMPLATE_NOTE_POINT_FHD,B26,MATCH(TEMPLATE_SPHERE,TEMPLATE_SPHERE_LIST_FOR_NOTE,0))</f>
        <v>0</v>
      </c>
      <c r="L26" s="1205" t="str">
        <f>IF(I26=0,"",I26)</f>
        <v>2.5.1</v>
      </c>
      <c r="M26" s="1205" t="str">
        <f>IF(J26=0,"",J26)</f>
        <v>Средневзвешенная стоимость 1 кВт.ч (с учетом мощности)</v>
      </c>
      <c r="N26" s="1205" t="str">
        <f>IF(K26=0,"",K26)</f>
        <v/>
      </c>
      <c r="O26" s="1319" t="s">
        <v>638</v>
      </c>
      <c r="P26" s="1319" t="s">
        <v>632</v>
      </c>
      <c r="Q26" s="1319" t="s">
        <v>1987</v>
      </c>
      <c r="R26" s="1319" t="s">
        <v>632</v>
      </c>
      <c r="S26" s="1319"/>
      <c r="T26" s="1326" t="s">
        <v>1988</v>
      </c>
      <c r="U26" s="1326" t="s">
        <v>1988</v>
      </c>
      <c r="V26" s="1326" t="s">
        <v>1988</v>
      </c>
      <c r="W26" s="1326" t="s">
        <v>1988</v>
      </c>
      <c r="X26" s="1204"/>
      <c r="Y26" s="1362"/>
      <c r="Z26" s="1207"/>
      <c r="AA26" s="1210"/>
      <c r="AB26" s="1207"/>
      <c r="AC26" s="1207"/>
      <c r="AD26" s="1207"/>
    </row>
    <row customHeight="1" ht="18">
      <c r="A27" s="1206"/>
      <c r="B27" s="1260">
        <v>10</v>
      </c>
      <c r="C27" s="1204" t="s">
        <v>1989</v>
      </c>
      <c r="D27" s="1329"/>
      <c r="E27" s="1204"/>
      <c r="F27" s="1204"/>
      <c r="G27" s="1252"/>
      <c r="H27" s="1320"/>
      <c r="I27" s="1367" t="str">
        <f>INDEX(TEMPLATE_NUMBER_POINT_FHD,B27,MATCH(TEMPLATE_SPHERE,TEMPLATE_SPHERE_LIST_FOR_NOTE,0))</f>
        <v>2.5.2</v>
      </c>
      <c r="J27" s="1367" t="str">
        <f>INDEX(TEMPLATE_DATA_POINT_FHD,B27,MATCH(TEMPLATE_SPHERE,TEMPLATE_SPHERE_LIST_FOR_NOTE,0))</f>
        <v>Объём приобретения электрической энергии</v>
      </c>
      <c r="K27" s="1367">
        <f>INDEX(TEMPLATE_NOTE_POINT_FHD,B27,MATCH(TEMPLATE_SPHERE,TEMPLATE_SPHERE_LIST_FOR_NOTE,0))</f>
        <v>0</v>
      </c>
      <c r="L27" s="1205" t="str">
        <f>IF(I27=0,"",I27)</f>
        <v>2.5.2</v>
      </c>
      <c r="M27" s="1205" t="str">
        <f>IF(J27=0,"",J27)</f>
        <v>Объём приобретения электрической энергии</v>
      </c>
      <c r="N27" s="1205" t="str">
        <f>IF(K27=0,"",K27)</f>
        <v/>
      </c>
      <c r="O27" s="1319" t="s">
        <v>640</v>
      </c>
      <c r="P27" s="1319" t="s">
        <v>634</v>
      </c>
      <c r="Q27" s="1319" t="s">
        <v>1990</v>
      </c>
      <c r="R27" s="1319" t="s">
        <v>634</v>
      </c>
      <c r="S27" s="1319"/>
      <c r="T27" s="1326" t="s">
        <v>1991</v>
      </c>
      <c r="U27" s="1326" t="s">
        <v>1991</v>
      </c>
      <c r="V27" s="1326" t="s">
        <v>1991</v>
      </c>
      <c r="W27" s="1326" t="s">
        <v>1991</v>
      </c>
      <c r="X27" s="1204"/>
      <c r="Y27" s="1362"/>
      <c r="Z27" s="1207"/>
      <c r="AA27" s="1210"/>
      <c r="AB27" s="1207"/>
      <c r="AC27" s="1207"/>
      <c r="AD27" s="1207"/>
    </row>
    <row customHeight="1" ht="27">
      <c r="A28" s="1206"/>
      <c r="B28" s="1260">
        <v>11</v>
      </c>
      <c r="C28" s="1204">
        <v>7</v>
      </c>
      <c r="D28" s="1329"/>
      <c r="E28" s="1204"/>
      <c r="F28" s="1204"/>
      <c r="G28" s="1252"/>
      <c r="H28" s="1320"/>
      <c r="I28" s="1367">
        <f>INDEX(TEMPLATE_NUMBER_POINT_FHD,B28,MATCH(TEMPLATE_SPHERE,TEMPLATE_SPHERE_LIST_FOR_NOTE,0))</f>
        <v>0</v>
      </c>
      <c r="J28" s="1367">
        <f>INDEX(TEMPLATE_DATA_POINT_FHD,B28,MATCH(TEMPLATE_SPHERE,TEMPLATE_SPHERE_LIST_FOR_NOTE,0))</f>
        <v>0</v>
      </c>
      <c r="K28" s="1367">
        <f>INDEX(TEMPLATE_NOTE_POINT_FHD,B28,MATCH(TEMPLATE_SPHERE,TEMPLATE_SPHERE_LIST_FOR_NOTE,0))</f>
        <v>0</v>
      </c>
      <c r="L28" s="1205" t="str">
        <f>IF(I28=0,"",I28)</f>
        <v/>
      </c>
      <c r="M28" s="1205" t="str">
        <f>IF(J28=0,"",J28)</f>
        <v/>
      </c>
      <c r="N28" s="1205" t="str">
        <f>IF(K28=0,"",K28)</f>
        <v/>
      </c>
      <c r="O28" s="1319" t="s">
        <v>642</v>
      </c>
      <c r="P28" s="1319"/>
      <c r="Q28" s="1319"/>
      <c r="R28" s="1319"/>
      <c r="S28" s="1319"/>
      <c r="T28" s="1326" t="s">
        <v>1992</v>
      </c>
      <c r="U28" s="1207"/>
      <c r="V28" s="1207"/>
      <c r="W28" s="1207"/>
      <c r="X28" s="1204"/>
      <c r="Y28" s="1362"/>
      <c r="Z28" s="1207"/>
      <c r="AA28" s="1210"/>
      <c r="AB28" s="1207"/>
      <c r="AC28" s="1207"/>
      <c r="AD28" s="1207"/>
    </row>
    <row customHeight="1" ht="27">
      <c r="A29" s="1206"/>
      <c r="B29" s="1260">
        <v>12</v>
      </c>
      <c r="C29" s="1204">
        <v>8</v>
      </c>
      <c r="D29" s="1329"/>
      <c r="E29" s="1204"/>
      <c r="F29" s="1204"/>
      <c r="G29" s="1252"/>
      <c r="H29" s="1320"/>
      <c r="I29" s="1367">
        <f>INDEX(TEMPLATE_NUMBER_POINT_FHD,B29,MATCH(TEMPLATE_SPHERE,TEMPLATE_SPHERE_LIST_FOR_NOTE,0))</f>
        <v>0</v>
      </c>
      <c r="J29" s="1367">
        <f>INDEX(TEMPLATE_DATA_POINT_FHD,B29,MATCH(TEMPLATE_SPHERE,TEMPLATE_SPHERE_LIST_FOR_NOTE,0))</f>
        <v>0</v>
      </c>
      <c r="K29" s="1367">
        <f>INDEX(TEMPLATE_NOTE_POINT_FHD,B29,MATCH(TEMPLATE_SPHERE,TEMPLATE_SPHERE_LIST_FOR_NOTE,0))</f>
        <v>0</v>
      </c>
      <c r="L29" s="1205" t="str">
        <f>IF(I29=0,"",I29)</f>
        <v/>
      </c>
      <c r="M29" s="1205" t="str">
        <f>IF(J29=0,"",J29)</f>
        <v/>
      </c>
      <c r="N29" s="1205" t="str">
        <f>IF(K29=0,"",K29)</f>
        <v/>
      </c>
      <c r="O29" s="1319" t="s">
        <v>649</v>
      </c>
      <c r="P29" s="1319" t="s">
        <v>310</v>
      </c>
      <c r="Q29" s="1319"/>
      <c r="R29" s="1319" t="s">
        <v>310</v>
      </c>
      <c r="S29" s="1319"/>
      <c r="T29" s="1326" t="s">
        <v>1993</v>
      </c>
      <c r="U29" s="1207" t="s">
        <v>1993</v>
      </c>
      <c r="V29" s="1207"/>
      <c r="W29" s="1207" t="s">
        <v>1993</v>
      </c>
      <c r="X29" s="1204"/>
      <c r="Y29" s="1362"/>
      <c r="Z29" s="1207"/>
      <c r="AA29" s="1210"/>
      <c r="AB29" s="1207"/>
      <c r="AC29" s="1207"/>
      <c r="AD29" s="1207"/>
    </row>
    <row customHeight="1" ht="54">
      <c r="A30" s="1206"/>
      <c r="B30" s="1260">
        <v>13</v>
      </c>
      <c r="C30" s="1204">
        <v>9</v>
      </c>
      <c r="D30" s="1329"/>
      <c r="E30" s="1204"/>
      <c r="F30" s="1204"/>
      <c r="G30" s="1252"/>
      <c r="H30" s="1320"/>
      <c r="I30" s="1367" t="str">
        <f>INDEX(TEMPLATE_NUMBER_POINT_FHD,B30,MATCH(TEMPLATE_SPHERE,TEMPLATE_SPHERE_LIST_FOR_NOTE,0))</f>
        <v>2.6</v>
      </c>
      <c r="J30" s="136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367"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1205" t="str">
        <f>IF(I30=0,"",I30)</f>
        <v>2.6</v>
      </c>
      <c r="M30" s="120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1205" t="str">
        <f>IF(K30=0,"",K30)</f>
        <v>Указывается общая сумма расходов на оплату труда и отчислений на социальные нужды основного производственного персонала.</v>
      </c>
      <c r="O30" s="1319" t="s">
        <v>651</v>
      </c>
      <c r="P30" s="1319" t="s">
        <v>642</v>
      </c>
      <c r="Q30" s="1319" t="s">
        <v>651</v>
      </c>
      <c r="R30" s="1319" t="s">
        <v>642</v>
      </c>
      <c r="S30" s="1319"/>
      <c r="T30" s="1326" t="s">
        <v>1994</v>
      </c>
      <c r="U30" s="1207" t="s">
        <v>1994</v>
      </c>
      <c r="V30" s="1207" t="s">
        <v>1994</v>
      </c>
      <c r="W30" s="1207" t="s">
        <v>1994</v>
      </c>
      <c r="X30" s="1204"/>
      <c r="Y30" s="1362"/>
      <c r="Z30" s="1207"/>
      <c r="AA30" s="1210" t="s">
        <v>1995</v>
      </c>
      <c r="AB30" s="1210" t="s">
        <v>1995</v>
      </c>
      <c r="AC30" s="1210" t="s">
        <v>1995</v>
      </c>
      <c r="AD30" s="1207"/>
    </row>
    <row customHeight="1" ht="18">
      <c r="A31" s="1206"/>
      <c r="B31" s="1260">
        <v>14</v>
      </c>
      <c r="C31" s="1204" t="s">
        <v>1996</v>
      </c>
      <c r="D31" s="1329"/>
      <c r="E31" s="1204"/>
      <c r="F31" s="1204"/>
      <c r="G31" s="1252"/>
      <c r="H31" s="1320"/>
      <c r="I31" s="1367" t="str">
        <f>INDEX(TEMPLATE_NUMBER_POINT_FHD,B31,MATCH(TEMPLATE_SPHERE,TEMPLATE_SPHERE_LIST_FOR_NOTE,0))</f>
        <v>2.6.1</v>
      </c>
      <c r="J31" s="1367" t="str">
        <f>INDEX(TEMPLATE_DATA_POINT_FHD,B31,MATCH(TEMPLATE_SPHERE,TEMPLATE_SPHERE_LIST_FOR_NOTE,0))</f>
        <v>Расходы на оплату труда основного производственного персонала</v>
      </c>
      <c r="K31" s="1367">
        <f>INDEX(TEMPLATE_NOTE_POINT_FHD,B31,MATCH(TEMPLATE_SPHERE,TEMPLATE_SPHERE_LIST_FOR_NOTE,0))</f>
        <v>0</v>
      </c>
      <c r="L31" s="1205" t="str">
        <f>IF(I31=0,"",I31)</f>
        <v>2.6.1</v>
      </c>
      <c r="M31" s="1205" t="str">
        <f>IF(J31=0,"",J31)</f>
        <v>Расходы на оплату труда основного производственного персонала</v>
      </c>
      <c r="N31" s="1205" t="str">
        <f>IF(K31=0,"",K31)</f>
        <v/>
      </c>
      <c r="O31" s="1319" t="s">
        <v>1997</v>
      </c>
      <c r="P31" s="1319" t="s">
        <v>645</v>
      </c>
      <c r="Q31" s="1319" t="s">
        <v>1997</v>
      </c>
      <c r="R31" s="1319" t="s">
        <v>645</v>
      </c>
      <c r="S31" s="1319"/>
      <c r="T31" s="1327" t="s">
        <v>1998</v>
      </c>
      <c r="U31" s="1207" t="s">
        <v>1998</v>
      </c>
      <c r="V31" s="1207" t="s">
        <v>1998</v>
      </c>
      <c r="W31" s="1207" t="s">
        <v>1998</v>
      </c>
      <c r="X31" s="1204"/>
      <c r="Y31" s="1362"/>
      <c r="Z31" s="1207"/>
      <c r="AA31" s="1210"/>
      <c r="AB31" s="1210"/>
      <c r="AC31" s="1210"/>
      <c r="AD31" s="1207"/>
    </row>
    <row customHeight="1" ht="36">
      <c r="A32" s="1206"/>
      <c r="B32" s="1260">
        <v>15</v>
      </c>
      <c r="C32" s="1204" t="s">
        <v>1999</v>
      </c>
      <c r="D32" s="1329"/>
      <c r="E32" s="1204"/>
      <c r="F32" s="1204"/>
      <c r="G32" s="1252"/>
      <c r="H32" s="1320"/>
      <c r="I32" s="1367" t="str">
        <f>INDEX(TEMPLATE_NUMBER_POINT_FHD,B32,MATCH(TEMPLATE_SPHERE,TEMPLATE_SPHERE_LIST_FOR_NOTE,0))</f>
        <v>2.6.2</v>
      </c>
      <c r="J32" s="136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367">
        <f>INDEX(TEMPLATE_NOTE_POINT_FHD,B32,MATCH(TEMPLATE_SPHERE,TEMPLATE_SPHERE_LIST_FOR_NOTE,0))</f>
        <v>0</v>
      </c>
      <c r="L32" s="1205" t="str">
        <f>IF(I32=0,"",I32)</f>
        <v>2.6.2</v>
      </c>
      <c r="M32" s="1205" t="str">
        <f>IF(J32=0,"",J32)</f>
        <v>Страховые взносы на обязательное социальное страхование, выплачиваемые из фонда оплаты труда основного производственного персонала</v>
      </c>
      <c r="N32" s="1205" t="str">
        <f>IF(K32=0,"",K32)</f>
        <v/>
      </c>
      <c r="O32" s="1319" t="s">
        <v>2000</v>
      </c>
      <c r="P32" s="1319" t="s">
        <v>647</v>
      </c>
      <c r="Q32" s="1319" t="s">
        <v>2000</v>
      </c>
      <c r="R32" s="1319" t="s">
        <v>647</v>
      </c>
      <c r="S32" s="1319"/>
      <c r="T32" s="1328" t="s">
        <v>2001</v>
      </c>
      <c r="U32" s="1207" t="s">
        <v>2001</v>
      </c>
      <c r="V32" s="1207" t="s">
        <v>2001</v>
      </c>
      <c r="W32" s="1207" t="s">
        <v>2001</v>
      </c>
      <c r="X32" s="1204"/>
      <c r="Y32" s="1362"/>
      <c r="Z32" s="1207"/>
      <c r="AA32" s="1210"/>
      <c r="AB32" s="1210"/>
      <c r="AC32" s="1210"/>
      <c r="AD32" s="1207"/>
    </row>
    <row customHeight="1" ht="45">
      <c r="A33" s="1206"/>
      <c r="B33" s="1260">
        <v>16</v>
      </c>
      <c r="C33" s="1204">
        <v>10</v>
      </c>
      <c r="D33" s="1329"/>
      <c r="E33" s="1204"/>
      <c r="F33" s="1204"/>
      <c r="G33" s="1252"/>
      <c r="H33" s="1320"/>
      <c r="I33" s="1367" t="str">
        <f>INDEX(TEMPLATE_NUMBER_POINT_FHD,B33,MATCH(TEMPLATE_SPHERE,TEMPLATE_SPHERE_LIST_FOR_NOTE,0))</f>
        <v>2.7</v>
      </c>
      <c r="J33" s="136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367"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1205" t="str">
        <f>IF(I33=0,"",I33)</f>
        <v>2.7</v>
      </c>
      <c r="M33" s="120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1205" t="str">
        <f>IF(K33=0,"",K33)</f>
        <v>Указывается общая сумма расходов на оплату труда и отчислений на социальные нужды административно-управленческого персонала.</v>
      </c>
      <c r="O33" s="1319" t="s">
        <v>653</v>
      </c>
      <c r="P33" s="1319" t="s">
        <v>649</v>
      </c>
      <c r="Q33" s="1319" t="s">
        <v>653</v>
      </c>
      <c r="R33" s="1319" t="s">
        <v>649</v>
      </c>
      <c r="S33" s="1319"/>
      <c r="T33" s="1327" t="s">
        <v>2002</v>
      </c>
      <c r="U33" s="1207" t="s">
        <v>2002</v>
      </c>
      <c r="V33" s="1207" t="s">
        <v>2002</v>
      </c>
      <c r="W33" s="1207" t="s">
        <v>2003</v>
      </c>
      <c r="X33" s="1204"/>
      <c r="Y33" s="1362"/>
      <c r="Z33" s="1207"/>
      <c r="AA33" s="1210" t="s">
        <v>2004</v>
      </c>
      <c r="AB33" s="1210" t="s">
        <v>2004</v>
      </c>
      <c r="AC33" s="1210" t="s">
        <v>2004</v>
      </c>
      <c r="AD33" s="1207"/>
    </row>
    <row customHeight="1" ht="27">
      <c r="A34" s="1206"/>
      <c r="B34" s="1260">
        <v>17</v>
      </c>
      <c r="C34" s="1204" t="s">
        <v>2005</v>
      </c>
      <c r="D34" s="1329"/>
      <c r="E34" s="1204"/>
      <c r="F34" s="1204"/>
      <c r="G34" s="1252"/>
      <c r="H34" s="1320"/>
      <c r="I34" s="1367" t="str">
        <f>INDEX(TEMPLATE_NUMBER_POINT_FHD,B34,MATCH(TEMPLATE_SPHERE,TEMPLATE_SPHERE_LIST_FOR_NOTE,0))</f>
        <v>2.7.1</v>
      </c>
      <c r="J34" s="1367" t="str">
        <f>INDEX(TEMPLATE_DATA_POINT_FHD,B34,MATCH(TEMPLATE_SPHERE,TEMPLATE_SPHERE_LIST_FOR_NOTE,0))</f>
        <v>Расходы на оплату труда административно-управленческого персонала</v>
      </c>
      <c r="K34" s="1367">
        <f>INDEX(TEMPLATE_NOTE_POINT_FHD,B34,MATCH(TEMPLATE_SPHERE,TEMPLATE_SPHERE_LIST_FOR_NOTE,0))</f>
        <v>0</v>
      </c>
      <c r="L34" s="1205" t="str">
        <f>IF(I34=0,"",I34)</f>
        <v>2.7.1</v>
      </c>
      <c r="M34" s="1205" t="str">
        <f>IF(J34=0,"",J34)</f>
        <v>Расходы на оплату труда административно-управленческого персонала</v>
      </c>
      <c r="N34" s="1205" t="str">
        <f>IF(K34=0,"",K34)</f>
        <v/>
      </c>
      <c r="O34" s="1319" t="s">
        <v>2006</v>
      </c>
      <c r="P34" s="1319" t="s">
        <v>1987</v>
      </c>
      <c r="Q34" s="1319" t="s">
        <v>2006</v>
      </c>
      <c r="R34" s="1319" t="s">
        <v>1987</v>
      </c>
      <c r="S34" s="1319"/>
      <c r="T34" s="1328" t="s">
        <v>2007</v>
      </c>
      <c r="U34" s="1207" t="s">
        <v>2007</v>
      </c>
      <c r="V34" s="1207" t="s">
        <v>2007</v>
      </c>
      <c r="W34" s="1207" t="s">
        <v>2008</v>
      </c>
      <c r="X34" s="1204"/>
      <c r="Y34" s="1362"/>
      <c r="Z34" s="1207"/>
      <c r="AA34" s="1210"/>
      <c r="AB34" s="1207"/>
      <c r="AC34" s="1207"/>
      <c r="AD34" s="1207"/>
    </row>
    <row customHeight="1" ht="45">
      <c r="A35" s="1206"/>
      <c r="B35" s="1260">
        <v>18</v>
      </c>
      <c r="C35" s="1204" t="s">
        <v>2009</v>
      </c>
      <c r="D35" s="1329"/>
      <c r="E35" s="1204"/>
      <c r="F35" s="1204"/>
      <c r="G35" s="1252"/>
      <c r="H35" s="1320"/>
      <c r="I35" s="1367" t="str">
        <f>INDEX(TEMPLATE_NUMBER_POINT_FHD,B35,MATCH(TEMPLATE_SPHERE,TEMPLATE_SPHERE_LIST_FOR_NOTE,0))</f>
        <v>2.7.2</v>
      </c>
      <c r="J35" s="136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367">
        <f>INDEX(TEMPLATE_NOTE_POINT_FHD,B35,MATCH(TEMPLATE_SPHERE,TEMPLATE_SPHERE_LIST_FOR_NOTE,0))</f>
        <v>0</v>
      </c>
      <c r="L35" s="1205" t="str">
        <f>IF(I35=0,"",I35)</f>
        <v>2.7.2</v>
      </c>
      <c r="M35" s="120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1205" t="str">
        <f>IF(K35=0,"",K35)</f>
        <v/>
      </c>
      <c r="O35" s="1319" t="s">
        <v>2010</v>
      </c>
      <c r="P35" s="1319" t="s">
        <v>1990</v>
      </c>
      <c r="Q35" s="1319" t="s">
        <v>2010</v>
      </c>
      <c r="R35" s="1319" t="s">
        <v>1990</v>
      </c>
      <c r="S35" s="1319"/>
      <c r="T35" s="1326" t="s">
        <v>2011</v>
      </c>
      <c r="U35" s="1207" t="s">
        <v>2011</v>
      </c>
      <c r="V35" s="1207" t="s">
        <v>2011</v>
      </c>
      <c r="W35" s="1207" t="s">
        <v>2011</v>
      </c>
      <c r="X35" s="1204"/>
      <c r="Y35" s="1362"/>
      <c r="Z35" s="1207"/>
      <c r="AA35" s="1210"/>
      <c r="AB35" s="1207"/>
      <c r="AC35" s="1207"/>
      <c r="AD35" s="1207"/>
    </row>
    <row customHeight="1" ht="18">
      <c r="A36" s="1206"/>
      <c r="B36" s="1260">
        <v>19</v>
      </c>
      <c r="C36" s="1204">
        <v>11</v>
      </c>
      <c r="D36" s="1329"/>
      <c r="E36" s="1204"/>
      <c r="F36" s="1204"/>
      <c r="G36" s="1252"/>
      <c r="H36" s="1320"/>
      <c r="I36" s="1367" t="str">
        <f>INDEX(TEMPLATE_NUMBER_POINT_FHD,B36,MATCH(TEMPLATE_SPHERE,TEMPLATE_SPHERE_LIST_FOR_NOTE,0))</f>
        <v>2.8</v>
      </c>
      <c r="J36" s="1367" t="str">
        <f>INDEX(TEMPLATE_DATA_POINT_FHD,B36,MATCH(TEMPLATE_SPHERE,TEMPLATE_SPHERE_LIST_FOR_NOTE,0))</f>
        <v>Расходы на амортизацию основных средств и нематериальных активов</v>
      </c>
      <c r="K36" s="1367">
        <f>INDEX(TEMPLATE_NOTE_POINT_FHD,B36,MATCH(TEMPLATE_SPHERE,TEMPLATE_SPHERE_LIST_FOR_NOTE,0))</f>
        <v>0</v>
      </c>
      <c r="L36" s="1205" t="str">
        <f>IF(I36=0,"",I36)</f>
        <v>2.8</v>
      </c>
      <c r="M36" s="1205" t="str">
        <f>IF(J36=0,"",J36)</f>
        <v>Расходы на амортизацию основных средств и нематериальных активов</v>
      </c>
      <c r="N36" s="1205" t="str">
        <f>IF(K36=0,"",K36)</f>
        <v/>
      </c>
      <c r="O36" s="1319" t="s">
        <v>655</v>
      </c>
      <c r="P36" s="1319" t="s">
        <v>651</v>
      </c>
      <c r="Q36" s="1319" t="s">
        <v>655</v>
      </c>
      <c r="R36" s="1319" t="s">
        <v>651</v>
      </c>
      <c r="S36" s="1319"/>
      <c r="T36" s="1326" t="s">
        <v>2012</v>
      </c>
      <c r="U36" s="1207" t="s">
        <v>2012</v>
      </c>
      <c r="V36" s="1207" t="s">
        <v>2012</v>
      </c>
      <c r="W36" s="1207" t="s">
        <v>2012</v>
      </c>
      <c r="X36" s="1204"/>
      <c r="Y36" s="1362"/>
      <c r="Z36" s="1207"/>
      <c r="AA36" s="1210"/>
      <c r="AB36" s="1207"/>
      <c r="AC36" s="1207"/>
      <c r="AD36" s="1207"/>
    </row>
    <row customHeight="1" ht="18">
      <c r="A37" s="1206"/>
      <c r="B37" s="1260">
        <v>20</v>
      </c>
      <c r="C37" s="1204" t="s">
        <v>2013</v>
      </c>
      <c r="D37" s="1329"/>
      <c r="E37" s="1204"/>
      <c r="F37" s="1204"/>
      <c r="G37" s="1252"/>
      <c r="H37" s="1320"/>
      <c r="I37" s="1367" t="str">
        <f>INDEX(TEMPLATE_NUMBER_POINT_FHD,B37,MATCH(TEMPLATE_SPHERE,TEMPLATE_SPHERE_LIST_FOR_NOTE,0))</f>
        <v>2.8.1</v>
      </c>
      <c r="J37" s="1367" t="str">
        <f>INDEX(TEMPLATE_DATA_POINT_FHD,B37,MATCH(TEMPLATE_SPHERE,TEMPLATE_SPHERE_LIST_FOR_NOTE,0))</f>
        <v>Расходы на амортизацию основных средств</v>
      </c>
      <c r="K37" s="1367">
        <f>INDEX(TEMPLATE_NOTE_POINT_FHD,B37,MATCH(TEMPLATE_SPHERE,TEMPLATE_SPHERE_LIST_FOR_NOTE,0))</f>
        <v>0</v>
      </c>
      <c r="L37" s="1205" t="str">
        <f>IF(I37=0,"",I37)</f>
        <v>2.8.1</v>
      </c>
      <c r="M37" s="1205" t="str">
        <f>IF(J37=0,"",J37)</f>
        <v>Расходы на амортизацию основных средств</v>
      </c>
      <c r="N37" s="1205" t="str">
        <f>IF(K37=0,"",K37)</f>
        <v/>
      </c>
      <c r="O37" s="1319" t="s">
        <v>2014</v>
      </c>
      <c r="P37" s="1319" t="s">
        <v>1997</v>
      </c>
      <c r="Q37" s="1319" t="s">
        <v>2014</v>
      </c>
      <c r="R37" s="1319" t="s">
        <v>1997</v>
      </c>
      <c r="S37" s="1319"/>
      <c r="T37" s="1326" t="s">
        <v>2015</v>
      </c>
      <c r="U37" s="1207" t="s">
        <v>2015</v>
      </c>
      <c r="V37" s="1207" t="s">
        <v>2015</v>
      </c>
      <c r="W37" s="1207" t="s">
        <v>2015</v>
      </c>
      <c r="X37" s="1204"/>
      <c r="Y37" s="1362"/>
      <c r="Z37" s="1207"/>
      <c r="AA37" s="1210"/>
      <c r="AB37" s="1207"/>
      <c r="AC37" s="1207"/>
      <c r="AD37" s="1207"/>
    </row>
    <row customHeight="1" ht="18">
      <c r="A38" s="1206"/>
      <c r="B38" s="1260">
        <v>21</v>
      </c>
      <c r="C38" s="1204" t="s">
        <v>2016</v>
      </c>
      <c r="D38" s="1329"/>
      <c r="E38" s="1204"/>
      <c r="F38" s="1204"/>
      <c r="G38" s="1252"/>
      <c r="H38" s="1320"/>
      <c r="I38" s="1367" t="str">
        <f>INDEX(TEMPLATE_NUMBER_POINT_FHD,B38,MATCH(TEMPLATE_SPHERE,TEMPLATE_SPHERE_LIST_FOR_NOTE,0))</f>
        <v>2.8.2</v>
      </c>
      <c r="J38" s="1367" t="str">
        <f>INDEX(TEMPLATE_DATA_POINT_FHD,B38,MATCH(TEMPLATE_SPHERE,TEMPLATE_SPHERE_LIST_FOR_NOTE,0))</f>
        <v>Расходы на амортизацию нематериальных активов</v>
      </c>
      <c r="K38" s="1367">
        <f>INDEX(TEMPLATE_NOTE_POINT_FHD,B38,MATCH(TEMPLATE_SPHERE,TEMPLATE_SPHERE_LIST_FOR_NOTE,0))</f>
        <v>0</v>
      </c>
      <c r="L38" s="1205" t="str">
        <f>IF(I38=0,"",I38)</f>
        <v>2.8.2</v>
      </c>
      <c r="M38" s="1205" t="str">
        <f>IF(J38=0,"",J38)</f>
        <v>Расходы на амортизацию нематериальных активов</v>
      </c>
      <c r="N38" s="1205" t="str">
        <f>IF(K38=0,"",K38)</f>
        <v/>
      </c>
      <c r="O38" s="1319" t="s">
        <v>2017</v>
      </c>
      <c r="P38" s="1319" t="s">
        <v>2000</v>
      </c>
      <c r="Q38" s="1319" t="s">
        <v>2017</v>
      </c>
      <c r="R38" s="1319" t="s">
        <v>2000</v>
      </c>
      <c r="S38" s="1319"/>
      <c r="T38" s="1326" t="s">
        <v>2018</v>
      </c>
      <c r="U38" s="1207" t="s">
        <v>2018</v>
      </c>
      <c r="V38" s="1207" t="s">
        <v>2018</v>
      </c>
      <c r="W38" s="1207" t="s">
        <v>2018</v>
      </c>
      <c r="X38" s="1204"/>
      <c r="Y38" s="1362"/>
      <c r="Z38" s="1207"/>
      <c r="AA38" s="1210"/>
      <c r="AB38" s="1207"/>
      <c r="AC38" s="1207"/>
      <c r="AD38" s="1207"/>
    </row>
    <row customHeight="1" ht="36">
      <c r="A39" s="1206"/>
      <c r="B39" s="1260">
        <v>22</v>
      </c>
      <c r="C39" s="1204">
        <v>12</v>
      </c>
      <c r="D39" s="1329"/>
      <c r="E39" s="1204"/>
      <c r="F39" s="1204"/>
      <c r="G39" s="1252"/>
      <c r="H39" s="1320"/>
      <c r="I39" s="1367" t="str">
        <f>INDEX(TEMPLATE_NUMBER_POINT_FHD,B39,MATCH(TEMPLATE_SPHERE,TEMPLATE_SPHERE_LIST_FOR_NOTE,0))</f>
        <v>2.9</v>
      </c>
      <c r="J39" s="1367"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367">
        <f>INDEX(TEMPLATE_NOTE_POINT_FHD,B39,MATCH(TEMPLATE_SPHERE,TEMPLATE_SPHERE_LIST_FOR_NOTE,0))</f>
        <v>0</v>
      </c>
      <c r="L39" s="1205" t="str">
        <f>IF(I39=0,"",I39)</f>
        <v>2.9</v>
      </c>
      <c r="M39" s="1205" t="str">
        <f>IF(J39=0,"",J39)</f>
        <v>Расходы на аренду имущества, используемого для осуществления регулируемых видов деятельности в сфере горячего водоснабжения</v>
      </c>
      <c r="N39" s="1205" t="str">
        <f>IF(K39=0,"",K39)</f>
        <v/>
      </c>
      <c r="O39" s="1319" t="s">
        <v>659</v>
      </c>
      <c r="P39" s="1319" t="s">
        <v>653</v>
      </c>
      <c r="Q39" s="1319" t="s">
        <v>659</v>
      </c>
      <c r="R39" s="1319" t="s">
        <v>653</v>
      </c>
      <c r="S39" s="1319"/>
      <c r="T39" s="1326" t="s">
        <v>2019</v>
      </c>
      <c r="U39" s="1207" t="s">
        <v>2020</v>
      </c>
      <c r="V39" s="1207" t="s">
        <v>2021</v>
      </c>
      <c r="W39" s="1207" t="s">
        <v>2022</v>
      </c>
      <c r="X39" s="1204"/>
      <c r="Y39" s="1362"/>
      <c r="Z39" s="1207"/>
      <c r="AA39" s="1210"/>
      <c r="AB39" s="1207"/>
      <c r="AC39" s="1207"/>
      <c r="AD39" s="1207"/>
    </row>
    <row customHeight="1" ht="18">
      <c r="A40" s="1206"/>
      <c r="B40" s="1260">
        <v>23</v>
      </c>
      <c r="C40" s="1204">
        <v>13</v>
      </c>
      <c r="D40" s="1329"/>
      <c r="E40" s="1204"/>
      <c r="F40" s="1204"/>
      <c r="G40" s="1204"/>
      <c r="H40" s="1255"/>
      <c r="I40" s="1367" t="str">
        <f>INDEX(TEMPLATE_NUMBER_POINT_FHD,B40,MATCH(TEMPLATE_SPHERE,TEMPLATE_SPHERE_LIST_FOR_NOTE,0))</f>
        <v>2.10</v>
      </c>
      <c r="J40" s="1367" t="str">
        <f>INDEX(TEMPLATE_DATA_POINT_FHD,B40,MATCH(TEMPLATE_SPHERE,TEMPLATE_SPHERE_LIST_FOR_NOTE,0))</f>
        <v>Общепроизводственные расходы, в том числе:</v>
      </c>
      <c r="K40" s="1367" t="str">
        <f>INDEX(TEMPLATE_NOTE_POINT_FHD,B40,MATCH(TEMPLATE_SPHERE,TEMPLATE_SPHERE_LIST_FOR_NOTE,0))</f>
        <v>Указывается общая сумма общепроизводственных расходов.</v>
      </c>
      <c r="L40" s="1205" t="str">
        <f>IF(I40=0,"",I40)</f>
        <v>2.10</v>
      </c>
      <c r="M40" s="1205" t="str">
        <f>IF(J40=0,"",J40)</f>
        <v>Общепроизводственные расходы, в том числе:</v>
      </c>
      <c r="N40" s="1205" t="str">
        <f>IF(K40=0,"",K40)</f>
        <v>Указывается общая сумма общепроизводственных расходов.</v>
      </c>
      <c r="O40" s="1319" t="s">
        <v>2023</v>
      </c>
      <c r="P40" s="1319" t="s">
        <v>655</v>
      </c>
      <c r="Q40" s="1319" t="s">
        <v>2023</v>
      </c>
      <c r="R40" s="1319" t="s">
        <v>655</v>
      </c>
      <c r="S40" s="1319"/>
      <c r="T40" s="1204" t="s">
        <v>2024</v>
      </c>
      <c r="U40" s="1204" t="s">
        <v>2024</v>
      </c>
      <c r="V40" s="1204" t="s">
        <v>2024</v>
      </c>
      <c r="W40" s="1204" t="s">
        <v>2024</v>
      </c>
      <c r="X40" s="1204"/>
      <c r="Y40" s="1362"/>
      <c r="Z40" s="1207" t="s">
        <v>2025</v>
      </c>
      <c r="AA40" s="1210" t="s">
        <v>2025</v>
      </c>
      <c r="AB40" s="1210" t="s">
        <v>2025</v>
      </c>
      <c r="AC40" s="1210" t="s">
        <v>2025</v>
      </c>
      <c r="AD40" s="1207"/>
    </row>
    <row customHeight="1" ht="27">
      <c r="A41" s="1206"/>
      <c r="B41" s="1260">
        <v>24</v>
      </c>
      <c r="C41" s="1204" t="s">
        <v>2026</v>
      </c>
      <c r="D41" s="1329"/>
      <c r="E41" s="1204"/>
      <c r="F41" s="1204"/>
      <c r="G41" s="1204"/>
      <c r="H41" s="1252"/>
      <c r="I41" s="1367" t="str">
        <f>INDEX(TEMPLATE_NUMBER_POINT_FHD,B41,MATCH(TEMPLATE_SPHERE,TEMPLATE_SPHERE_LIST_FOR_NOTE,0))</f>
        <v>2.10.1</v>
      </c>
      <c r="J41" s="1367" t="str">
        <f>INDEX(TEMPLATE_DATA_POINT_FHD,B41,MATCH(TEMPLATE_SPHERE,TEMPLATE_SPHERE_LIST_FOR_NOTE,0))</f>
        <v>Расходы на текущий ремонт</v>
      </c>
      <c r="K41" s="1367" t="str">
        <f>INDEX(TEMPLATE_NOTE_POINT_FHD,B41,MATCH(TEMPLATE_SPHERE,TEMPLATE_SPHERE_LIST_FOR_NOTE,0))</f>
        <v>Указываются расходы на текущий ремонт, отнесенные к общепроизводственным расходам.</v>
      </c>
      <c r="L41" s="1205" t="str">
        <f>IF(I41=0,"",I41)</f>
        <v>2.10.1</v>
      </c>
      <c r="M41" s="1205" t="str">
        <f>IF(J41=0,"",J41)</f>
        <v>Расходы на текущий ремонт</v>
      </c>
      <c r="N41" s="1205" t="str">
        <f>IF(K41=0,"",K41)</f>
        <v>Указываются расходы на текущий ремонт, отнесенные к общепроизводственным расходам.</v>
      </c>
      <c r="O41" s="1319" t="s">
        <v>2027</v>
      </c>
      <c r="P41" s="1319" t="s">
        <v>2014</v>
      </c>
      <c r="Q41" s="1319" t="s">
        <v>2027</v>
      </c>
      <c r="R41" s="1319" t="s">
        <v>2014</v>
      </c>
      <c r="S41" s="1319"/>
      <c r="T41" s="1204" t="s">
        <v>2028</v>
      </c>
      <c r="U41" s="1204" t="s">
        <v>2028</v>
      </c>
      <c r="V41" s="1204" t="s">
        <v>2028</v>
      </c>
      <c r="W41" s="1204" t="s">
        <v>2028</v>
      </c>
      <c r="X41" s="1204"/>
      <c r="Y41" s="1362"/>
      <c r="Z41" s="1207" t="s">
        <v>2029</v>
      </c>
      <c r="AA41" s="1207" t="s">
        <v>2029</v>
      </c>
      <c r="AB41" s="1207" t="s">
        <v>2029</v>
      </c>
      <c r="AC41" s="1207" t="s">
        <v>2029</v>
      </c>
      <c r="AD41" s="1207"/>
    </row>
    <row customHeight="1" ht="27">
      <c r="A42" s="1206"/>
      <c r="B42" s="1260">
        <v>25</v>
      </c>
      <c r="C42" s="1204" t="s">
        <v>2030</v>
      </c>
      <c r="D42" s="1329"/>
      <c r="E42" s="1204"/>
      <c r="F42" s="1204"/>
      <c r="G42" s="1204"/>
      <c r="H42" s="1252"/>
      <c r="I42" s="1367" t="str">
        <f>INDEX(TEMPLATE_NUMBER_POINT_FHD,B42,MATCH(TEMPLATE_SPHERE,TEMPLATE_SPHERE_LIST_FOR_NOTE,0))</f>
        <v>2.10.2</v>
      </c>
      <c r="J42" s="1367" t="str">
        <f>INDEX(TEMPLATE_DATA_POINT_FHD,B42,MATCH(TEMPLATE_SPHERE,TEMPLATE_SPHERE_LIST_FOR_NOTE,0))</f>
        <v>Расходы на капитальный ремонт</v>
      </c>
      <c r="K42" s="1367" t="str">
        <f>INDEX(TEMPLATE_NOTE_POINT_FHD,B42,MATCH(TEMPLATE_SPHERE,TEMPLATE_SPHERE_LIST_FOR_NOTE,0))</f>
        <v>Указываются расходы на капитальный ремонт, отнесенные к общепроизводственным расходам.</v>
      </c>
      <c r="L42" s="1205" t="str">
        <f>IF(I42=0,"",I42)</f>
        <v>2.10.2</v>
      </c>
      <c r="M42" s="1205" t="str">
        <f>IF(J42=0,"",J42)</f>
        <v>Расходы на капитальный ремонт</v>
      </c>
      <c r="N42" s="1205" t="str">
        <f>IF(K42=0,"",K42)</f>
        <v>Указываются расходы на капитальный ремонт, отнесенные к общепроизводственным расходам.</v>
      </c>
      <c r="O42" s="1319" t="s">
        <v>2031</v>
      </c>
      <c r="P42" s="1319" t="s">
        <v>2017</v>
      </c>
      <c r="Q42" s="1319" t="s">
        <v>2031</v>
      </c>
      <c r="R42" s="1319" t="s">
        <v>2017</v>
      </c>
      <c r="S42" s="1319"/>
      <c r="T42" s="1204" t="s">
        <v>2032</v>
      </c>
      <c r="U42" s="1204" t="s">
        <v>2032</v>
      </c>
      <c r="V42" s="1204" t="s">
        <v>2032</v>
      </c>
      <c r="W42" s="1204" t="s">
        <v>2032</v>
      </c>
      <c r="X42" s="1204"/>
      <c r="Y42" s="1362"/>
      <c r="Z42" s="1207" t="s">
        <v>2033</v>
      </c>
      <c r="AA42" s="1207" t="s">
        <v>2033</v>
      </c>
      <c r="AB42" s="1207" t="s">
        <v>2033</v>
      </c>
      <c r="AC42" s="1207" t="s">
        <v>2033</v>
      </c>
      <c r="AD42" s="1207"/>
    </row>
    <row customHeight="1" ht="18">
      <c r="A43" s="1206"/>
      <c r="B43" s="1260">
        <v>26</v>
      </c>
      <c r="C43" s="1204">
        <v>14</v>
      </c>
      <c r="D43" s="1329"/>
      <c r="E43" s="1204"/>
      <c r="F43" s="1204"/>
      <c r="G43" s="1204"/>
      <c r="H43" s="1252"/>
      <c r="I43" s="1367" t="str">
        <f>INDEX(TEMPLATE_NUMBER_POINT_FHD,B43,MATCH(TEMPLATE_SPHERE,TEMPLATE_SPHERE_LIST_FOR_NOTE,0))</f>
        <v>2.11</v>
      </c>
      <c r="J43" s="1367" t="str">
        <f>INDEX(TEMPLATE_DATA_POINT_FHD,B43,MATCH(TEMPLATE_SPHERE,TEMPLATE_SPHERE_LIST_FOR_NOTE,0))</f>
        <v>Общехозяйственные расходы, в том числе:</v>
      </c>
      <c r="K43" s="1367" t="str">
        <f>INDEX(TEMPLATE_NOTE_POINT_FHD,B43,MATCH(TEMPLATE_SPHERE,TEMPLATE_SPHERE_LIST_FOR_NOTE,0))</f>
        <v>Указывается общая сумма общехозяйственных расходов.</v>
      </c>
      <c r="L43" s="1205" t="str">
        <f>IF(I43=0,"",I43)</f>
        <v>2.11</v>
      </c>
      <c r="M43" s="1205" t="str">
        <f>IF(J43=0,"",J43)</f>
        <v>Общехозяйственные расходы, в том числе:</v>
      </c>
      <c r="N43" s="1205" t="str">
        <f>IF(K43=0,"",K43)</f>
        <v>Указывается общая сумма общехозяйственных расходов.</v>
      </c>
      <c r="O43" s="1319" t="s">
        <v>2034</v>
      </c>
      <c r="P43" s="1319" t="s">
        <v>659</v>
      </c>
      <c r="Q43" s="1319" t="s">
        <v>2034</v>
      </c>
      <c r="R43" s="1319" t="s">
        <v>659</v>
      </c>
      <c r="S43" s="1319"/>
      <c r="T43" s="1204" t="s">
        <v>2035</v>
      </c>
      <c r="U43" s="1204" t="s">
        <v>2035</v>
      </c>
      <c r="V43" s="1204" t="s">
        <v>2035</v>
      </c>
      <c r="W43" s="1204" t="s">
        <v>2035</v>
      </c>
      <c r="X43" s="1204"/>
      <c r="Y43" s="1362"/>
      <c r="Z43" s="1207" t="s">
        <v>2036</v>
      </c>
      <c r="AA43" s="1207" t="s">
        <v>2036</v>
      </c>
      <c r="AB43" s="1207" t="s">
        <v>2036</v>
      </c>
      <c r="AC43" s="1207" t="s">
        <v>2036</v>
      </c>
      <c r="AD43" s="1207"/>
    </row>
    <row customHeight="1" ht="27">
      <c r="A44" s="1206"/>
      <c r="B44" s="1260">
        <v>27</v>
      </c>
      <c r="C44" s="1204" t="s">
        <v>2037</v>
      </c>
      <c r="D44" s="1329"/>
      <c r="E44" s="1204"/>
      <c r="F44" s="1204"/>
      <c r="G44" s="1204"/>
      <c r="H44" s="1252"/>
      <c r="I44" s="1367" t="str">
        <f>INDEX(TEMPLATE_NUMBER_POINT_FHD,B44,MATCH(TEMPLATE_SPHERE,TEMPLATE_SPHERE_LIST_FOR_NOTE,0))</f>
        <v>2.11.1</v>
      </c>
      <c r="J44" s="1367" t="str">
        <f>INDEX(TEMPLATE_DATA_POINT_FHD,B44,MATCH(TEMPLATE_SPHERE,TEMPLATE_SPHERE_LIST_FOR_NOTE,0))</f>
        <v>Расходы на текущий ремонт</v>
      </c>
      <c r="K44" s="1367" t="str">
        <f>INDEX(TEMPLATE_NOTE_POINT_FHD,B44,MATCH(TEMPLATE_SPHERE,TEMPLATE_SPHERE_LIST_FOR_NOTE,0))</f>
        <v>Указываются расходы на текущий ремонт, отнесенные к общехозяйственным расходам.</v>
      </c>
      <c r="L44" s="1205" t="str">
        <f>IF(I44=0,"",I44)</f>
        <v>2.11.1</v>
      </c>
      <c r="M44" s="1205" t="str">
        <f>IF(J44=0,"",J44)</f>
        <v>Расходы на текущий ремонт</v>
      </c>
      <c r="N44" s="1205" t="str">
        <f>IF(K44=0,"",K44)</f>
        <v>Указываются расходы на текущий ремонт, отнесенные к общехозяйственным расходам.</v>
      </c>
      <c r="O44" s="1319" t="s">
        <v>2038</v>
      </c>
      <c r="P44" s="1319" t="s">
        <v>2039</v>
      </c>
      <c r="Q44" s="1319" t="s">
        <v>2038</v>
      </c>
      <c r="R44" s="1319" t="s">
        <v>2039</v>
      </c>
      <c r="S44" s="1319"/>
      <c r="T44" s="1204" t="s">
        <v>2028</v>
      </c>
      <c r="U44" s="1204" t="s">
        <v>2028</v>
      </c>
      <c r="V44" s="1204" t="s">
        <v>2028</v>
      </c>
      <c r="W44" s="1204" t="s">
        <v>2028</v>
      </c>
      <c r="X44" s="1204"/>
      <c r="Y44" s="1362"/>
      <c r="Z44" s="1207" t="s">
        <v>2040</v>
      </c>
      <c r="AA44" s="1207" t="s">
        <v>2040</v>
      </c>
      <c r="AB44" s="1207" t="s">
        <v>2040</v>
      </c>
      <c r="AC44" s="1207" t="s">
        <v>2040</v>
      </c>
      <c r="AD44" s="1207"/>
    </row>
    <row customHeight="1" ht="27">
      <c r="A45" s="1206"/>
      <c r="B45" s="1260">
        <v>28</v>
      </c>
      <c r="C45" s="1204" t="s">
        <v>2041</v>
      </c>
      <c r="D45" s="1329"/>
      <c r="E45" s="1204"/>
      <c r="F45" s="1204"/>
      <c r="G45" s="1204"/>
      <c r="H45" s="1252"/>
      <c r="I45" s="1367" t="str">
        <f>INDEX(TEMPLATE_NUMBER_POINT_FHD,B45,MATCH(TEMPLATE_SPHERE,TEMPLATE_SPHERE_LIST_FOR_NOTE,0))</f>
        <v>2.11.2</v>
      </c>
      <c r="J45" s="1367" t="str">
        <f>INDEX(TEMPLATE_DATA_POINT_FHD,B45,MATCH(TEMPLATE_SPHERE,TEMPLATE_SPHERE_LIST_FOR_NOTE,0))</f>
        <v>Расходы на капитальный ремонт</v>
      </c>
      <c r="K45" s="1367" t="str">
        <f>INDEX(TEMPLATE_NOTE_POINT_FHD,B45,MATCH(TEMPLATE_SPHERE,TEMPLATE_SPHERE_LIST_FOR_NOTE,0))</f>
        <v>Указываются расходы на капитальный ремонт, отнесенные к общехозяйственным расходам.</v>
      </c>
      <c r="L45" s="1205" t="str">
        <f>IF(I45=0,"",I45)</f>
        <v>2.11.2</v>
      </c>
      <c r="M45" s="1205" t="str">
        <f>IF(J45=0,"",J45)</f>
        <v>Расходы на капитальный ремонт</v>
      </c>
      <c r="N45" s="1205" t="str">
        <f>IF(K45=0,"",K45)</f>
        <v>Указываются расходы на капитальный ремонт, отнесенные к общехозяйственным расходам.</v>
      </c>
      <c r="O45" s="1319" t="s">
        <v>2042</v>
      </c>
      <c r="P45" s="1319" t="s">
        <v>2043</v>
      </c>
      <c r="Q45" s="1319" t="s">
        <v>2042</v>
      </c>
      <c r="R45" s="1319" t="s">
        <v>2043</v>
      </c>
      <c r="S45" s="1319"/>
      <c r="T45" s="1204" t="s">
        <v>2032</v>
      </c>
      <c r="U45" s="1204" t="s">
        <v>2032</v>
      </c>
      <c r="V45" s="1204" t="s">
        <v>2032</v>
      </c>
      <c r="W45" s="1204" t="s">
        <v>2032</v>
      </c>
      <c r="X45" s="1204"/>
      <c r="Y45" s="1362"/>
      <c r="Z45" s="1207" t="s">
        <v>2044</v>
      </c>
      <c r="AA45" s="1207" t="s">
        <v>2044</v>
      </c>
      <c r="AB45" s="1207" t="s">
        <v>2044</v>
      </c>
      <c r="AC45" s="1207" t="s">
        <v>2044</v>
      </c>
      <c r="AD45" s="1207"/>
    </row>
    <row customHeight="1" ht="54">
      <c r="A46" s="1206"/>
      <c r="B46" s="1260">
        <v>29</v>
      </c>
      <c r="C46" s="1204">
        <v>15</v>
      </c>
      <c r="D46" s="1329"/>
      <c r="E46" s="1204"/>
      <c r="F46" s="1204"/>
      <c r="G46" s="1204"/>
      <c r="H46" s="1252"/>
      <c r="I46" s="1367" t="str">
        <f>INDEX(TEMPLATE_NUMBER_POINT_FHD,B46,MATCH(TEMPLATE_SPHERE,TEMPLATE_SPHERE_LIST_FOR_NOTE,0))</f>
        <v>2.12</v>
      </c>
      <c r="J46" s="1367" t="str">
        <f>INDEX(TEMPLATE_DATA_POINT_FHD,B46,MATCH(TEMPLATE_SPHERE,TEMPLATE_SPHERE_LIST_FOR_NOTE,0))</f>
        <v>Расходы на капитальный и текущий ремонт основных средств</v>
      </c>
      <c r="K46" s="1367"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1205" t="str">
        <f>IF(I46=0,"",I46)</f>
        <v>2.12</v>
      </c>
      <c r="M46" s="1205" t="str">
        <f>IF(J46=0,"",J46)</f>
        <v>Расходы на капитальный и текущий ремонт основных средств</v>
      </c>
      <c r="N46" s="120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319" t="s">
        <v>2045</v>
      </c>
      <c r="P46" s="1319" t="s">
        <v>2023</v>
      </c>
      <c r="Q46" s="1319" t="s">
        <v>2045</v>
      </c>
      <c r="R46" s="1319" t="s">
        <v>2023</v>
      </c>
      <c r="S46" s="1319"/>
      <c r="T46" s="1204" t="s">
        <v>2046</v>
      </c>
      <c r="U46" s="1204" t="s">
        <v>2046</v>
      </c>
      <c r="V46" s="1204" t="s">
        <v>2046</v>
      </c>
      <c r="W46" s="1204" t="s">
        <v>2046</v>
      </c>
      <c r="X46" s="1204"/>
      <c r="Y46" s="1362"/>
      <c r="Z46" s="1207" t="s">
        <v>2047</v>
      </c>
      <c r="AA46" s="1207" t="s">
        <v>2048</v>
      </c>
      <c r="AB46" s="1207" t="s">
        <v>2048</v>
      </c>
      <c r="AC46" s="1207" t="s">
        <v>2048</v>
      </c>
      <c r="AD46" s="1207"/>
    </row>
    <row customHeight="1" ht="54">
      <c r="A47" s="1206"/>
      <c r="B47" s="1260">
        <v>30</v>
      </c>
      <c r="C47" s="1204" t="s">
        <v>2049</v>
      </c>
      <c r="D47" s="1329"/>
      <c r="E47" s="1204"/>
      <c r="F47" s="1204"/>
      <c r="G47" s="1204"/>
      <c r="H47" s="1252"/>
      <c r="I47" s="1367" t="str">
        <f>INDEX(TEMPLATE_NUMBER_POINT_FHD,B47,MATCH(TEMPLATE_SPHERE,TEMPLATE_SPHERE_LIST_FOR_NOTE,0))</f>
        <v>2.12.1</v>
      </c>
      <c r="J47" s="136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367">
        <f>INDEX(TEMPLATE_NOTE_POINT_FHD,B47,MATCH(TEMPLATE_SPHERE,TEMPLATE_SPHERE_LIST_FOR_NOTE,0))</f>
        <v>0</v>
      </c>
      <c r="L47" s="1205" t="str">
        <f>IF(I47=0,"",I47)</f>
        <v>2.12.1</v>
      </c>
      <c r="M47" s="120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1205" t="str">
        <f>IF(K47=0,"",K47)</f>
        <v/>
      </c>
      <c r="O47" s="1319" t="s">
        <v>2050</v>
      </c>
      <c r="P47" s="1319" t="s">
        <v>2027</v>
      </c>
      <c r="Q47" s="1319" t="s">
        <v>2050</v>
      </c>
      <c r="R47" s="1319" t="s">
        <v>2027</v>
      </c>
      <c r="S47" s="1319"/>
      <c r="T47" s="1204" t="s">
        <v>2051</v>
      </c>
      <c r="U47" s="1204" t="s">
        <v>2051</v>
      </c>
      <c r="V47" s="1204" t="s">
        <v>2051</v>
      </c>
      <c r="W47" s="1204" t="s">
        <v>2051</v>
      </c>
      <c r="X47" s="1204"/>
      <c r="Y47" s="1362"/>
      <c r="Z47" s="1207"/>
      <c r="AA47" s="1210"/>
      <c r="AB47" s="1210"/>
      <c r="AC47" s="1210"/>
      <c r="AD47" s="1207"/>
    </row>
    <row customHeight="1" ht="54">
      <c r="A48" s="1206"/>
      <c r="B48" s="1260">
        <v>31</v>
      </c>
      <c r="C48" s="1204">
        <v>16</v>
      </c>
      <c r="D48" s="1329"/>
      <c r="E48" s="1204"/>
      <c r="F48" s="1204"/>
      <c r="G48" s="1204"/>
      <c r="H48" s="1252"/>
      <c r="I48" s="1367" t="str">
        <f>INDEX(TEMPLATE_NUMBER_POINT_FHD,B48,MATCH(TEMPLATE_SPHERE,TEMPLATE_SPHERE_LIST_FOR_NOTE,0))</f>
        <v>2.13</v>
      </c>
      <c r="J48" s="1367"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367"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1205" t="str">
        <f>IF(I48=0,"",I48)</f>
        <v>2.13</v>
      </c>
      <c r="M48" s="120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120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1319"/>
      <c r="P48" s="1319" t="s">
        <v>2034</v>
      </c>
      <c r="Q48" s="1319" t="s">
        <v>2052</v>
      </c>
      <c r="R48" s="1319" t="s">
        <v>2034</v>
      </c>
      <c r="S48" s="1319"/>
      <c r="T48" s="1204"/>
      <c r="U48" s="1204" t="s">
        <v>2053</v>
      </c>
      <c r="V48" s="1204" t="s">
        <v>2054</v>
      </c>
      <c r="W48" s="1204" t="s">
        <v>2054</v>
      </c>
      <c r="X48" s="1204"/>
      <c r="Y48" s="1362"/>
      <c r="Z48" s="1207"/>
      <c r="AA48" s="1210" t="s">
        <v>2048</v>
      </c>
      <c r="AB48" s="1210" t="s">
        <v>2048</v>
      </c>
      <c r="AC48" s="1210" t="s">
        <v>2048</v>
      </c>
      <c r="AD48" s="1207"/>
    </row>
    <row customHeight="1" ht="54">
      <c r="A49" s="1206"/>
      <c r="B49" s="1260">
        <v>32</v>
      </c>
      <c r="C49" s="1204" t="s">
        <v>2055</v>
      </c>
      <c r="D49" s="1329"/>
      <c r="E49" s="1204"/>
      <c r="F49" s="1204"/>
      <c r="G49" s="1204"/>
      <c r="H49" s="1252"/>
      <c r="I49" s="1367" t="str">
        <f>INDEX(TEMPLATE_NUMBER_POINT_FHD,B49,MATCH(TEMPLATE_SPHERE,TEMPLATE_SPHERE_LIST_FOR_NOTE,0))</f>
        <v>2.13.1</v>
      </c>
      <c r="J49" s="1367"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367">
        <f>INDEX(TEMPLATE_NOTE_POINT_FHD,B49,MATCH(TEMPLATE_SPHERE,TEMPLATE_SPHERE_LIST_FOR_NOTE,0))</f>
        <v>0</v>
      </c>
      <c r="L49" s="1205" t="str">
        <f>IF(I49=0,"",I49)</f>
        <v>2.13.1</v>
      </c>
      <c r="M49" s="120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1205" t="str">
        <f>IF(K49=0,"",K49)</f>
        <v/>
      </c>
      <c r="O49" s="1319"/>
      <c r="P49" s="1319" t="s">
        <v>2038</v>
      </c>
      <c r="Q49" s="1319" t="s">
        <v>2056</v>
      </c>
      <c r="R49" s="1319" t="s">
        <v>2038</v>
      </c>
      <c r="S49" s="1319"/>
      <c r="T49" s="1204"/>
      <c r="U49" s="1204" t="s">
        <v>2051</v>
      </c>
      <c r="V49" s="1204" t="s">
        <v>2051</v>
      </c>
      <c r="W49" s="1204" t="s">
        <v>2051</v>
      </c>
      <c r="X49" s="1204"/>
      <c r="Y49" s="1362"/>
      <c r="Z49" s="1207"/>
      <c r="AA49" s="1210"/>
      <c r="AB49" s="1210"/>
      <c r="AC49" s="1210"/>
      <c r="AD49" s="1207"/>
    </row>
    <row customHeight="1" ht="126">
      <c r="A50" s="1206"/>
      <c r="B50" s="1260">
        <v>33</v>
      </c>
      <c r="C50" s="1204">
        <v>17</v>
      </c>
      <c r="D50" s="1329"/>
      <c r="E50" s="1204"/>
      <c r="F50" s="1204"/>
      <c r="G50" s="1204"/>
      <c r="H50" s="1252"/>
      <c r="I50" s="1367" t="str">
        <f>INDEX(TEMPLATE_NUMBER_POINT_FHD,B50,MATCH(TEMPLATE_SPHERE,TEMPLATE_SPHERE_LIST_FOR_NOTE,0))</f>
        <v>2.14</v>
      </c>
      <c r="J50" s="1367"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36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1205" t="str">
        <f>IF(I50=0,"",I50)</f>
        <v>2.14</v>
      </c>
      <c r="M50" s="1205"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120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1319" t="s">
        <v>2052</v>
      </c>
      <c r="P50" s="1319" t="s">
        <v>2045</v>
      </c>
      <c r="Q50" s="1319" t="s">
        <v>2057</v>
      </c>
      <c r="R50" s="1319" t="s">
        <v>2045</v>
      </c>
      <c r="S50" s="1319"/>
      <c r="T50" s="1204" t="s">
        <v>2058</v>
      </c>
      <c r="U50" s="1204" t="s">
        <v>2059</v>
      </c>
      <c r="V50" s="1204" t="s">
        <v>2060</v>
      </c>
      <c r="W50" s="1204" t="s">
        <v>2061</v>
      </c>
      <c r="X50" s="1204"/>
      <c r="Y50" s="1362"/>
      <c r="Z50" s="1207" t="s">
        <v>2062</v>
      </c>
      <c r="AA50" s="1210" t="s">
        <v>2063</v>
      </c>
      <c r="AB50" s="1210" t="s">
        <v>2063</v>
      </c>
      <c r="AC50" s="1210" t="s">
        <v>2063</v>
      </c>
      <c r="AD50" s="1207"/>
    </row>
    <row customHeight="1" ht="27">
      <c r="A51" s="1206"/>
      <c r="B51" s="1260">
        <v>34</v>
      </c>
      <c r="C51" s="1204" t="s">
        <v>2064</v>
      </c>
      <c r="D51" s="1329"/>
      <c r="E51" s="1204"/>
      <c r="F51" s="1204"/>
      <c r="G51" s="1204"/>
      <c r="H51" s="1252"/>
      <c r="I51" s="1367">
        <f>INDEX(TEMPLATE_NUMBER_POINT_FHD,B51,MATCH(TEMPLATE_SPHERE,TEMPLATE_SPHERE_LIST_FOR_NOTE,0))</f>
        <v>0</v>
      </c>
      <c r="J51" s="1367">
        <f>INDEX(TEMPLATE_DATA_POINT_FHD,B51,MATCH(TEMPLATE_SPHERE,TEMPLATE_SPHERE_LIST_FOR_NOTE,0))</f>
        <v>0</v>
      </c>
      <c r="K51" s="1367">
        <f>INDEX(TEMPLATE_NOTE_POINT_FHD,B51,MATCH(TEMPLATE_SPHERE,TEMPLATE_SPHERE_LIST_FOR_NOTE,0))</f>
        <v>0</v>
      </c>
      <c r="L51" s="1205" t="str">
        <f>IF(I51=0,"",I51)</f>
        <v/>
      </c>
      <c r="M51" s="1205" t="str">
        <f>IF(J51=0,"",J51)</f>
        <v/>
      </c>
      <c r="N51" s="1205" t="str">
        <f>IF(K51=0,"",K51)</f>
        <v/>
      </c>
      <c r="O51" s="1319" t="s">
        <v>87</v>
      </c>
      <c r="P51" s="1319"/>
      <c r="Q51" s="1319"/>
      <c r="R51" s="1319"/>
      <c r="S51" s="1319"/>
      <c r="T51" s="1204" t="s">
        <v>2065</v>
      </c>
      <c r="U51" s="1204"/>
      <c r="V51" s="1204"/>
      <c r="W51" s="1204"/>
      <c r="X51" s="1204"/>
      <c r="Y51" s="1362"/>
      <c r="Z51" s="1207"/>
      <c r="AA51" s="1210"/>
      <c r="AB51" s="1210"/>
      <c r="AC51" s="1210"/>
      <c r="AD51" s="1207"/>
    </row>
    <row customHeight="1" ht="36">
      <c r="A52" s="1206"/>
      <c r="B52" s="1260">
        <v>35</v>
      </c>
      <c r="C52" s="1204" t="s">
        <v>1957</v>
      </c>
      <c r="D52" s="1329" t="s">
        <v>1957</v>
      </c>
      <c r="E52" s="1204" t="s">
        <v>1957</v>
      </c>
      <c r="F52" s="1204" t="s">
        <v>1957</v>
      </c>
      <c r="G52" s="1204"/>
      <c r="H52" s="1252"/>
      <c r="I52" s="1367" t="str">
        <f>INDEX(TEMPLATE_NUMBER_POINT_FHD,B52,MATCH(TEMPLATE_SPHERE,TEMPLATE_SPHERE_LIST_FOR_NOTE,0))</f>
        <v>3</v>
      </c>
      <c r="J52" s="1367"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367" t="str">
        <f>INDEX(TEMPLATE_NOTE_POINT_FHD,B52,MATCH(TEMPLATE_SPHERE,TEMPLATE_SPHERE_LIST_FOR_NOTE,0))</f>
        <v>Указывается общая сумма чистой прибыли, полученной от регулируемого вида деятельности.</v>
      </c>
      <c r="L52" s="1205" t="str">
        <f>IF(I52=0,"",I52)</f>
        <v>3</v>
      </c>
      <c r="M52" s="1205" t="str">
        <f>IF(J52=0,"",J52)</f>
        <v>Чистая прибыль, полученная от регулируемого вида деятельности в сфере горячего водоснабжения, в том числе:</v>
      </c>
      <c r="N52" s="1205" t="str">
        <f>IF(K52=0,"",K52)</f>
        <v>Указывается общая сумма чистой прибыли, полученной от регулируемого вида деятельности.</v>
      </c>
      <c r="O52" s="1319" t="s">
        <v>88</v>
      </c>
      <c r="P52" s="1319" t="s">
        <v>87</v>
      </c>
      <c r="Q52" s="1319" t="s">
        <v>87</v>
      </c>
      <c r="R52" s="1319" t="s">
        <v>87</v>
      </c>
      <c r="S52" s="1319"/>
      <c r="T52" s="1204" t="s">
        <v>2066</v>
      </c>
      <c r="U52" s="1204" t="s">
        <v>2067</v>
      </c>
      <c r="V52" s="1204" t="s">
        <v>2068</v>
      </c>
      <c r="W52" s="1204" t="s">
        <v>2069</v>
      </c>
      <c r="X52" s="1204"/>
      <c r="Y52" s="1362"/>
      <c r="Z52" s="1207" t="s">
        <v>663</v>
      </c>
      <c r="AA52" s="1210" t="s">
        <v>663</v>
      </c>
      <c r="AB52" s="1210" t="s">
        <v>663</v>
      </c>
      <c r="AC52" s="1210" t="s">
        <v>663</v>
      </c>
      <c r="AD52" s="1207"/>
    </row>
    <row customHeight="1" ht="36">
      <c r="A53" s="1206"/>
      <c r="B53" s="1260">
        <v>36</v>
      </c>
      <c r="C53" s="1204">
        <v>1</v>
      </c>
      <c r="D53" s="1329"/>
      <c r="E53" s="1204"/>
      <c r="F53" s="1204"/>
      <c r="G53" s="1204"/>
      <c r="H53" s="1252"/>
      <c r="I53" s="1367" t="str">
        <f>INDEX(TEMPLATE_NUMBER_POINT_FHD,B53,MATCH(TEMPLATE_SPHERE,TEMPLATE_SPHERE_LIST_FOR_NOTE,0))</f>
        <v>3.1</v>
      </c>
      <c r="J53" s="136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367">
        <f>INDEX(TEMPLATE_NOTE_POINT_FHD,B53,MATCH(TEMPLATE_SPHERE,TEMPLATE_SPHERE_LIST_FOR_NOTE,0))</f>
        <v>0</v>
      </c>
      <c r="L53" s="1205" t="str">
        <f>IF(I53=0,"",I53)</f>
        <v>3.1</v>
      </c>
      <c r="M53" s="120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1205" t="str">
        <f>IF(K53=0,"",K53)</f>
        <v/>
      </c>
      <c r="O53" s="1319" t="s">
        <v>667</v>
      </c>
      <c r="P53" s="1319" t="s">
        <v>324</v>
      </c>
      <c r="Q53" s="1319" t="s">
        <v>324</v>
      </c>
      <c r="R53" s="1319" t="s">
        <v>324</v>
      </c>
      <c r="S53" s="1319"/>
      <c r="T53" s="1204" t="s">
        <v>2070</v>
      </c>
      <c r="U53" s="1204" t="s">
        <v>2070</v>
      </c>
      <c r="V53" s="1204" t="s">
        <v>2070</v>
      </c>
      <c r="W53" s="1204" t="s">
        <v>2070</v>
      </c>
      <c r="X53" s="1204"/>
      <c r="Y53" s="1362"/>
      <c r="Z53" s="1207"/>
      <c r="AA53" s="1210"/>
      <c r="AB53" s="1207"/>
      <c r="AC53" s="1207"/>
      <c r="AD53" s="1207"/>
    </row>
    <row customHeight="1" ht="18">
      <c r="A54" s="1206"/>
      <c r="B54" s="1260">
        <v>37</v>
      </c>
      <c r="C54" s="1204" t="s">
        <v>1963</v>
      </c>
      <c r="D54" s="1329" t="s">
        <v>1963</v>
      </c>
      <c r="E54" s="1204" t="s">
        <v>1963</v>
      </c>
      <c r="F54" s="1204" t="s">
        <v>1963</v>
      </c>
      <c r="G54" s="1204"/>
      <c r="H54" s="1252"/>
      <c r="I54" s="1367" t="str">
        <f>INDEX(TEMPLATE_NUMBER_POINT_FHD,B54,MATCH(TEMPLATE_SPHERE,TEMPLATE_SPHERE_LIST_FOR_NOTE,0))</f>
        <v>4</v>
      </c>
      <c r="J54" s="1367" t="str">
        <f>INDEX(TEMPLATE_DATA_POINT_FHD,B54,MATCH(TEMPLATE_SPHERE,TEMPLATE_SPHERE_LIST_FOR_NOTE,0))</f>
        <v>Изменение стоимости основных фондов, в том числе:</v>
      </c>
      <c r="K54" s="1367" t="str">
        <f>INDEX(TEMPLATE_NOTE_POINT_FHD,B54,MATCH(TEMPLATE_SPHERE,TEMPLATE_SPHERE_LIST_FOR_NOTE,0))</f>
        <v>Указывается общее изменение стоимости основных фондов.</v>
      </c>
      <c r="L54" s="1205" t="str">
        <f>IF(I54=0,"",I54)</f>
        <v>4</v>
      </c>
      <c r="M54" s="1205" t="str">
        <f>IF(J54=0,"",J54)</f>
        <v>Изменение стоимости основных фондов, в том числе:</v>
      </c>
      <c r="N54" s="1205" t="str">
        <f>IF(K54=0,"",K54)</f>
        <v>Указывается общее изменение стоимости основных фондов.</v>
      </c>
      <c r="O54" s="1319" t="s">
        <v>108</v>
      </c>
      <c r="P54" s="1319" t="s">
        <v>88</v>
      </c>
      <c r="Q54" s="1319" t="s">
        <v>88</v>
      </c>
      <c r="R54" s="1319" t="s">
        <v>88</v>
      </c>
      <c r="S54" s="1319"/>
      <c r="T54" s="1204" t="s">
        <v>665</v>
      </c>
      <c r="U54" s="1204" t="s">
        <v>665</v>
      </c>
      <c r="V54" s="1204" t="s">
        <v>665</v>
      </c>
      <c r="W54" s="1204" t="s">
        <v>665</v>
      </c>
      <c r="X54" s="1204"/>
      <c r="Y54" s="1362"/>
      <c r="Z54" s="1207" t="s">
        <v>666</v>
      </c>
      <c r="AA54" s="1207" t="s">
        <v>666</v>
      </c>
      <c r="AB54" s="1207" t="s">
        <v>666</v>
      </c>
      <c r="AC54" s="1207" t="s">
        <v>666</v>
      </c>
      <c r="AD54" s="1207"/>
    </row>
    <row customHeight="1" ht="36">
      <c r="A55" s="1206"/>
      <c r="B55" s="1260">
        <v>38</v>
      </c>
      <c r="C55" s="1204">
        <v>1</v>
      </c>
      <c r="D55" s="1329"/>
      <c r="E55" s="1204"/>
      <c r="F55" s="1204"/>
      <c r="G55" s="1204"/>
      <c r="H55" s="1252"/>
      <c r="I55" s="1367" t="str">
        <f>INDEX(TEMPLATE_NUMBER_POINT_FHD,B55,MATCH(TEMPLATE_SPHERE,TEMPLATE_SPHERE_LIST_FOR_NOTE,0))</f>
        <v>4.1</v>
      </c>
      <c r="J55" s="1367" t="str">
        <f>INDEX(TEMPLATE_DATA_POINT_FHD,B55,MATCH(TEMPLATE_SPHERE,TEMPLATE_SPHERE_LIST_FOR_NOTE,0))</f>
        <v>Изменение стоимости основных фондов за счет их ввода в эксплуатацию (вывода из эксплуатации)</v>
      </c>
      <c r="K55" s="136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1205" t="str">
        <f>IF(I55=0,"",I55)</f>
        <v>4.1</v>
      </c>
      <c r="M55" s="1205" t="str">
        <f>IF(J55=0,"",J55)</f>
        <v>Изменение стоимости основных фондов за счет их ввода в эксплуатацию (вывода из эксплуатации)</v>
      </c>
      <c r="N55" s="1205" t="str">
        <f>IF(K55=0,"",K55)</f>
        <v>Указываются общее изменение стоимости основных фондов за счет их ввода в эксплуатацию и вывода из эксплуатации.</v>
      </c>
      <c r="O55" s="1319" t="s">
        <v>313</v>
      </c>
      <c r="P55" s="1319" t="s">
        <v>667</v>
      </c>
      <c r="Q55" s="1319" t="s">
        <v>667</v>
      </c>
      <c r="R55" s="1319" t="s">
        <v>667</v>
      </c>
      <c r="S55" s="1319"/>
      <c r="T55" s="1204" t="s">
        <v>2071</v>
      </c>
      <c r="U55" s="1204" t="s">
        <v>2072</v>
      </c>
      <c r="V55" s="1204" t="s">
        <v>2072</v>
      </c>
      <c r="W55" s="1204" t="s">
        <v>2072</v>
      </c>
      <c r="X55" s="1204"/>
      <c r="Y55" s="1362"/>
      <c r="Z55" s="1207" t="s">
        <v>2073</v>
      </c>
      <c r="AA55" s="1207" t="s">
        <v>2073</v>
      </c>
      <c r="AB55" s="1207" t="s">
        <v>2073</v>
      </c>
      <c r="AC55" s="1207" t="s">
        <v>2073</v>
      </c>
      <c r="AD55" s="1207"/>
    </row>
    <row customHeight="1" ht="27">
      <c r="A56" s="1206"/>
      <c r="B56" s="1260">
        <v>39</v>
      </c>
      <c r="C56" s="1204" t="s">
        <v>939</v>
      </c>
      <c r="D56" s="1329"/>
      <c r="E56" s="1204"/>
      <c r="F56" s="1204"/>
      <c r="G56" s="1204"/>
      <c r="H56" s="1252"/>
      <c r="I56" s="1367" t="str">
        <f>INDEX(TEMPLATE_NUMBER_POINT_FHD,B56,MATCH(TEMPLATE_SPHERE,TEMPLATE_SPHERE_LIST_FOR_NOTE,0))</f>
        <v>4.1.1</v>
      </c>
      <c r="J56" s="1367" t="str">
        <f>INDEX(TEMPLATE_DATA_POINT_FHD,B56,MATCH(TEMPLATE_SPHERE,TEMPLATE_SPHERE_LIST_FOR_NOTE,0))</f>
        <v>Изменение стоимости основных фондов за счет их ввода в эксплуатацию</v>
      </c>
      <c r="K56" s="1367" t="str">
        <f>INDEX(TEMPLATE_NOTE_POINT_FHD,B56,MATCH(TEMPLATE_SPHERE,TEMPLATE_SPHERE_LIST_FOR_NOTE,0))</f>
        <v>Указываются изменение стоимости основных фондов за счет их ввода в эксплуатацию.</v>
      </c>
      <c r="L56" s="1205" t="str">
        <f>IF(I56=0,"",I56)</f>
        <v>4.1.1</v>
      </c>
      <c r="M56" s="1205" t="str">
        <f>IF(J56=0,"",J56)</f>
        <v>Изменение стоимости основных фондов за счет их ввода в эксплуатацию</v>
      </c>
      <c r="N56" s="1205" t="str">
        <f>IF(K56=0,"",K56)</f>
        <v>Указываются изменение стоимости основных фондов за счет их ввода в эксплуатацию.</v>
      </c>
      <c r="O56" s="1319" t="s">
        <v>1064</v>
      </c>
      <c r="P56" s="1319" t="s">
        <v>670</v>
      </c>
      <c r="Q56" s="1319" t="s">
        <v>670</v>
      </c>
      <c r="R56" s="1319" t="s">
        <v>670</v>
      </c>
      <c r="S56" s="1319"/>
      <c r="T56" s="1204" t="s">
        <v>2074</v>
      </c>
      <c r="U56" s="1204" t="s">
        <v>2075</v>
      </c>
      <c r="V56" s="1204" t="s">
        <v>2075</v>
      </c>
      <c r="W56" s="1204" t="s">
        <v>2075</v>
      </c>
      <c r="X56" s="1204"/>
      <c r="Y56" s="1362"/>
      <c r="Z56" s="1207" t="s">
        <v>672</v>
      </c>
      <c r="AA56" s="1207" t="s">
        <v>672</v>
      </c>
      <c r="AB56" s="1207" t="s">
        <v>672</v>
      </c>
      <c r="AC56" s="1207" t="s">
        <v>672</v>
      </c>
      <c r="AD56" s="1207"/>
    </row>
    <row customHeight="1" ht="27">
      <c r="A57" s="1206"/>
      <c r="B57" s="1260">
        <v>40</v>
      </c>
      <c r="C57" s="1204" t="s">
        <v>941</v>
      </c>
      <c r="D57" s="1329"/>
      <c r="E57" s="1204"/>
      <c r="F57" s="1204"/>
      <c r="G57" s="1204"/>
      <c r="H57" s="1252"/>
      <c r="I57" s="1367" t="str">
        <f>INDEX(TEMPLATE_NUMBER_POINT_FHD,B57,MATCH(TEMPLATE_SPHERE,TEMPLATE_SPHERE_LIST_FOR_NOTE,0))</f>
        <v>4.1.2</v>
      </c>
      <c r="J57" s="1367" t="str">
        <f>INDEX(TEMPLATE_DATA_POINT_FHD,B57,MATCH(TEMPLATE_SPHERE,TEMPLATE_SPHERE_LIST_FOR_NOTE,0))</f>
        <v>Изменение стоимости основных фондов за счет их вывода в эксплуатацию</v>
      </c>
      <c r="K57" s="1367" t="str">
        <f>INDEX(TEMPLATE_NOTE_POINT_FHD,B57,MATCH(TEMPLATE_SPHERE,TEMPLATE_SPHERE_LIST_FOR_NOTE,0))</f>
        <v>Указываются изменение стоимости основных фондов за счет их вывода из эксплуатации.</v>
      </c>
      <c r="L57" s="1205" t="str">
        <f>IF(I57=0,"",I57)</f>
        <v>4.1.2</v>
      </c>
      <c r="M57" s="1205" t="str">
        <f>IF(J57=0,"",J57)</f>
        <v>Изменение стоимости основных фондов за счет их вывода в эксплуатацию</v>
      </c>
      <c r="N57" s="1205" t="str">
        <f>IF(K57=0,"",K57)</f>
        <v>Указываются изменение стоимости основных фондов за счет их вывода из эксплуатации.</v>
      </c>
      <c r="O57" s="1319" t="s">
        <v>2076</v>
      </c>
      <c r="P57" s="1319" t="s">
        <v>673</v>
      </c>
      <c r="Q57" s="1319" t="s">
        <v>673</v>
      </c>
      <c r="R57" s="1319" t="s">
        <v>673</v>
      </c>
      <c r="S57" s="1319"/>
      <c r="T57" s="1204" t="s">
        <v>2077</v>
      </c>
      <c r="U57" s="1204" t="s">
        <v>2078</v>
      </c>
      <c r="V57" s="1204" t="s">
        <v>2078</v>
      </c>
      <c r="W57" s="1204" t="s">
        <v>2078</v>
      </c>
      <c r="X57" s="1204"/>
      <c r="Y57" s="1362"/>
      <c r="Z57" s="1207" t="s">
        <v>675</v>
      </c>
      <c r="AA57" s="1207" t="s">
        <v>675</v>
      </c>
      <c r="AB57" s="1207" t="s">
        <v>675</v>
      </c>
      <c r="AC57" s="1207" t="s">
        <v>675</v>
      </c>
      <c r="AD57" s="1207"/>
    </row>
    <row customHeight="1" ht="18">
      <c r="A58" s="1206"/>
      <c r="B58" s="1260">
        <v>41</v>
      </c>
      <c r="C58" s="1204">
        <v>2</v>
      </c>
      <c r="D58" s="1329"/>
      <c r="E58" s="1204"/>
      <c r="F58" s="1204"/>
      <c r="G58" s="1204"/>
      <c r="H58" s="1252"/>
      <c r="I58" s="1367" t="str">
        <f>INDEX(TEMPLATE_NUMBER_POINT_FHD,B58,MATCH(TEMPLATE_SPHERE,TEMPLATE_SPHERE_LIST_FOR_NOTE,0))</f>
        <v>4.2</v>
      </c>
      <c r="J58" s="1367" t="str">
        <f>INDEX(TEMPLATE_DATA_POINT_FHD,B58,MATCH(TEMPLATE_SPHERE,TEMPLATE_SPHERE_LIST_FOR_NOTE,0))</f>
        <v>Изменение стоимости основных фондов за счет их переоценки</v>
      </c>
      <c r="K58" s="1367">
        <f>INDEX(TEMPLATE_NOTE_POINT_FHD,B58,MATCH(TEMPLATE_SPHERE,TEMPLATE_SPHERE_LIST_FOR_NOTE,0))</f>
        <v>0</v>
      </c>
      <c r="L58" s="1205" t="str">
        <f>IF(I58=0,"",I58)</f>
        <v>4.2</v>
      </c>
      <c r="M58" s="1205" t="str">
        <f>IF(J58=0,"",J58)</f>
        <v>Изменение стоимости основных фондов за счет их переоценки</v>
      </c>
      <c r="N58" s="1205" t="str">
        <f>IF(K58=0,"",K58)</f>
        <v/>
      </c>
      <c r="O58" s="1319" t="s">
        <v>796</v>
      </c>
      <c r="P58" s="1319" t="s">
        <v>710</v>
      </c>
      <c r="Q58" s="1319" t="s">
        <v>710</v>
      </c>
      <c r="R58" s="1319" t="s">
        <v>710</v>
      </c>
      <c r="S58" s="1319"/>
      <c r="T58" s="1204" t="s">
        <v>2079</v>
      </c>
      <c r="U58" s="1204" t="s">
        <v>2079</v>
      </c>
      <c r="V58" s="1204" t="s">
        <v>2079</v>
      </c>
      <c r="W58" s="1204" t="s">
        <v>2079</v>
      </c>
      <c r="X58" s="1204"/>
      <c r="Y58" s="1362"/>
      <c r="Z58" s="1207"/>
      <c r="AA58" s="1210"/>
      <c r="AB58" s="1207"/>
      <c r="AC58" s="1207"/>
      <c r="AD58" s="1207"/>
    </row>
    <row customHeight="1" ht="36">
      <c r="A59" s="1206"/>
      <c r="B59" s="1260">
        <v>42</v>
      </c>
      <c r="C59" s="1204">
        <v>3</v>
      </c>
      <c r="D59" s="1329" t="s">
        <v>2064</v>
      </c>
      <c r="E59" s="1204" t="s">
        <v>2064</v>
      </c>
      <c r="F59" s="1204" t="s">
        <v>2064</v>
      </c>
      <c r="G59" s="1204"/>
      <c r="H59" s="1252"/>
      <c r="I59" s="1367" t="str">
        <f>INDEX(TEMPLATE_NUMBER_POINT_FHD,B59,MATCH(TEMPLATE_SPHERE,TEMPLATE_SPHERE_LIST_FOR_NOTE,0))</f>
        <v>5</v>
      </c>
      <c r="J59" s="1367"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367">
        <f>INDEX(TEMPLATE_NOTE_POINT_FHD,B59,MATCH(TEMPLATE_SPHERE,TEMPLATE_SPHERE_LIST_FOR_NOTE,0))</f>
        <v>0</v>
      </c>
      <c r="L59" s="1205" t="str">
        <f>IF(I59=0,"",I59)</f>
        <v>5</v>
      </c>
      <c r="M59" s="1205" t="str">
        <f>IF(J59=0,"",J59)</f>
        <v>Валовая прибыль (убытки) от продажи товаров и услуг по регулируемым видам деятельности в сфере горячего водоснабжения</v>
      </c>
      <c r="N59" s="1205" t="str">
        <f>IF(K59=0,"",K59)</f>
        <v/>
      </c>
      <c r="O59" s="1319"/>
      <c r="P59" s="1319" t="s">
        <v>108</v>
      </c>
      <c r="Q59" s="1319" t="s">
        <v>108</v>
      </c>
      <c r="R59" s="1319" t="s">
        <v>108</v>
      </c>
      <c r="S59" s="1319"/>
      <c r="T59" s="1204"/>
      <c r="U59" s="1204" t="s">
        <v>2080</v>
      </c>
      <c r="V59" s="1204" t="s">
        <v>2081</v>
      </c>
      <c r="W59" s="1204" t="s">
        <v>2082</v>
      </c>
      <c r="X59" s="1204"/>
      <c r="Y59" s="1362"/>
      <c r="Z59" s="1207"/>
      <c r="AA59" s="1210"/>
      <c r="AB59" s="1207"/>
      <c r="AC59" s="1207"/>
      <c r="AD59" s="1207"/>
    </row>
    <row customHeight="1" ht="81">
      <c r="A60" s="1206"/>
      <c r="B60" s="1260">
        <v>43</v>
      </c>
      <c r="C60" s="1204" t="s">
        <v>2083</v>
      </c>
      <c r="D60" s="1329" t="s">
        <v>2083</v>
      </c>
      <c r="E60" s="1204" t="s">
        <v>2083</v>
      </c>
      <c r="F60" s="1204" t="s">
        <v>2083</v>
      </c>
      <c r="G60" s="1204"/>
      <c r="H60" s="1252"/>
      <c r="I60" s="1367" t="str">
        <f>INDEX(TEMPLATE_NUMBER_POINT_FHD,B60,MATCH(TEMPLATE_SPHERE,TEMPLATE_SPHERE_LIST_FOR_NOTE,0))</f>
        <v>6</v>
      </c>
      <c r="J60" s="1367" t="str">
        <f>INDEX(TEMPLATE_DATA_POINT_FHD,B60,MATCH(TEMPLATE_SPHERE,TEMPLATE_SPHERE_LIST_FOR_NOTE,0))</f>
        <v>Годовая бухгалтерская (финансовая) отчетность, включая бухгалтерский баланс и приложения к нему</v>
      </c>
      <c r="K60" s="1367"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1205" t="str">
        <f>IF(I60=0,"",I60)</f>
        <v>6</v>
      </c>
      <c r="M60" s="1205" t="str">
        <f>IF(J60=0,"",J60)</f>
        <v>Годовая бухгалтерская (финансовая) отчетность, включая бухгалтерский баланс и приложения к нему</v>
      </c>
      <c r="N60" s="120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1319" t="s">
        <v>89</v>
      </c>
      <c r="P60" s="1319" t="s">
        <v>89</v>
      </c>
      <c r="Q60" s="1319" t="s">
        <v>89</v>
      </c>
      <c r="R60" s="1319" t="s">
        <v>89</v>
      </c>
      <c r="S60" s="1319"/>
      <c r="T60" s="1204" t="s">
        <v>679</v>
      </c>
      <c r="U60" s="1204" t="s">
        <v>679</v>
      </c>
      <c r="V60" s="1204" t="s">
        <v>679</v>
      </c>
      <c r="W60" s="1204" t="s">
        <v>679</v>
      </c>
      <c r="X60" s="1204"/>
      <c r="Y60" s="1362"/>
      <c r="Z60" s="1207" t="s">
        <v>2084</v>
      </c>
      <c r="AA60" s="1210" t="s">
        <v>2085</v>
      </c>
      <c r="AB60" s="1207" t="s">
        <v>2086</v>
      </c>
      <c r="AC60" s="1207" t="s">
        <v>2085</v>
      </c>
      <c r="AD60" s="1207"/>
    </row>
    <row customHeight="1" ht="9">
      <c r="A61" s="1206"/>
      <c r="B61" s="1260">
        <v>44</v>
      </c>
      <c r="C61" s="1204"/>
      <c r="D61" s="1329" t="s">
        <v>2087</v>
      </c>
      <c r="E61" s="1204"/>
      <c r="F61" s="1204"/>
      <c r="G61" s="1204"/>
      <c r="H61" s="1252"/>
      <c r="I61" s="1367">
        <f>INDEX(TEMPLATE_NUMBER_POINT_FHD,B61,MATCH(TEMPLATE_SPHERE,TEMPLATE_SPHERE_LIST_FOR_NOTE,0))</f>
        <v>0</v>
      </c>
      <c r="J61" s="1367">
        <f>INDEX(TEMPLATE_DATA_POINT_FHD,B61,MATCH(TEMPLATE_SPHERE,TEMPLATE_SPHERE_LIST_FOR_NOTE,0))</f>
        <v>0</v>
      </c>
      <c r="K61" s="1367">
        <f>INDEX(TEMPLATE_NOTE_POINT_FHD,B61,MATCH(TEMPLATE_SPHERE,TEMPLATE_SPHERE_LIST_FOR_NOTE,0))</f>
        <v>0</v>
      </c>
      <c r="L61" s="1205" t="str">
        <f>IF(I61=0,"",I61)</f>
        <v/>
      </c>
      <c r="M61" s="1205" t="str">
        <f>IF(J61=0,"",J61)</f>
        <v/>
      </c>
      <c r="N61" s="1205" t="str">
        <f>IF(K61=0,"",K61)</f>
        <v/>
      </c>
      <c r="O61" s="1319"/>
      <c r="P61" s="1319" t="s">
        <v>90</v>
      </c>
      <c r="Q61" s="1319"/>
      <c r="R61" s="1319"/>
      <c r="S61" s="1319"/>
      <c r="T61" s="1204"/>
      <c r="U61" s="1204" t="s">
        <v>2088</v>
      </c>
      <c r="V61" s="1204"/>
      <c r="W61" s="1204"/>
      <c r="X61" s="1204"/>
      <c r="Y61" s="1362"/>
      <c r="Z61" s="1207"/>
      <c r="AA61" s="1210"/>
      <c r="AB61" s="1207"/>
      <c r="AC61" s="1207"/>
      <c r="AD61" s="1207"/>
    </row>
    <row customHeight="1" ht="9">
      <c r="A62" s="1206"/>
      <c r="B62" s="1260">
        <v>45</v>
      </c>
      <c r="C62" s="1204"/>
      <c r="D62" s="1329" t="s">
        <v>2089</v>
      </c>
      <c r="E62" s="1204"/>
      <c r="F62" s="1204"/>
      <c r="G62" s="1204"/>
      <c r="H62" s="1252"/>
      <c r="I62" s="1367">
        <f>INDEX(TEMPLATE_NUMBER_POINT_FHD,B62,MATCH(TEMPLATE_SPHERE,TEMPLATE_SPHERE_LIST_FOR_NOTE,0))</f>
        <v>0</v>
      </c>
      <c r="J62" s="1367">
        <f>INDEX(TEMPLATE_DATA_POINT_FHD,B62,MATCH(TEMPLATE_SPHERE,TEMPLATE_SPHERE_LIST_FOR_NOTE,0))</f>
        <v>0</v>
      </c>
      <c r="K62" s="1367">
        <f>INDEX(TEMPLATE_NOTE_POINT_FHD,B62,MATCH(TEMPLATE_SPHERE,TEMPLATE_SPHERE_LIST_FOR_NOTE,0))</f>
        <v>0</v>
      </c>
      <c r="L62" s="1205" t="str">
        <f>IF(I62=0,"",I62)</f>
        <v/>
      </c>
      <c r="M62" s="1205" t="str">
        <f>IF(J62=0,"",J62)</f>
        <v/>
      </c>
      <c r="N62" s="1205" t="str">
        <f>IF(K62=0,"",K62)</f>
        <v/>
      </c>
      <c r="O62" s="1319"/>
      <c r="P62" s="1319" t="s">
        <v>109</v>
      </c>
      <c r="Q62" s="1319"/>
      <c r="R62" s="1319"/>
      <c r="S62" s="1319"/>
      <c r="T62" s="1204"/>
      <c r="U62" s="1204" t="s">
        <v>2090</v>
      </c>
      <c r="V62" s="1204"/>
      <c r="W62" s="1204"/>
      <c r="X62" s="1204"/>
      <c r="Y62" s="1362"/>
      <c r="Z62" s="1207"/>
      <c r="AA62" s="1210"/>
      <c r="AB62" s="1207"/>
      <c r="AC62" s="1207"/>
      <c r="AD62" s="1207"/>
    </row>
    <row customHeight="1" ht="18">
      <c r="A63" s="1206"/>
      <c r="B63" s="1260">
        <v>46</v>
      </c>
      <c r="C63" s="1204"/>
      <c r="D63" s="1329" t="s">
        <v>2091</v>
      </c>
      <c r="E63" s="1204"/>
      <c r="F63" s="1204"/>
      <c r="G63" s="1204"/>
      <c r="H63" s="1252"/>
      <c r="I63" s="1367">
        <f>INDEX(TEMPLATE_NUMBER_POINT_FHD,B63,MATCH(TEMPLATE_SPHERE,TEMPLATE_SPHERE_LIST_FOR_NOTE,0))</f>
        <v>0</v>
      </c>
      <c r="J63" s="1367">
        <f>INDEX(TEMPLATE_DATA_POINT_FHD,B63,MATCH(TEMPLATE_SPHERE,TEMPLATE_SPHERE_LIST_FOR_NOTE,0))</f>
        <v>0</v>
      </c>
      <c r="K63" s="1367">
        <f>INDEX(TEMPLATE_NOTE_POINT_FHD,B63,MATCH(TEMPLATE_SPHERE,TEMPLATE_SPHERE_LIST_FOR_NOTE,0))</f>
        <v>0</v>
      </c>
      <c r="L63" s="1205" t="str">
        <f>IF(I63=0,"",I63)</f>
        <v/>
      </c>
      <c r="M63" s="1205" t="str">
        <f>IF(J63=0,"",J63)</f>
        <v/>
      </c>
      <c r="N63" s="1205" t="str">
        <f>IF(K63=0,"",K63)</f>
        <v/>
      </c>
      <c r="O63" s="1319"/>
      <c r="P63" s="1319" t="s">
        <v>145</v>
      </c>
      <c r="Q63" s="1319"/>
      <c r="R63" s="1319"/>
      <c r="S63" s="1319"/>
      <c r="T63" s="1204"/>
      <c r="U63" s="1204" t="s">
        <v>2092</v>
      </c>
      <c r="V63" s="1204"/>
      <c r="W63" s="1204"/>
      <c r="X63" s="1204"/>
      <c r="Y63" s="1362"/>
      <c r="Z63" s="1207"/>
      <c r="AA63" s="1210"/>
      <c r="AB63" s="1207"/>
      <c r="AC63" s="1207"/>
      <c r="AD63" s="1207"/>
    </row>
    <row customHeight="1" ht="18">
      <c r="A64" s="1206"/>
      <c r="B64" s="1260">
        <v>47</v>
      </c>
      <c r="C64" s="1204"/>
      <c r="D64" s="1329" t="s">
        <v>2093</v>
      </c>
      <c r="E64" s="1204"/>
      <c r="F64" s="1204"/>
      <c r="G64" s="1204"/>
      <c r="H64" s="1252"/>
      <c r="I64" s="1367">
        <f>INDEX(TEMPLATE_NUMBER_POINT_FHD,B64,MATCH(TEMPLATE_SPHERE,TEMPLATE_SPHERE_LIST_FOR_NOTE,0))</f>
        <v>0</v>
      </c>
      <c r="J64" s="1367">
        <f>INDEX(TEMPLATE_DATA_POINT_FHD,B64,MATCH(TEMPLATE_SPHERE,TEMPLATE_SPHERE_LIST_FOR_NOTE,0))</f>
        <v>0</v>
      </c>
      <c r="K64" s="1367">
        <f>INDEX(TEMPLATE_NOTE_POINT_FHD,B64,MATCH(TEMPLATE_SPHERE,TEMPLATE_SPHERE_LIST_FOR_NOTE,0))</f>
        <v>0</v>
      </c>
      <c r="L64" s="1205" t="str">
        <f>IF(I64=0,"",I64)</f>
        <v/>
      </c>
      <c r="M64" s="1205" t="str">
        <f>IF(J64=0,"",J64)</f>
        <v/>
      </c>
      <c r="N64" s="1205" t="str">
        <f>IF(K64=0,"",K64)</f>
        <v/>
      </c>
      <c r="O64" s="1319"/>
      <c r="P64" s="1319" t="s">
        <v>146</v>
      </c>
      <c r="Q64" s="1319"/>
      <c r="R64" s="1319"/>
      <c r="S64" s="1319"/>
      <c r="T64" s="1204"/>
      <c r="U64" s="1204" t="s">
        <v>2094</v>
      </c>
      <c r="V64" s="1204"/>
      <c r="W64" s="1204"/>
      <c r="X64" s="1204"/>
      <c r="Y64" s="1362"/>
      <c r="Z64" s="1207"/>
      <c r="AA64" s="1210" t="s">
        <v>2095</v>
      </c>
      <c r="AB64" s="1207"/>
      <c r="AC64" s="1207"/>
      <c r="AD64" s="1207"/>
    </row>
    <row customHeight="1" ht="18">
      <c r="A65" s="1206"/>
      <c r="B65" s="1260">
        <v>48</v>
      </c>
      <c r="C65" s="1204"/>
      <c r="D65" s="1329"/>
      <c r="E65" s="1204"/>
      <c r="F65" s="1204"/>
      <c r="G65" s="1204"/>
      <c r="H65" s="1252"/>
      <c r="I65" s="1367">
        <f>INDEX(TEMPLATE_NUMBER_POINT_FHD,B65,MATCH(TEMPLATE_SPHERE,TEMPLATE_SPHERE_LIST_FOR_NOTE,0))</f>
        <v>0</v>
      </c>
      <c r="J65" s="1367">
        <f>INDEX(TEMPLATE_DATA_POINT_FHD,B65,MATCH(TEMPLATE_SPHERE,TEMPLATE_SPHERE_LIST_FOR_NOTE,0))</f>
        <v>0</v>
      </c>
      <c r="K65" s="1367">
        <f>INDEX(TEMPLATE_NOTE_POINT_FHD,B65,MATCH(TEMPLATE_SPHERE,TEMPLATE_SPHERE_LIST_FOR_NOTE,0))</f>
        <v>0</v>
      </c>
      <c r="L65" s="1205" t="str">
        <f>IF(I65=0,"",I65)</f>
        <v/>
      </c>
      <c r="M65" s="1205" t="str">
        <f>IF(J65=0,"",J65)</f>
        <v/>
      </c>
      <c r="N65" s="1205" t="str">
        <f>IF(K65=0,"",K65)</f>
        <v/>
      </c>
      <c r="O65" s="1319"/>
      <c r="P65" s="1319" t="s">
        <v>2005</v>
      </c>
      <c r="Q65" s="1319"/>
      <c r="R65" s="1319"/>
      <c r="S65" s="1319"/>
      <c r="T65" s="1204"/>
      <c r="U65" s="1204" t="s">
        <v>2096</v>
      </c>
      <c r="V65" s="1204"/>
      <c r="W65" s="1204"/>
      <c r="X65" s="1204"/>
      <c r="Y65" s="1362"/>
      <c r="Z65" s="1207"/>
      <c r="AA65" s="1210"/>
      <c r="AB65" s="1207"/>
      <c r="AC65" s="1207"/>
      <c r="AD65" s="1207"/>
    </row>
    <row customHeight="1" ht="18">
      <c r="A66" s="1206"/>
      <c r="B66" s="1260">
        <v>49</v>
      </c>
      <c r="C66" s="1204"/>
      <c r="D66" s="1329"/>
      <c r="E66" s="1204"/>
      <c r="F66" s="1204"/>
      <c r="G66" s="1204"/>
      <c r="H66" s="1252"/>
      <c r="I66" s="1367">
        <f>INDEX(TEMPLATE_NUMBER_POINT_FHD,B66,MATCH(TEMPLATE_SPHERE,TEMPLATE_SPHERE_LIST_FOR_NOTE,0))</f>
        <v>0</v>
      </c>
      <c r="J66" s="1367">
        <f>INDEX(TEMPLATE_DATA_POINT_FHD,B66,MATCH(TEMPLATE_SPHERE,TEMPLATE_SPHERE_LIST_FOR_NOTE,0))</f>
        <v>0</v>
      </c>
      <c r="K66" s="1367">
        <f>INDEX(TEMPLATE_NOTE_POINT_FHD,B66,MATCH(TEMPLATE_SPHERE,TEMPLATE_SPHERE_LIST_FOR_NOTE,0))</f>
        <v>0</v>
      </c>
      <c r="L66" s="1205" t="str">
        <f>IF(I66=0,"",I66)</f>
        <v/>
      </c>
      <c r="M66" s="1205" t="str">
        <f>IF(J66=0,"",J66)</f>
        <v/>
      </c>
      <c r="N66" s="1205" t="str">
        <f>IF(K66=0,"",K66)</f>
        <v/>
      </c>
      <c r="O66" s="1319"/>
      <c r="P66" s="1319" t="s">
        <v>2009</v>
      </c>
      <c r="Q66" s="1319"/>
      <c r="R66" s="1319"/>
      <c r="S66" s="1319"/>
      <c r="T66" s="1204"/>
      <c r="U66" s="1204" t="s">
        <v>2097</v>
      </c>
      <c r="V66" s="1204"/>
      <c r="W66" s="1204"/>
      <c r="X66" s="1204"/>
      <c r="Y66" s="1362"/>
      <c r="Z66" s="1207"/>
      <c r="AA66" s="1210"/>
      <c r="AB66" s="1207"/>
      <c r="AC66" s="1207"/>
      <c r="AD66" s="1207"/>
    </row>
    <row customHeight="1" ht="27">
      <c r="A67" s="1206"/>
      <c r="B67" s="1260">
        <v>50</v>
      </c>
      <c r="C67" s="1204"/>
      <c r="D67" s="1329"/>
      <c r="E67" s="1204"/>
      <c r="F67" s="1204"/>
      <c r="G67" s="1204"/>
      <c r="H67" s="1252"/>
      <c r="I67" s="1367">
        <f>INDEX(TEMPLATE_NUMBER_POINT_FHD,B67,MATCH(TEMPLATE_SPHERE,TEMPLATE_SPHERE_LIST_FOR_NOTE,0))</f>
        <v>0</v>
      </c>
      <c r="J67" s="1367">
        <f>INDEX(TEMPLATE_DATA_POINT_FHD,B67,MATCH(TEMPLATE_SPHERE,TEMPLATE_SPHERE_LIST_FOR_NOTE,0))</f>
        <v>0</v>
      </c>
      <c r="K67" s="1367">
        <f>INDEX(TEMPLATE_NOTE_POINT_FHD,B67,MATCH(TEMPLATE_SPHERE,TEMPLATE_SPHERE_LIST_FOR_NOTE,0))</f>
        <v>0</v>
      </c>
      <c r="L67" s="1205" t="str">
        <f>IF(I67=0,"",I67)</f>
        <v/>
      </c>
      <c r="M67" s="1205" t="str">
        <f>IF(J67=0,"",J67)</f>
        <v/>
      </c>
      <c r="N67" s="1205" t="str">
        <f>IF(K67=0,"",K67)</f>
        <v/>
      </c>
      <c r="O67" s="1319"/>
      <c r="P67" s="1319" t="s">
        <v>2098</v>
      </c>
      <c r="Q67" s="1319"/>
      <c r="R67" s="1319"/>
      <c r="S67" s="1319"/>
      <c r="T67" s="1204"/>
      <c r="U67" s="1204" t="s">
        <v>2099</v>
      </c>
      <c r="V67" s="1204"/>
      <c r="W67" s="1204"/>
      <c r="X67" s="1204"/>
      <c r="Y67" s="1362"/>
      <c r="Z67" s="1207"/>
      <c r="AA67" s="1210"/>
      <c r="AB67" s="1207"/>
      <c r="AC67" s="1207"/>
      <c r="AD67" s="1207"/>
    </row>
    <row customHeight="1" ht="27">
      <c r="A68" s="1206"/>
      <c r="B68" s="1260">
        <v>51</v>
      </c>
      <c r="C68" s="1204"/>
      <c r="D68" s="1329"/>
      <c r="E68" s="1204"/>
      <c r="F68" s="1204"/>
      <c r="G68" s="1204"/>
      <c r="H68" s="1252"/>
      <c r="I68" s="1367">
        <f>INDEX(TEMPLATE_NUMBER_POINT_FHD,B68,MATCH(TEMPLATE_SPHERE,TEMPLATE_SPHERE_LIST_FOR_NOTE,0))</f>
        <v>0</v>
      </c>
      <c r="J68" s="1367">
        <f>INDEX(TEMPLATE_DATA_POINT_FHD,B68,MATCH(TEMPLATE_SPHERE,TEMPLATE_SPHERE_LIST_FOR_NOTE,0))</f>
        <v>0</v>
      </c>
      <c r="K68" s="1367">
        <f>INDEX(TEMPLATE_NOTE_POINT_FHD,B68,MATCH(TEMPLATE_SPHERE,TEMPLATE_SPHERE_LIST_FOR_NOTE,0))</f>
        <v>0</v>
      </c>
      <c r="L68" s="1205" t="str">
        <f>IF(I68=0,"",I68)</f>
        <v/>
      </c>
      <c r="M68" s="1205" t="str">
        <f>IF(J68=0,"",J68)</f>
        <v/>
      </c>
      <c r="N68" s="1205" t="str">
        <f>IF(K68=0,"",K68)</f>
        <v/>
      </c>
      <c r="O68" s="1319"/>
      <c r="P68" s="1319" t="s">
        <v>2100</v>
      </c>
      <c r="Q68" s="1319"/>
      <c r="R68" s="1319"/>
      <c r="S68" s="1319"/>
      <c r="T68" s="1204"/>
      <c r="U68" s="1204" t="s">
        <v>2101</v>
      </c>
      <c r="V68" s="1204"/>
      <c r="W68" s="1204"/>
      <c r="X68" s="1204"/>
      <c r="Y68" s="1362"/>
      <c r="Z68" s="1207"/>
      <c r="AA68" s="1210"/>
      <c r="AB68" s="1207"/>
      <c r="AC68" s="1207"/>
      <c r="AD68" s="1207"/>
    </row>
    <row customHeight="1" ht="9">
      <c r="A69" s="1206"/>
      <c r="B69" s="1260">
        <v>52</v>
      </c>
      <c r="C69" s="1204"/>
      <c r="D69" s="1329" t="s">
        <v>2102</v>
      </c>
      <c r="E69" s="1204"/>
      <c r="F69" s="1204"/>
      <c r="G69" s="1204"/>
      <c r="H69" s="1252"/>
      <c r="I69" s="1367">
        <f>INDEX(TEMPLATE_NUMBER_POINT_FHD,B69,MATCH(TEMPLATE_SPHERE,TEMPLATE_SPHERE_LIST_FOR_NOTE,0))</f>
        <v>0</v>
      </c>
      <c r="J69" s="1367">
        <f>INDEX(TEMPLATE_DATA_POINT_FHD,B69,MATCH(TEMPLATE_SPHERE,TEMPLATE_SPHERE_LIST_FOR_NOTE,0))</f>
        <v>0</v>
      </c>
      <c r="K69" s="1367">
        <f>INDEX(TEMPLATE_NOTE_POINT_FHD,B69,MATCH(TEMPLATE_SPHERE,TEMPLATE_SPHERE_LIST_FOR_NOTE,0))</f>
        <v>0</v>
      </c>
      <c r="L69" s="1205" t="str">
        <f>IF(I69=0,"",I69)</f>
        <v/>
      </c>
      <c r="M69" s="1205" t="str">
        <f>IF(J69=0,"",J69)</f>
        <v/>
      </c>
      <c r="N69" s="1205" t="str">
        <f>IF(K69=0,"",K69)</f>
        <v/>
      </c>
      <c r="O69" s="1319"/>
      <c r="P69" s="1319" t="s">
        <v>147</v>
      </c>
      <c r="Q69" s="1319"/>
      <c r="R69" s="1319"/>
      <c r="S69" s="1319"/>
      <c r="T69" s="1204"/>
      <c r="U69" s="1204" t="s">
        <v>2103</v>
      </c>
      <c r="V69" s="1204"/>
      <c r="W69" s="1204"/>
      <c r="X69" s="1204"/>
      <c r="Y69" s="1362"/>
      <c r="Z69" s="1207"/>
      <c r="AA69" s="1210"/>
      <c r="AB69" s="1207"/>
      <c r="AC69" s="1207"/>
      <c r="AD69" s="1207"/>
    </row>
    <row customHeight="1" ht="27">
      <c r="A70" s="1206"/>
      <c r="B70" s="1260">
        <v>53</v>
      </c>
      <c r="C70" s="1204"/>
      <c r="D70" s="1329"/>
      <c r="E70" s="1204" t="s">
        <v>2087</v>
      </c>
      <c r="F70" s="1204"/>
      <c r="G70" s="1204"/>
      <c r="H70" s="1252"/>
      <c r="I70" s="1367" t="str">
        <f>INDEX(TEMPLATE_NUMBER_POINT_FHD,B70,MATCH(TEMPLATE_SPHERE,TEMPLATE_SPHERE_LIST_FOR_NOTE,0))</f>
        <v>7</v>
      </c>
      <c r="J70" s="1367" t="str">
        <f>INDEX(TEMPLATE_DATA_POINT_FHD,B70,MATCH(TEMPLATE_SPHERE,TEMPLATE_SPHERE_LIST_FOR_NOTE,0))</f>
        <v>Объём приобретаемой холодной воды, используемой для горячего водоснабжения</v>
      </c>
      <c r="K70" s="1367">
        <f>INDEX(TEMPLATE_NOTE_POINT_FHD,B70,MATCH(TEMPLATE_SPHERE,TEMPLATE_SPHERE_LIST_FOR_NOTE,0))</f>
        <v>0</v>
      </c>
      <c r="L70" s="1205" t="str">
        <f>IF(I70=0,"",I70)</f>
        <v>7</v>
      </c>
      <c r="M70" s="1205" t="str">
        <f>IF(J70=0,"",J70)</f>
        <v>Объём приобретаемой холодной воды, используемой для горячего водоснабжения</v>
      </c>
      <c r="N70" s="1205" t="str">
        <f>IF(K70=0,"",K70)</f>
        <v/>
      </c>
      <c r="O70" s="1319"/>
      <c r="P70" s="1319"/>
      <c r="Q70" s="1319" t="s">
        <v>90</v>
      </c>
      <c r="R70" s="1319"/>
      <c r="S70" s="1319"/>
      <c r="T70" s="1204"/>
      <c r="U70" s="1204"/>
      <c r="V70" s="1204" t="s">
        <v>2104</v>
      </c>
      <c r="W70" s="1204"/>
      <c r="X70" s="1204"/>
      <c r="Y70" s="1362"/>
      <c r="Z70" s="1207"/>
      <c r="AA70" s="1210"/>
      <c r="AB70" s="1207"/>
      <c r="AC70" s="1207"/>
      <c r="AD70" s="1207"/>
    </row>
    <row customHeight="1" ht="36">
      <c r="A71" s="1206"/>
      <c r="B71" s="1260">
        <v>54</v>
      </c>
      <c r="C71" s="1204"/>
      <c r="D71" s="1329"/>
      <c r="E71" s="1204" t="s">
        <v>2089</v>
      </c>
      <c r="F71" s="1204"/>
      <c r="G71" s="1204"/>
      <c r="H71" s="1252"/>
      <c r="I71" s="1367" t="str">
        <f>INDEX(TEMPLATE_NUMBER_POINT_FHD,B71,MATCH(TEMPLATE_SPHERE,TEMPLATE_SPHERE_LIST_FOR_NOTE,0))</f>
        <v>8</v>
      </c>
      <c r="J71" s="1367"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367">
        <f>INDEX(TEMPLATE_NOTE_POINT_FHD,B71,MATCH(TEMPLATE_SPHERE,TEMPLATE_SPHERE_LIST_FOR_NOTE,0))</f>
        <v>0</v>
      </c>
      <c r="L71" s="1205" t="str">
        <f>IF(I71=0,"",I71)</f>
        <v>8</v>
      </c>
      <c r="M71" s="1205" t="str">
        <f>IF(J71=0,"",J71)</f>
        <v>Объём холодной воды, получаемой с применением собственных источников водозабора (скважин) и используемой для горячего водоснабжения</v>
      </c>
      <c r="N71" s="1205" t="str">
        <f>IF(K71=0,"",K71)</f>
        <v/>
      </c>
      <c r="O71" s="1319"/>
      <c r="P71" s="1319"/>
      <c r="Q71" s="1319" t="s">
        <v>109</v>
      </c>
      <c r="R71" s="1319"/>
      <c r="S71" s="1319"/>
      <c r="T71" s="1204"/>
      <c r="U71" s="1204"/>
      <c r="V71" s="1204" t="s">
        <v>2105</v>
      </c>
      <c r="W71" s="1204"/>
      <c r="X71" s="1204"/>
      <c r="Y71" s="1362"/>
      <c r="Z71" s="1207"/>
      <c r="AA71" s="1210"/>
      <c r="AB71" s="1207"/>
      <c r="AC71" s="1207"/>
      <c r="AD71" s="1207"/>
    </row>
    <row customHeight="1" ht="27">
      <c r="A72" s="1206"/>
      <c r="B72" s="1260">
        <v>55</v>
      </c>
      <c r="C72" s="1204"/>
      <c r="D72" s="1329"/>
      <c r="E72" s="1204" t="s">
        <v>2091</v>
      </c>
      <c r="F72" s="1204"/>
      <c r="G72" s="1204"/>
      <c r="H72" s="1252"/>
      <c r="I72" s="1367" t="str">
        <f>INDEX(TEMPLATE_NUMBER_POINT_FHD,B72,MATCH(TEMPLATE_SPHERE,TEMPLATE_SPHERE_LIST_FOR_NOTE,0))</f>
        <v>9</v>
      </c>
      <c r="J72" s="1367" t="str">
        <f>INDEX(TEMPLATE_DATA_POINT_FHD,B72,MATCH(TEMPLATE_SPHERE,TEMPLATE_SPHERE_LIST_FOR_NOTE,0))</f>
        <v>Объём приобретаемой тепловой энергии (мощности), используемой для горячего водоснабжения</v>
      </c>
      <c r="K72" s="1367">
        <f>INDEX(TEMPLATE_NOTE_POINT_FHD,B72,MATCH(TEMPLATE_SPHERE,TEMPLATE_SPHERE_LIST_FOR_NOTE,0))</f>
        <v>0</v>
      </c>
      <c r="L72" s="1205" t="str">
        <f>IF(I72=0,"",I72)</f>
        <v>9</v>
      </c>
      <c r="M72" s="1205" t="str">
        <f>IF(J72=0,"",J72)</f>
        <v>Объём приобретаемой тепловой энергии (мощности), используемой для горячего водоснабжения</v>
      </c>
      <c r="N72" s="1205" t="str">
        <f>IF(K72=0,"",K72)</f>
        <v/>
      </c>
      <c r="O72" s="1319"/>
      <c r="P72" s="1319"/>
      <c r="Q72" s="1319" t="s">
        <v>145</v>
      </c>
      <c r="R72" s="1319"/>
      <c r="S72" s="1319"/>
      <c r="T72" s="1204"/>
      <c r="U72" s="1204"/>
      <c r="V72" s="1204" t="s">
        <v>2106</v>
      </c>
      <c r="W72" s="1204"/>
      <c r="X72" s="1204"/>
      <c r="Y72" s="1362"/>
      <c r="Z72" s="1207"/>
      <c r="AA72" s="1210"/>
      <c r="AB72" s="1207"/>
      <c r="AC72" s="1207"/>
      <c r="AD72" s="1207"/>
    </row>
    <row customHeight="1" ht="36">
      <c r="A73" s="1206"/>
      <c r="B73" s="1260">
        <v>56</v>
      </c>
      <c r="C73" s="1204"/>
      <c r="D73" s="1329"/>
      <c r="E73" s="1204" t="s">
        <v>2093</v>
      </c>
      <c r="F73" s="1204"/>
      <c r="G73" s="1204"/>
      <c r="H73" s="1252"/>
      <c r="I73" s="1367" t="str">
        <f>INDEX(TEMPLATE_NUMBER_POINT_FHD,B73,MATCH(TEMPLATE_SPHERE,TEMPLATE_SPHERE_LIST_FOR_NOTE,0))</f>
        <v>10</v>
      </c>
      <c r="J73" s="1367"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367">
        <f>INDEX(TEMPLATE_NOTE_POINT_FHD,B73,MATCH(TEMPLATE_SPHERE,TEMPLATE_SPHERE_LIST_FOR_NOTE,0))</f>
        <v>0</v>
      </c>
      <c r="L73" s="1205" t="str">
        <f>IF(I73=0,"",I73)</f>
        <v>10</v>
      </c>
      <c r="M73" s="1205" t="str">
        <f>IF(J73=0,"",J73)</f>
        <v>Объём тепловой энергии, производимой с применением собственных источников и используемой для горячего водоснабжения</v>
      </c>
      <c r="N73" s="1205" t="str">
        <f>IF(K73=0,"",K73)</f>
        <v/>
      </c>
      <c r="O73" s="1319"/>
      <c r="P73" s="1319"/>
      <c r="Q73" s="1319" t="s">
        <v>146</v>
      </c>
      <c r="R73" s="1319"/>
      <c r="S73" s="1319"/>
      <c r="T73" s="1204"/>
      <c r="U73" s="1204"/>
      <c r="V73" s="1204" t="s">
        <v>2107</v>
      </c>
      <c r="W73" s="1204"/>
      <c r="X73" s="1204"/>
      <c r="Y73" s="1362"/>
      <c r="Z73" s="1207"/>
      <c r="AA73" s="1210"/>
      <c r="AB73" s="1207"/>
      <c r="AC73" s="1207"/>
      <c r="AD73" s="1207"/>
    </row>
    <row customHeight="1" ht="18">
      <c r="A74" s="1206"/>
      <c r="B74" s="1260">
        <v>57</v>
      </c>
      <c r="C74" s="1204"/>
      <c r="D74" s="1329"/>
      <c r="E74" s="1204" t="s">
        <v>2102</v>
      </c>
      <c r="F74" s="1204"/>
      <c r="G74" s="1204"/>
      <c r="H74" s="1252"/>
      <c r="I74" s="1367" t="str">
        <f>INDEX(TEMPLATE_NUMBER_POINT_FHD,B74,MATCH(TEMPLATE_SPHERE,TEMPLATE_SPHERE_LIST_FOR_NOTE,0))</f>
        <v>11</v>
      </c>
      <c r="J74" s="1367" t="str">
        <f>INDEX(TEMPLATE_DATA_POINT_FHD,B74,MATCH(TEMPLATE_SPHERE,TEMPLATE_SPHERE_LIST_FOR_NOTE,0))</f>
        <v>Потери горячей воды в сетях (процентов)</v>
      </c>
      <c r="K74" s="1367">
        <f>INDEX(TEMPLATE_NOTE_POINT_FHD,B74,MATCH(TEMPLATE_SPHERE,TEMPLATE_SPHERE_LIST_FOR_NOTE,0))</f>
        <v>0</v>
      </c>
      <c r="L74" s="1205" t="str">
        <f>IF(I74=0,"",I74)</f>
        <v>11</v>
      </c>
      <c r="M74" s="1205" t="str">
        <f>IF(J74=0,"",J74)</f>
        <v>Потери горячей воды в сетях (процентов)</v>
      </c>
      <c r="N74" s="1205" t="str">
        <f>IF(K74=0,"",K74)</f>
        <v/>
      </c>
      <c r="O74" s="1319"/>
      <c r="P74" s="1319"/>
      <c r="Q74" s="1319" t="s">
        <v>147</v>
      </c>
      <c r="R74" s="1319"/>
      <c r="S74" s="1319"/>
      <c r="T74" s="1204"/>
      <c r="U74" s="1204"/>
      <c r="V74" s="1204" t="s">
        <v>2108</v>
      </c>
      <c r="W74" s="1204"/>
      <c r="X74" s="1204"/>
      <c r="Y74" s="1362"/>
      <c r="Z74" s="1207"/>
      <c r="AA74" s="1210"/>
      <c r="AB74" s="1207"/>
      <c r="AC74" s="1207"/>
      <c r="AD74" s="1207"/>
    </row>
    <row customHeight="1" ht="18">
      <c r="A75" s="1206"/>
      <c r="B75" s="1260">
        <v>58</v>
      </c>
      <c r="C75" s="1204"/>
      <c r="D75" s="1329"/>
      <c r="E75" s="1204"/>
      <c r="F75" s="1204" t="s">
        <v>2087</v>
      </c>
      <c r="G75" s="1204"/>
      <c r="H75" s="1252"/>
      <c r="I75" s="1367">
        <f>INDEX(TEMPLATE_NUMBER_POINT_FHD,B75,MATCH(TEMPLATE_SPHERE,TEMPLATE_SPHERE_LIST_FOR_NOTE,0))</f>
        <v>0</v>
      </c>
      <c r="J75" s="1367">
        <f>INDEX(TEMPLATE_DATA_POINT_FHD,B75,MATCH(TEMPLATE_SPHERE,TEMPLATE_SPHERE_LIST_FOR_NOTE,0))</f>
        <v>0</v>
      </c>
      <c r="K75" s="1367">
        <f>INDEX(TEMPLATE_NOTE_POINT_FHD,B75,MATCH(TEMPLATE_SPHERE,TEMPLATE_SPHERE_LIST_FOR_NOTE,0))</f>
        <v>0</v>
      </c>
      <c r="L75" s="1205" t="str">
        <f>IF(I75=0,"",I75)</f>
        <v/>
      </c>
      <c r="M75" s="1205" t="str">
        <f>IF(J75=0,"",J75)</f>
        <v/>
      </c>
      <c r="N75" s="1205" t="str">
        <f>IF(K75=0,"",K75)</f>
        <v/>
      </c>
      <c r="O75" s="1319"/>
      <c r="P75" s="1319"/>
      <c r="Q75" s="1319"/>
      <c r="R75" s="1319" t="s">
        <v>90</v>
      </c>
      <c r="S75" s="1319"/>
      <c r="T75" s="1204"/>
      <c r="U75" s="1204"/>
      <c r="V75" s="1204"/>
      <c r="W75" s="1204" t="s">
        <v>2109</v>
      </c>
      <c r="X75" s="1204"/>
      <c r="Y75" s="1362"/>
      <c r="Z75" s="1207"/>
      <c r="AA75" s="1210"/>
      <c r="AB75" s="1207"/>
      <c r="AC75" s="1207"/>
      <c r="AD75" s="1207"/>
    </row>
    <row customHeight="1" ht="36">
      <c r="A76" s="1206"/>
      <c r="B76" s="1260">
        <v>59</v>
      </c>
      <c r="C76" s="1204"/>
      <c r="D76" s="1329"/>
      <c r="E76" s="1204"/>
      <c r="F76" s="1204" t="s">
        <v>2089</v>
      </c>
      <c r="G76" s="1204"/>
      <c r="H76" s="1252"/>
      <c r="I76" s="1367">
        <f>INDEX(TEMPLATE_NUMBER_POINT_FHD,B76,MATCH(TEMPLATE_SPHERE,TEMPLATE_SPHERE_LIST_FOR_NOTE,0))</f>
        <v>0</v>
      </c>
      <c r="J76" s="1367">
        <f>INDEX(TEMPLATE_DATA_POINT_FHD,B76,MATCH(TEMPLATE_SPHERE,TEMPLATE_SPHERE_LIST_FOR_NOTE,0))</f>
        <v>0</v>
      </c>
      <c r="K76" s="1367">
        <f>INDEX(TEMPLATE_NOTE_POINT_FHD,B76,MATCH(TEMPLATE_SPHERE,TEMPLATE_SPHERE_LIST_FOR_NOTE,0))</f>
        <v>0</v>
      </c>
      <c r="L76" s="1205" t="str">
        <f>IF(I76=0,"",I76)</f>
        <v/>
      </c>
      <c r="M76" s="1205" t="str">
        <f>IF(J76=0,"",J76)</f>
        <v/>
      </c>
      <c r="N76" s="1205" t="str">
        <f>IF(K76=0,"",K76)</f>
        <v/>
      </c>
      <c r="O76" s="1319"/>
      <c r="P76" s="1319"/>
      <c r="Q76" s="1319"/>
      <c r="R76" s="1319" t="s">
        <v>109</v>
      </c>
      <c r="S76" s="1319"/>
      <c r="T76" s="1204"/>
      <c r="U76" s="1204"/>
      <c r="V76" s="1204"/>
      <c r="W76" s="1204" t="s">
        <v>2110</v>
      </c>
      <c r="X76" s="1204"/>
      <c r="Y76" s="1362"/>
      <c r="Z76" s="1207"/>
      <c r="AA76" s="1210"/>
      <c r="AB76" s="1207"/>
      <c r="AC76" s="1207"/>
      <c r="AD76" s="1207"/>
    </row>
    <row customHeight="1" ht="18">
      <c r="A77" s="1206"/>
      <c r="B77" s="1260">
        <v>60</v>
      </c>
      <c r="C77" s="1204"/>
      <c r="D77" s="1329"/>
      <c r="E77" s="1204"/>
      <c r="F77" s="1204" t="s">
        <v>2091</v>
      </c>
      <c r="G77" s="1204"/>
      <c r="H77" s="1252"/>
      <c r="I77" s="1367">
        <f>INDEX(TEMPLATE_NUMBER_POINT_FHD,B77,MATCH(TEMPLATE_SPHERE,TEMPLATE_SPHERE_LIST_FOR_NOTE,0))</f>
        <v>0</v>
      </c>
      <c r="J77" s="1367">
        <f>INDEX(TEMPLATE_DATA_POINT_FHD,B77,MATCH(TEMPLATE_SPHERE,TEMPLATE_SPHERE_LIST_FOR_NOTE,0))</f>
        <v>0</v>
      </c>
      <c r="K77" s="1367">
        <f>INDEX(TEMPLATE_NOTE_POINT_FHD,B77,MATCH(TEMPLATE_SPHERE,TEMPLATE_SPHERE_LIST_FOR_NOTE,0))</f>
        <v>0</v>
      </c>
      <c r="L77" s="1205" t="str">
        <f>IF(I77=0,"",I77)</f>
        <v/>
      </c>
      <c r="M77" s="1205" t="str">
        <f>IF(J77=0,"",J77)</f>
        <v/>
      </c>
      <c r="N77" s="1205" t="str">
        <f>IF(K77=0,"",K77)</f>
        <v/>
      </c>
      <c r="O77" s="1319"/>
      <c r="P77" s="1319"/>
      <c r="Q77" s="1319"/>
      <c r="R77" s="1319" t="s">
        <v>145</v>
      </c>
      <c r="S77" s="1319"/>
      <c r="T77" s="1204"/>
      <c r="U77" s="1204"/>
      <c r="V77" s="1204"/>
      <c r="W77" s="1204" t="s">
        <v>2111</v>
      </c>
      <c r="X77" s="1204"/>
      <c r="Y77" s="1362"/>
      <c r="Z77" s="1207"/>
      <c r="AA77" s="1210"/>
      <c r="AB77" s="1207"/>
      <c r="AC77" s="1207"/>
      <c r="AD77" s="1207"/>
    </row>
    <row customHeight="1" ht="72">
      <c r="A78" s="1206"/>
      <c r="B78" s="1260">
        <v>61</v>
      </c>
      <c r="C78" s="1204" t="s">
        <v>2087</v>
      </c>
      <c r="D78" s="1329"/>
      <c r="E78" s="1204"/>
      <c r="F78" s="1204"/>
      <c r="G78" s="1204"/>
      <c r="H78" s="1252"/>
      <c r="I78" s="1367">
        <f>INDEX(TEMPLATE_NUMBER_POINT_FHD,B78,MATCH(TEMPLATE_SPHERE,TEMPLATE_SPHERE_LIST_FOR_NOTE,0))</f>
        <v>0</v>
      </c>
      <c r="J78" s="1367">
        <f>INDEX(TEMPLATE_DATA_POINT_FHD,B78,MATCH(TEMPLATE_SPHERE,TEMPLATE_SPHERE_LIST_FOR_NOTE,0))</f>
        <v>0</v>
      </c>
      <c r="K78" s="1367">
        <f>INDEX(TEMPLATE_NOTE_POINT_FHD,B78,MATCH(TEMPLATE_SPHERE,TEMPLATE_SPHERE_LIST_FOR_NOTE,0))</f>
        <v>0</v>
      </c>
      <c r="L78" s="1205" t="str">
        <f>IF(I78=0,"",I78)</f>
        <v/>
      </c>
      <c r="M78" s="1205" t="str">
        <f>IF(J78=0,"",J78)</f>
        <v/>
      </c>
      <c r="N78" s="1205" t="str">
        <f>IF(K78=0,"",K78)</f>
        <v/>
      </c>
      <c r="O78" s="1319" t="s">
        <v>90</v>
      </c>
      <c r="P78" s="1319"/>
      <c r="Q78" s="1319"/>
      <c r="R78" s="1319"/>
      <c r="S78" s="1319"/>
      <c r="T78" s="1204" t="s">
        <v>2112</v>
      </c>
      <c r="U78" s="1204"/>
      <c r="V78" s="1204"/>
      <c r="W78" s="1204"/>
      <c r="X78" s="1204"/>
      <c r="Y78" s="1362"/>
      <c r="Z78" s="1207" t="s">
        <v>2113</v>
      </c>
      <c r="AA78" s="1210"/>
      <c r="AB78" s="1207"/>
      <c r="AC78" s="1207"/>
      <c r="AD78" s="1207"/>
    </row>
    <row customHeight="1" ht="36">
      <c r="A79" s="1206"/>
      <c r="B79" s="1260">
        <v>62</v>
      </c>
      <c r="C79" s="1204" t="s">
        <v>2089</v>
      </c>
      <c r="D79" s="1329"/>
      <c r="E79" s="1204"/>
      <c r="F79" s="1204"/>
      <c r="G79" s="1204"/>
      <c r="H79" s="1252"/>
      <c r="I79" s="1367">
        <f>INDEX(TEMPLATE_NUMBER_POINT_FHD,B79,MATCH(TEMPLATE_SPHERE,TEMPLATE_SPHERE_LIST_FOR_NOTE,0))</f>
        <v>0</v>
      </c>
      <c r="J79" s="1367">
        <f>INDEX(TEMPLATE_DATA_POINT_FHD,B79,MATCH(TEMPLATE_SPHERE,TEMPLATE_SPHERE_LIST_FOR_NOTE,0))</f>
        <v>0</v>
      </c>
      <c r="K79" s="1367">
        <f>INDEX(TEMPLATE_NOTE_POINT_FHD,B79,MATCH(TEMPLATE_SPHERE,TEMPLATE_SPHERE_LIST_FOR_NOTE,0))</f>
        <v>0</v>
      </c>
      <c r="L79" s="1205" t="str">
        <f>IF(I79=0,"",I79)</f>
        <v/>
      </c>
      <c r="M79" s="1205" t="str">
        <f>IF(J79=0,"",J79)</f>
        <v/>
      </c>
      <c r="N79" s="1205" t="str">
        <f>IF(K79=0,"",K79)</f>
        <v/>
      </c>
      <c r="O79" s="1319" t="s">
        <v>109</v>
      </c>
      <c r="P79" s="1319"/>
      <c r="Q79" s="1319"/>
      <c r="R79" s="1319"/>
      <c r="S79" s="1319"/>
      <c r="T79" s="1204" t="s">
        <v>2114</v>
      </c>
      <c r="U79" s="1204"/>
      <c r="V79" s="1204"/>
      <c r="W79" s="1204"/>
      <c r="X79" s="1204"/>
      <c r="Y79" s="1362"/>
      <c r="Z79" s="1207" t="s">
        <v>2115</v>
      </c>
      <c r="AA79" s="1210"/>
      <c r="AB79" s="1207"/>
      <c r="AC79" s="1207"/>
      <c r="AD79" s="1207"/>
    </row>
    <row customHeight="1" ht="45">
      <c r="A80" s="1206"/>
      <c r="B80" s="1260">
        <v>63</v>
      </c>
      <c r="C80" s="1204" t="s">
        <v>2091</v>
      </c>
      <c r="D80" s="1329"/>
      <c r="E80" s="1204"/>
      <c r="F80" s="1204"/>
      <c r="G80" s="1204"/>
      <c r="H80" s="1252"/>
      <c r="I80" s="1367">
        <f>INDEX(TEMPLATE_NUMBER_POINT_FHD,B80,MATCH(TEMPLATE_SPHERE,TEMPLATE_SPHERE_LIST_FOR_NOTE,0))</f>
        <v>0</v>
      </c>
      <c r="J80" s="1367">
        <f>INDEX(TEMPLATE_DATA_POINT_FHD,B80,MATCH(TEMPLATE_SPHERE,TEMPLATE_SPHERE_LIST_FOR_NOTE,0))</f>
        <v>0</v>
      </c>
      <c r="K80" s="1367">
        <f>INDEX(TEMPLATE_NOTE_POINT_FHD,B80,MATCH(TEMPLATE_SPHERE,TEMPLATE_SPHERE_LIST_FOR_NOTE,0))</f>
        <v>0</v>
      </c>
      <c r="L80" s="1205" t="str">
        <f>IF(I80=0,"",I80)</f>
        <v/>
      </c>
      <c r="M80" s="1205" t="str">
        <f>IF(J80=0,"",J80)</f>
        <v/>
      </c>
      <c r="N80" s="1205" t="str">
        <f>IF(K80=0,"",K80)</f>
        <v/>
      </c>
      <c r="O80" s="1319" t="s">
        <v>145</v>
      </c>
      <c r="P80" s="1319"/>
      <c r="Q80" s="1319"/>
      <c r="R80" s="1319"/>
      <c r="S80" s="1319"/>
      <c r="T80" s="1204" t="s">
        <v>2116</v>
      </c>
      <c r="U80" s="1204"/>
      <c r="V80" s="1204"/>
      <c r="W80" s="1204"/>
      <c r="X80" s="1204"/>
      <c r="Y80" s="1362"/>
      <c r="Z80" s="1207" t="s">
        <v>2117</v>
      </c>
      <c r="AA80" s="1210"/>
      <c r="AB80" s="1207"/>
      <c r="AC80" s="1207"/>
      <c r="AD80" s="1207"/>
    </row>
    <row customHeight="1" ht="36">
      <c r="A81" s="1206"/>
      <c r="B81" s="1260">
        <v>64</v>
      </c>
      <c r="C81" s="1204" t="s">
        <v>2093</v>
      </c>
      <c r="D81" s="1329"/>
      <c r="E81" s="1204"/>
      <c r="F81" s="1204"/>
      <c r="G81" s="1204"/>
      <c r="H81" s="1252"/>
      <c r="I81" s="1367">
        <f>INDEX(TEMPLATE_NUMBER_POINT_FHD,B81,MATCH(TEMPLATE_SPHERE,TEMPLATE_SPHERE_LIST_FOR_NOTE,0))</f>
        <v>0</v>
      </c>
      <c r="J81" s="1367">
        <f>INDEX(TEMPLATE_DATA_POINT_FHD,B81,MATCH(TEMPLATE_SPHERE,TEMPLATE_SPHERE_LIST_FOR_NOTE,0))</f>
        <v>0</v>
      </c>
      <c r="K81" s="1367">
        <f>INDEX(TEMPLATE_NOTE_POINT_FHD,B81,MATCH(TEMPLATE_SPHERE,TEMPLATE_SPHERE_LIST_FOR_NOTE,0))</f>
        <v>0</v>
      </c>
      <c r="L81" s="1205" t="str">
        <f>IF(I81=0,"",I81)</f>
        <v/>
      </c>
      <c r="M81" s="1205" t="str">
        <f>IF(J81=0,"",J81)</f>
        <v/>
      </c>
      <c r="N81" s="1205" t="str">
        <f>IF(K81=0,"",K81)</f>
        <v/>
      </c>
      <c r="O81" s="1319" t="s">
        <v>1996</v>
      </c>
      <c r="P81" s="1319"/>
      <c r="Q81" s="1319"/>
      <c r="R81" s="1319"/>
      <c r="S81" s="1319"/>
      <c r="T81" s="1204" t="s">
        <v>2118</v>
      </c>
      <c r="U81" s="1204"/>
      <c r="V81" s="1204"/>
      <c r="W81" s="1204"/>
      <c r="X81" s="1204"/>
      <c r="Y81" s="1362"/>
      <c r="Z81" s="1207" t="s">
        <v>2119</v>
      </c>
      <c r="AA81" s="1210"/>
      <c r="AB81" s="1207"/>
      <c r="AC81" s="1207"/>
      <c r="AD81" s="1207"/>
    </row>
    <row customHeight="1" ht="90">
      <c r="A82" s="1206"/>
      <c r="B82" s="1260">
        <v>65</v>
      </c>
      <c r="C82" s="1204" t="s">
        <v>2102</v>
      </c>
      <c r="D82" s="1329"/>
      <c r="E82" s="1204"/>
      <c r="F82" s="1204"/>
      <c r="G82" s="1204"/>
      <c r="H82" s="1252"/>
      <c r="I82" s="1367">
        <f>INDEX(TEMPLATE_NUMBER_POINT_FHD,B82,MATCH(TEMPLATE_SPHERE,TEMPLATE_SPHERE_LIST_FOR_NOTE,0))</f>
        <v>0</v>
      </c>
      <c r="J82" s="1367">
        <f>INDEX(TEMPLATE_DATA_POINT_FHD,B82,MATCH(TEMPLATE_SPHERE,TEMPLATE_SPHERE_LIST_FOR_NOTE,0))</f>
        <v>0</v>
      </c>
      <c r="K82" s="1367">
        <f>INDEX(TEMPLATE_NOTE_POINT_FHD,B82,MATCH(TEMPLATE_SPHERE,TEMPLATE_SPHERE_LIST_FOR_NOTE,0))</f>
        <v>0</v>
      </c>
      <c r="L82" s="1205" t="str">
        <f>IF(I82=0,"",I82)</f>
        <v/>
      </c>
      <c r="M82" s="1205" t="str">
        <f>IF(J82=0,"",J82)</f>
        <v/>
      </c>
      <c r="N82" s="1205" t="str">
        <f>IF(K82=0,"",K82)</f>
        <v/>
      </c>
      <c r="O82" s="1319" t="s">
        <v>146</v>
      </c>
      <c r="P82" s="1319"/>
      <c r="Q82" s="1319"/>
      <c r="R82" s="1319"/>
      <c r="S82" s="1319"/>
      <c r="T82" s="1204" t="s">
        <v>2120</v>
      </c>
      <c r="U82" s="1204"/>
      <c r="V82" s="1204"/>
      <c r="W82" s="1204"/>
      <c r="X82" s="1204"/>
      <c r="Y82" s="1362"/>
      <c r="Z82" s="1207" t="s">
        <v>2121</v>
      </c>
      <c r="AA82" s="1210"/>
      <c r="AB82" s="1207"/>
      <c r="AC82" s="1207"/>
      <c r="AD82" s="1207"/>
    </row>
    <row customHeight="1" ht="9">
      <c r="A83" s="1206"/>
      <c r="B83" s="1260">
        <v>66</v>
      </c>
      <c r="C83" s="1204"/>
      <c r="D83" s="1329"/>
      <c r="E83" s="1204"/>
      <c r="F83" s="1204"/>
      <c r="G83" s="1204"/>
      <c r="H83" s="1252"/>
      <c r="I83" s="1367">
        <f>INDEX(TEMPLATE_NUMBER_POINT_FHD,B83,MATCH(TEMPLATE_SPHERE,TEMPLATE_SPHERE_LIST_FOR_NOTE,0))</f>
        <v>0</v>
      </c>
      <c r="J83" s="1367">
        <f>INDEX(TEMPLATE_DATA_POINT_FHD,B83,MATCH(TEMPLATE_SPHERE,TEMPLATE_SPHERE_LIST_FOR_NOTE,0))</f>
        <v>0</v>
      </c>
      <c r="K83" s="1367">
        <f>INDEX(TEMPLATE_NOTE_POINT_FHD,B83,MATCH(TEMPLATE_SPHERE,TEMPLATE_SPHERE_LIST_FOR_NOTE,0))</f>
        <v>0</v>
      </c>
      <c r="L83" s="1205" t="str">
        <f>IF(I83=0,"",I83)</f>
        <v/>
      </c>
      <c r="M83" s="1205" t="str">
        <f>IF(J83=0,"",J83)</f>
        <v/>
      </c>
      <c r="N83" s="1205" t="str">
        <f>IF(K83=0,"",K83)</f>
        <v/>
      </c>
      <c r="O83" s="1319" t="s">
        <v>2005</v>
      </c>
      <c r="P83" s="1319"/>
      <c r="Q83" s="1319"/>
      <c r="R83" s="1319"/>
      <c r="S83" s="1319"/>
      <c r="T83" s="1204" t="s">
        <v>2122</v>
      </c>
      <c r="U83" s="1204"/>
      <c r="V83" s="1204"/>
      <c r="W83" s="1204"/>
      <c r="X83" s="1204"/>
      <c r="Y83" s="1362"/>
      <c r="Z83" s="1207"/>
      <c r="AA83" s="1210"/>
      <c r="AB83" s="1207"/>
      <c r="AC83" s="1207"/>
      <c r="AD83" s="1207"/>
    </row>
    <row customHeight="1" ht="54">
      <c r="A84" s="1206"/>
      <c r="B84" s="1260">
        <v>67</v>
      </c>
      <c r="C84" s="1204"/>
      <c r="D84" s="1329"/>
      <c r="E84" s="1204"/>
      <c r="F84" s="1204"/>
      <c r="G84" s="1204"/>
      <c r="H84" s="1252"/>
      <c r="I84" s="1367">
        <f>INDEX(TEMPLATE_NUMBER_POINT_FHD,B84,MATCH(TEMPLATE_SPHERE,TEMPLATE_SPHERE_LIST_FOR_NOTE,0))</f>
        <v>0</v>
      </c>
      <c r="J84" s="1367">
        <f>INDEX(TEMPLATE_DATA_POINT_FHD,B84,MATCH(TEMPLATE_SPHERE,TEMPLATE_SPHERE_LIST_FOR_NOTE,0))</f>
        <v>0</v>
      </c>
      <c r="K84" s="1367">
        <f>INDEX(TEMPLATE_NOTE_POINT_FHD,B84,MATCH(TEMPLATE_SPHERE,TEMPLATE_SPHERE_LIST_FOR_NOTE,0))</f>
        <v>0</v>
      </c>
      <c r="L84" s="1205" t="str">
        <f>IF(I84=0,"",I84)</f>
        <v/>
      </c>
      <c r="M84" s="1205" t="str">
        <f>IF(J84=0,"",J84)</f>
        <v/>
      </c>
      <c r="N84" s="1205" t="str">
        <f>IF(K84=0,"",K84)</f>
        <v/>
      </c>
      <c r="O84" s="1319" t="s">
        <v>2123</v>
      </c>
      <c r="P84" s="1319"/>
      <c r="Q84" s="1319"/>
      <c r="R84" s="1319"/>
      <c r="S84" s="1319"/>
      <c r="T84" s="1204" t="s">
        <v>2124</v>
      </c>
      <c r="U84" s="1204"/>
      <c r="V84" s="1204"/>
      <c r="W84" s="1204"/>
      <c r="X84" s="1204"/>
      <c r="Y84" s="1362"/>
      <c r="Z84" s="1207"/>
      <c r="AA84" s="1210"/>
      <c r="AB84" s="1207"/>
      <c r="AC84" s="1207"/>
      <c r="AD84" s="1207"/>
    </row>
    <row customHeight="1" ht="9">
      <c r="A85" s="1206"/>
      <c r="B85" s="1260">
        <v>68</v>
      </c>
      <c r="C85" s="1204"/>
      <c r="D85" s="1329"/>
      <c r="E85" s="1204"/>
      <c r="F85" s="1204"/>
      <c r="G85" s="1204"/>
      <c r="H85" s="1252"/>
      <c r="I85" s="1367">
        <f>INDEX(TEMPLATE_NUMBER_POINT_FHD,B85,MATCH(TEMPLATE_SPHERE,TEMPLATE_SPHERE_LIST_FOR_NOTE,0))</f>
        <v>0</v>
      </c>
      <c r="J85" s="1367">
        <f>INDEX(TEMPLATE_DATA_POINT_FHD,B85,MATCH(TEMPLATE_SPHERE,TEMPLATE_SPHERE_LIST_FOR_NOTE,0))</f>
        <v>0</v>
      </c>
      <c r="K85" s="1367">
        <f>INDEX(TEMPLATE_NOTE_POINT_FHD,B85,MATCH(TEMPLATE_SPHERE,TEMPLATE_SPHERE_LIST_FOR_NOTE,0))</f>
        <v>0</v>
      </c>
      <c r="L85" s="1205" t="str">
        <f>IF(I85=0,"",I85)</f>
        <v/>
      </c>
      <c r="M85" s="1205" t="str">
        <f>IF(J85=0,"",J85)</f>
        <v/>
      </c>
      <c r="N85" s="1205" t="str">
        <f>IF(K85=0,"",K85)</f>
        <v/>
      </c>
      <c r="O85" s="1319" t="s">
        <v>2009</v>
      </c>
      <c r="P85" s="1319"/>
      <c r="Q85" s="1319"/>
      <c r="R85" s="1319"/>
      <c r="S85" s="1319"/>
      <c r="T85" s="1204" t="s">
        <v>2125</v>
      </c>
      <c r="U85" s="1204"/>
      <c r="V85" s="1204"/>
      <c r="W85" s="1204"/>
      <c r="X85" s="1204"/>
      <c r="Y85" s="1362"/>
      <c r="Z85" s="1207"/>
      <c r="AA85" s="1210"/>
      <c r="AB85" s="1207"/>
      <c r="AC85" s="1207"/>
      <c r="AD85" s="1207"/>
    </row>
    <row customHeight="1" ht="27">
      <c r="A86" s="1206"/>
      <c r="B86" s="1260">
        <v>69</v>
      </c>
      <c r="C86" s="1204"/>
      <c r="D86" s="1329"/>
      <c r="E86" s="1204"/>
      <c r="F86" s="1204"/>
      <c r="G86" s="1204"/>
      <c r="H86" s="1252"/>
      <c r="I86" s="1367">
        <f>INDEX(TEMPLATE_NUMBER_POINT_FHD,B86,MATCH(TEMPLATE_SPHERE,TEMPLATE_SPHERE_LIST_FOR_NOTE,0))</f>
        <v>0</v>
      </c>
      <c r="J86" s="1367">
        <f>INDEX(TEMPLATE_DATA_POINT_FHD,B86,MATCH(TEMPLATE_SPHERE,TEMPLATE_SPHERE_LIST_FOR_NOTE,0))</f>
        <v>0</v>
      </c>
      <c r="K86" s="1367">
        <f>INDEX(TEMPLATE_NOTE_POINT_FHD,B86,MATCH(TEMPLATE_SPHERE,TEMPLATE_SPHERE_LIST_FOR_NOTE,0))</f>
        <v>0</v>
      </c>
      <c r="L86" s="1205" t="str">
        <f>IF(I86=0,"",I86)</f>
        <v/>
      </c>
      <c r="M86" s="1205" t="str">
        <f>IF(J86=0,"",J86)</f>
        <v/>
      </c>
      <c r="N86" s="1205" t="str">
        <f>IF(K86=0,"",K86)</f>
        <v/>
      </c>
      <c r="O86" s="1319" t="s">
        <v>2126</v>
      </c>
      <c r="P86" s="1319"/>
      <c r="Q86" s="1319"/>
      <c r="R86" s="1319"/>
      <c r="S86" s="1319"/>
      <c r="T86" s="1204" t="s">
        <v>2127</v>
      </c>
      <c r="U86" s="1204"/>
      <c r="V86" s="1204"/>
      <c r="W86" s="1204"/>
      <c r="X86" s="1204"/>
      <c r="Y86" s="1362"/>
      <c r="Z86" s="1207"/>
      <c r="AA86" s="1210"/>
      <c r="AB86" s="1207"/>
      <c r="AC86" s="1207"/>
      <c r="AD86" s="1207"/>
    </row>
    <row customHeight="1" ht="36">
      <c r="A87" s="1206"/>
      <c r="B87" s="1260">
        <v>70</v>
      </c>
      <c r="C87" s="1204" t="s">
        <v>2128</v>
      </c>
      <c r="D87" s="1329"/>
      <c r="E87" s="1204"/>
      <c r="F87" s="1204"/>
      <c r="G87" s="1204"/>
      <c r="H87" s="1252"/>
      <c r="I87" s="1367">
        <f>INDEX(TEMPLATE_NUMBER_POINT_FHD,B87,MATCH(TEMPLATE_SPHERE,TEMPLATE_SPHERE_LIST_FOR_NOTE,0))</f>
        <v>0</v>
      </c>
      <c r="J87" s="1367">
        <f>INDEX(TEMPLATE_DATA_POINT_FHD,B87,MATCH(TEMPLATE_SPHERE,TEMPLATE_SPHERE_LIST_FOR_NOTE,0))</f>
        <v>0</v>
      </c>
      <c r="K87" s="1367">
        <f>INDEX(TEMPLATE_NOTE_POINT_FHD,B87,MATCH(TEMPLATE_SPHERE,TEMPLATE_SPHERE_LIST_FOR_NOTE,0))</f>
        <v>0</v>
      </c>
      <c r="L87" s="1205" t="str">
        <f>IF(I87=0,"",I87)</f>
        <v/>
      </c>
      <c r="M87" s="1205" t="str">
        <f>IF(J87=0,"",J87)</f>
        <v/>
      </c>
      <c r="N87" s="1205" t="str">
        <f>IF(K87=0,"",K87)</f>
        <v/>
      </c>
      <c r="O87" s="1319" t="s">
        <v>147</v>
      </c>
      <c r="P87" s="1319"/>
      <c r="Q87" s="1319"/>
      <c r="R87" s="1319"/>
      <c r="S87" s="1319"/>
      <c r="T87" s="1204" t="s">
        <v>2129</v>
      </c>
      <c r="U87" s="1204"/>
      <c r="V87" s="1204"/>
      <c r="W87" s="1204"/>
      <c r="X87" s="1204"/>
      <c r="Y87" s="1362"/>
      <c r="Z87" s="1207"/>
      <c r="AA87" s="1210"/>
      <c r="AB87" s="1207"/>
      <c r="AC87" s="1207"/>
      <c r="AD87" s="1207"/>
    </row>
    <row customHeight="1" ht="18">
      <c r="A88" s="1206"/>
      <c r="B88" s="1260">
        <v>71</v>
      </c>
      <c r="C88" s="1204" t="s">
        <v>2130</v>
      </c>
      <c r="D88" s="1329"/>
      <c r="E88" s="1204"/>
      <c r="F88" s="1204"/>
      <c r="G88" s="1204"/>
      <c r="H88" s="1252"/>
      <c r="I88" s="1367">
        <f>INDEX(TEMPLATE_NUMBER_POINT_FHD,B88,MATCH(TEMPLATE_SPHERE,TEMPLATE_SPHERE_LIST_FOR_NOTE,0))</f>
        <v>0</v>
      </c>
      <c r="J88" s="1367">
        <f>INDEX(TEMPLATE_DATA_POINT_FHD,B88,MATCH(TEMPLATE_SPHERE,TEMPLATE_SPHERE_LIST_FOR_NOTE,0))</f>
        <v>0</v>
      </c>
      <c r="K88" s="1367">
        <f>INDEX(TEMPLATE_NOTE_POINT_FHD,B88,MATCH(TEMPLATE_SPHERE,TEMPLATE_SPHERE_LIST_FOR_NOTE,0))</f>
        <v>0</v>
      </c>
      <c r="L88" s="1205" t="str">
        <f>IF(I88=0,"",I88)</f>
        <v/>
      </c>
      <c r="M88" s="1205" t="str">
        <f>IF(J88=0,"",J88)</f>
        <v/>
      </c>
      <c r="N88" s="1205" t="str">
        <f>IF(K88=0,"",K88)</f>
        <v/>
      </c>
      <c r="O88" s="1319" t="s">
        <v>148</v>
      </c>
      <c r="P88" s="1319"/>
      <c r="Q88" s="1319"/>
      <c r="R88" s="1319"/>
      <c r="S88" s="1319"/>
      <c r="T88" s="1204" t="s">
        <v>2131</v>
      </c>
      <c r="U88" s="1204"/>
      <c r="V88" s="1204"/>
      <c r="W88" s="1204"/>
      <c r="X88" s="1204"/>
      <c r="Y88" s="1362"/>
      <c r="Z88" s="1207"/>
      <c r="AA88" s="1210"/>
      <c r="AB88" s="1207"/>
      <c r="AC88" s="1207"/>
      <c r="AD88" s="1207"/>
    </row>
    <row customHeight="1" ht="18">
      <c r="A89" s="1206"/>
      <c r="B89" s="1260">
        <v>72</v>
      </c>
      <c r="C89" s="1204" t="s">
        <v>2132</v>
      </c>
      <c r="D89" s="1329" t="s">
        <v>2128</v>
      </c>
      <c r="E89" s="1204" t="s">
        <v>2128</v>
      </c>
      <c r="F89" s="1204" t="s">
        <v>2093</v>
      </c>
      <c r="G89" s="1204"/>
      <c r="H89" s="1252"/>
      <c r="I89" s="1367" t="str">
        <f>INDEX(TEMPLATE_NUMBER_POINT_FHD,B89,MATCH(TEMPLATE_SPHERE,TEMPLATE_SPHERE_LIST_FOR_NOTE,0))</f>
        <v>12</v>
      </c>
      <c r="J89" s="1367" t="str">
        <f>INDEX(TEMPLATE_DATA_POINT_FHD,B89,MATCH(TEMPLATE_SPHERE,TEMPLATE_SPHERE_LIST_FOR_NOTE,0))</f>
        <v>Среднесписочная численность основного производственного персонала</v>
      </c>
      <c r="K89" s="1367">
        <f>INDEX(TEMPLATE_NOTE_POINT_FHD,B89,MATCH(TEMPLATE_SPHERE,TEMPLATE_SPHERE_LIST_FOR_NOTE,0))</f>
        <v>0</v>
      </c>
      <c r="L89" s="1205" t="str">
        <f>IF(I89=0,"",I89)</f>
        <v>12</v>
      </c>
      <c r="M89" s="1205" t="str">
        <f>IF(J89=0,"",J89)</f>
        <v>Среднесписочная численность основного производственного персонала</v>
      </c>
      <c r="N89" s="1205" t="str">
        <f>IF(K89=0,"",K89)</f>
        <v/>
      </c>
      <c r="O89" s="1319" t="s">
        <v>149</v>
      </c>
      <c r="P89" s="1319" t="s">
        <v>148</v>
      </c>
      <c r="Q89" s="1319" t="s">
        <v>148</v>
      </c>
      <c r="R89" s="1319" t="s">
        <v>146</v>
      </c>
      <c r="S89" s="1319"/>
      <c r="T89" s="1204" t="s">
        <v>2133</v>
      </c>
      <c r="U89" s="1204" t="s">
        <v>2133</v>
      </c>
      <c r="V89" s="1204" t="s">
        <v>2133</v>
      </c>
      <c r="W89" s="1204" t="s">
        <v>2133</v>
      </c>
      <c r="X89" s="1204"/>
      <c r="Y89" s="1362"/>
      <c r="Z89" s="1207"/>
      <c r="AA89" s="1210"/>
      <c r="AB89" s="1207"/>
      <c r="AC89" s="1207"/>
      <c r="AD89" s="1207"/>
    </row>
    <row customHeight="1" ht="27">
      <c r="A90" s="1206"/>
      <c r="B90" s="1260">
        <v>73</v>
      </c>
      <c r="C90" s="1204" t="s">
        <v>2134</v>
      </c>
      <c r="D90" s="1329"/>
      <c r="E90" s="1204"/>
      <c r="F90" s="1204"/>
      <c r="G90" s="1204"/>
      <c r="H90" s="1252"/>
      <c r="I90" s="1367">
        <f>INDEX(TEMPLATE_NUMBER_POINT_FHD,B90,MATCH(TEMPLATE_SPHERE,TEMPLATE_SPHERE_LIST_FOR_NOTE,0))</f>
        <v>0</v>
      </c>
      <c r="J90" s="1367">
        <f>INDEX(TEMPLATE_DATA_POINT_FHD,B90,MATCH(TEMPLATE_SPHERE,TEMPLATE_SPHERE_LIST_FOR_NOTE,0))</f>
        <v>0</v>
      </c>
      <c r="K90" s="1367">
        <f>INDEX(TEMPLATE_NOTE_POINT_FHD,B90,MATCH(TEMPLATE_SPHERE,TEMPLATE_SPHERE_LIST_FOR_NOTE,0))</f>
        <v>0</v>
      </c>
      <c r="L90" s="1205" t="str">
        <f>IF(I90=0,"",I90)</f>
        <v/>
      </c>
      <c r="M90" s="1205" t="str">
        <f>IF(J90=0,"",J90)</f>
        <v/>
      </c>
      <c r="N90" s="1205" t="str">
        <f>IF(K90=0,"",K90)</f>
        <v/>
      </c>
      <c r="O90" s="1319" t="s">
        <v>150</v>
      </c>
      <c r="P90" s="1319"/>
      <c r="Q90" s="1319"/>
      <c r="R90" s="1319"/>
      <c r="S90" s="1319"/>
      <c r="T90" s="1204" t="s">
        <v>2135</v>
      </c>
      <c r="U90" s="1204"/>
      <c r="V90" s="1204"/>
      <c r="W90" s="1204"/>
      <c r="X90" s="1204"/>
      <c r="Y90" s="1362"/>
      <c r="Z90" s="1207"/>
      <c r="AA90" s="1210"/>
      <c r="AB90" s="1207"/>
      <c r="AC90" s="1207"/>
      <c r="AD90" s="1207"/>
    </row>
    <row customHeight="1" ht="18">
      <c r="A91" s="1206"/>
      <c r="B91" s="1260">
        <v>74</v>
      </c>
      <c r="C91" s="1204"/>
      <c r="D91" s="1329" t="s">
        <v>2130</v>
      </c>
      <c r="E91" s="1204" t="s">
        <v>2130</v>
      </c>
      <c r="F91" s="1204"/>
      <c r="G91" s="1204"/>
      <c r="H91" s="1252"/>
      <c r="I91" s="1367" t="str">
        <f>INDEX(TEMPLATE_NUMBER_POINT_FHD,B91,MATCH(TEMPLATE_SPHERE,TEMPLATE_SPHERE_LIST_FOR_NOTE,0))</f>
        <v>13</v>
      </c>
      <c r="J91" s="1367" t="str">
        <f>INDEX(TEMPLATE_DATA_POINT_FHD,B91,MATCH(TEMPLATE_SPHERE,TEMPLATE_SPHERE_LIST_FOR_NOTE,0))</f>
        <v>Удельный расход электрической энергии на подачу воды в сеть</v>
      </c>
      <c r="K91" s="1367">
        <f>INDEX(TEMPLATE_NOTE_POINT_FHD,B91,MATCH(TEMPLATE_SPHERE,TEMPLATE_SPHERE_LIST_FOR_NOTE,0))</f>
        <v>0</v>
      </c>
      <c r="L91" s="1205" t="str">
        <f>IF(I91=0,"",I91)</f>
        <v>13</v>
      </c>
      <c r="M91" s="1205" t="str">
        <f>IF(J91=0,"",J91)</f>
        <v>Удельный расход электрической энергии на подачу воды в сеть</v>
      </c>
      <c r="N91" s="1205" t="str">
        <f>IF(K91=0,"",K91)</f>
        <v/>
      </c>
      <c r="O91" s="1319"/>
      <c r="P91" s="1319" t="s">
        <v>149</v>
      </c>
      <c r="Q91" s="1319" t="s">
        <v>149</v>
      </c>
      <c r="R91" s="1319"/>
      <c r="S91" s="1319"/>
      <c r="T91" s="1204"/>
      <c r="U91" s="1204" t="s">
        <v>2136</v>
      </c>
      <c r="V91" s="1204" t="s">
        <v>2136</v>
      </c>
      <c r="W91" s="1204"/>
      <c r="X91" s="1204"/>
      <c r="Y91" s="1362"/>
      <c r="Z91" s="1207"/>
      <c r="AA91" s="1210"/>
      <c r="AB91" s="1207"/>
      <c r="AC91" s="1207"/>
      <c r="AD91" s="1207"/>
    </row>
    <row customHeight="1" ht="27">
      <c r="A92" s="1206"/>
      <c r="B92" s="1260">
        <v>75</v>
      </c>
      <c r="C92" s="1204"/>
      <c r="D92" s="1329" t="s">
        <v>2132</v>
      </c>
      <c r="E92" s="1204"/>
      <c r="F92" s="1204"/>
      <c r="G92" s="1204"/>
      <c r="H92" s="1252"/>
      <c r="I92" s="1367">
        <f>INDEX(TEMPLATE_NUMBER_POINT_FHD,B92,MATCH(TEMPLATE_SPHERE,TEMPLATE_SPHERE_LIST_FOR_NOTE,0))</f>
        <v>0</v>
      </c>
      <c r="J92" s="1367">
        <f>INDEX(TEMPLATE_DATA_POINT_FHD,B92,MATCH(TEMPLATE_SPHERE,TEMPLATE_SPHERE_LIST_FOR_NOTE,0))</f>
        <v>0</v>
      </c>
      <c r="K92" s="1367">
        <f>INDEX(TEMPLATE_NOTE_POINT_FHD,B92,MATCH(TEMPLATE_SPHERE,TEMPLATE_SPHERE_LIST_FOR_NOTE,0))</f>
        <v>0</v>
      </c>
      <c r="L92" s="1205" t="str">
        <f>IF(I92=0,"",I92)</f>
        <v/>
      </c>
      <c r="M92" s="1205" t="str">
        <f>IF(J92=0,"",J92)</f>
        <v/>
      </c>
      <c r="N92" s="1205" t="str">
        <f>IF(K92=0,"",K92)</f>
        <v/>
      </c>
      <c r="O92" s="1319"/>
      <c r="P92" s="1319" t="s">
        <v>150</v>
      </c>
      <c r="Q92" s="1319"/>
      <c r="R92" s="1319"/>
      <c r="S92" s="1319"/>
      <c r="T92" s="1204"/>
      <c r="U92" s="1204" t="s">
        <v>2137</v>
      </c>
      <c r="V92" s="1204"/>
      <c r="W92" s="1204"/>
      <c r="X92" s="1204"/>
      <c r="Y92" s="1362"/>
      <c r="Z92" s="1207"/>
      <c r="AA92" s="1210" t="s">
        <v>2138</v>
      </c>
      <c r="AB92" s="1207"/>
      <c r="AC92" s="1207"/>
      <c r="AD92" s="1207"/>
    </row>
    <row customHeight="1" ht="27">
      <c r="A93" s="1206"/>
      <c r="B93" s="1260">
        <v>76</v>
      </c>
      <c r="C93" s="1204"/>
      <c r="D93" s="1329"/>
      <c r="E93" s="1204"/>
      <c r="F93" s="1204"/>
      <c r="G93" s="1204"/>
      <c r="H93" s="1252"/>
      <c r="I93" s="1367">
        <f>INDEX(TEMPLATE_NUMBER_POINT_FHD,B93,MATCH(TEMPLATE_SPHERE,TEMPLATE_SPHERE_LIST_FOR_NOTE,0))</f>
        <v>0</v>
      </c>
      <c r="J93" s="1367">
        <f>INDEX(TEMPLATE_DATA_POINT_FHD,B93,MATCH(TEMPLATE_SPHERE,TEMPLATE_SPHERE_LIST_FOR_NOTE,0))</f>
        <v>0</v>
      </c>
      <c r="K93" s="1367">
        <f>INDEX(TEMPLATE_NOTE_POINT_FHD,B93,MATCH(TEMPLATE_SPHERE,TEMPLATE_SPHERE_LIST_FOR_NOTE,0))</f>
        <v>0</v>
      </c>
      <c r="L93" s="1205" t="str">
        <f>IF(I93=0,"",I93)</f>
        <v/>
      </c>
      <c r="M93" s="1205" t="str">
        <f>IF(J93=0,"",J93)</f>
        <v/>
      </c>
      <c r="N93" s="1205" t="str">
        <f>IF(K93=0,"",K93)</f>
        <v/>
      </c>
      <c r="O93" s="1319"/>
      <c r="P93" s="1319" t="s">
        <v>2037</v>
      </c>
      <c r="Q93" s="1319"/>
      <c r="R93" s="1319"/>
      <c r="S93" s="1319"/>
      <c r="T93" s="1204"/>
      <c r="U93" s="1204" t="s">
        <v>2139</v>
      </c>
      <c r="V93" s="1204"/>
      <c r="W93" s="1204"/>
      <c r="X93" s="1204"/>
      <c r="Y93" s="1362"/>
      <c r="Z93" s="1207"/>
      <c r="AA93" s="1210" t="s">
        <v>2140</v>
      </c>
      <c r="AB93" s="1207"/>
      <c r="AC93" s="1207"/>
      <c r="AD93" s="1207"/>
    </row>
    <row customHeight="1" ht="45">
      <c r="A94" s="1206"/>
      <c r="B94" s="1260">
        <v>77</v>
      </c>
      <c r="C94" s="1204"/>
      <c r="D94" s="1329" t="s">
        <v>2134</v>
      </c>
      <c r="E94" s="1204"/>
      <c r="F94" s="1204"/>
      <c r="G94" s="1204"/>
      <c r="H94" s="1252"/>
      <c r="I94" s="1367">
        <f>INDEX(TEMPLATE_NUMBER_POINT_FHD,B94,MATCH(TEMPLATE_SPHERE,TEMPLATE_SPHERE_LIST_FOR_NOTE,0))</f>
        <v>0</v>
      </c>
      <c r="J94" s="1367">
        <f>INDEX(TEMPLATE_DATA_POINT_FHD,B94,MATCH(TEMPLATE_SPHERE,TEMPLATE_SPHERE_LIST_FOR_NOTE,0))</f>
        <v>0</v>
      </c>
      <c r="K94" s="1367">
        <f>INDEX(TEMPLATE_NOTE_POINT_FHD,B94,MATCH(TEMPLATE_SPHERE,TEMPLATE_SPHERE_LIST_FOR_NOTE,0))</f>
        <v>0</v>
      </c>
      <c r="L94" s="1205" t="str">
        <f>IF(I94=0,"",I94)</f>
        <v/>
      </c>
      <c r="M94" s="1205" t="str">
        <f>IF(J94=0,"",J94)</f>
        <v/>
      </c>
      <c r="N94" s="1205" t="str">
        <f>IF(K94=0,"",K94)</f>
        <v/>
      </c>
      <c r="O94" s="1319"/>
      <c r="P94" s="1319" t="s">
        <v>1390</v>
      </c>
      <c r="Q94" s="1319"/>
      <c r="R94" s="1319"/>
      <c r="S94" s="1319"/>
      <c r="T94" s="1204"/>
      <c r="U94" s="1204" t="s">
        <v>2141</v>
      </c>
      <c r="V94" s="1204"/>
      <c r="W94" s="1204"/>
      <c r="X94" s="1204"/>
      <c r="Y94" s="1362"/>
      <c r="Z94" s="1207"/>
      <c r="AA94" s="1210" t="s">
        <v>2142</v>
      </c>
      <c r="AB94" s="1207"/>
      <c r="AC94" s="1207"/>
      <c r="AD94" s="1207"/>
    </row>
    <row customHeight="1" ht="99">
      <c r="A95" s="1206"/>
      <c r="B95" s="1260">
        <v>78</v>
      </c>
      <c r="C95" s="1204" t="s">
        <v>2143</v>
      </c>
      <c r="D95" s="1329"/>
      <c r="E95" s="1204"/>
      <c r="F95" s="1204"/>
      <c r="G95" s="1204"/>
      <c r="H95" s="1252"/>
      <c r="I95" s="1367">
        <f>INDEX(TEMPLATE_NUMBER_POINT_FHD,B95,MATCH(TEMPLATE_SPHERE,TEMPLATE_SPHERE_LIST_FOR_NOTE,0))</f>
        <v>0</v>
      </c>
      <c r="J95" s="1367">
        <f>INDEX(TEMPLATE_DATA_POINT_FHD,B95,MATCH(TEMPLATE_SPHERE,TEMPLATE_SPHERE_LIST_FOR_NOTE,0))</f>
        <v>0</v>
      </c>
      <c r="K95" s="1367">
        <f>INDEX(TEMPLATE_NOTE_POINT_FHD,B95,MATCH(TEMPLATE_SPHERE,TEMPLATE_SPHERE_LIST_FOR_NOTE,0))</f>
        <v>0</v>
      </c>
      <c r="L95" s="1205" t="str">
        <f>IF(I95=0,"",I95)</f>
        <v/>
      </c>
      <c r="M95" s="1205" t="str">
        <f>IF(J95=0,"",J95)</f>
        <v/>
      </c>
      <c r="N95" s="1205" t="str">
        <f>IF(K95=0,"",K95)</f>
        <v/>
      </c>
      <c r="O95" s="1319" t="s">
        <v>1390</v>
      </c>
      <c r="P95" s="1319"/>
      <c r="Q95" s="1319"/>
      <c r="R95" s="1319"/>
      <c r="S95" s="1319"/>
      <c r="T95" s="1204" t="s">
        <v>2144</v>
      </c>
      <c r="U95" s="1204"/>
      <c r="V95" s="1204"/>
      <c r="W95" s="1204"/>
      <c r="X95" s="1204"/>
      <c r="Y95" s="1362"/>
      <c r="Z95" s="1207"/>
      <c r="AA95" s="1210"/>
      <c r="AB95" s="1207"/>
      <c r="AC95" s="1207"/>
      <c r="AD95" s="1207"/>
    </row>
    <row customHeight="1" ht="99">
      <c r="A96" s="1206"/>
      <c r="B96" s="1260">
        <v>79</v>
      </c>
      <c r="C96" s="1204" t="s">
        <v>1076</v>
      </c>
      <c r="D96" s="1329"/>
      <c r="E96" s="1204"/>
      <c r="F96" s="1204"/>
      <c r="G96" s="1204"/>
      <c r="H96" s="1252"/>
      <c r="I96" s="1367">
        <f>INDEX(TEMPLATE_NUMBER_POINT_FHD,B96,MATCH(TEMPLATE_SPHERE,TEMPLATE_SPHERE_LIST_FOR_NOTE,0))</f>
        <v>0</v>
      </c>
      <c r="J96" s="1367">
        <f>INDEX(TEMPLATE_DATA_POINT_FHD,B96,MATCH(TEMPLATE_SPHERE,TEMPLATE_SPHERE_LIST_FOR_NOTE,0))</f>
        <v>0</v>
      </c>
      <c r="K96" s="1367">
        <f>INDEX(TEMPLATE_NOTE_POINT_FHD,B96,MATCH(TEMPLATE_SPHERE,TEMPLATE_SPHERE_LIST_FOR_NOTE,0))</f>
        <v>0</v>
      </c>
      <c r="L96" s="1205" t="str">
        <f>IF(I96=0,"",I96)</f>
        <v/>
      </c>
      <c r="M96" s="1205" t="str">
        <f>IF(J96=0,"",J96)</f>
        <v/>
      </c>
      <c r="N96" s="1205" t="str">
        <f>IF(K96=0,"",K96)</f>
        <v/>
      </c>
      <c r="O96" s="1319" t="s">
        <v>1396</v>
      </c>
      <c r="P96" s="1319"/>
      <c r="Q96" s="1319"/>
      <c r="R96" s="1319"/>
      <c r="S96" s="1319"/>
      <c r="T96" s="1204" t="s">
        <v>2145</v>
      </c>
      <c r="U96" s="1204"/>
      <c r="V96" s="1204"/>
      <c r="W96" s="1204"/>
      <c r="X96" s="1204"/>
      <c r="Y96" s="1362"/>
      <c r="Z96" s="1207" t="s">
        <v>2146</v>
      </c>
      <c r="AA96" s="1210"/>
      <c r="AB96" s="1207"/>
      <c r="AC96" s="1207"/>
      <c r="AD96" s="1207"/>
    </row>
    <row customHeight="1" ht="63">
      <c r="A97" s="1206"/>
      <c r="B97" s="1260">
        <v>80</v>
      </c>
      <c r="C97" s="1204" t="s">
        <v>2147</v>
      </c>
      <c r="D97" s="1329"/>
      <c r="E97" s="1204"/>
      <c r="F97" s="1204"/>
      <c r="G97" s="1204"/>
      <c r="H97" s="1252"/>
      <c r="I97" s="1367">
        <f>INDEX(TEMPLATE_NUMBER_POINT_FHD,B97,MATCH(TEMPLATE_SPHERE,TEMPLATE_SPHERE_LIST_FOR_NOTE,0))</f>
        <v>0</v>
      </c>
      <c r="J97" s="1367">
        <f>INDEX(TEMPLATE_DATA_POINT_FHD,B97,MATCH(TEMPLATE_SPHERE,TEMPLATE_SPHERE_LIST_FOR_NOTE,0))</f>
        <v>0</v>
      </c>
      <c r="K97" s="1367">
        <f>INDEX(TEMPLATE_NOTE_POINT_FHD,B97,MATCH(TEMPLATE_SPHERE,TEMPLATE_SPHERE_LIST_FOR_NOTE,0))</f>
        <v>0</v>
      </c>
      <c r="L97" s="1205" t="str">
        <f>IF(I97=0,"",I97)</f>
        <v/>
      </c>
      <c r="M97" s="1205" t="str">
        <f>IF(J97=0,"",J97)</f>
        <v/>
      </c>
      <c r="N97" s="1205" t="str">
        <f>IF(K97=0,"",K97)</f>
        <v/>
      </c>
      <c r="O97" s="1319" t="s">
        <v>1407</v>
      </c>
      <c r="P97" s="1319"/>
      <c r="Q97" s="1319"/>
      <c r="R97" s="1319"/>
      <c r="S97" s="1319"/>
      <c r="T97" s="1204" t="s">
        <v>2148</v>
      </c>
      <c r="U97" s="1204"/>
      <c r="V97" s="1204"/>
      <c r="W97" s="1204"/>
      <c r="X97" s="1204"/>
      <c r="Y97" s="1362"/>
      <c r="Z97" s="1207" t="s">
        <v>2149</v>
      </c>
      <c r="AA97" s="1210"/>
      <c r="AB97" s="1207"/>
      <c r="AC97" s="1207"/>
      <c r="AD97" s="1207"/>
    </row>
    <row customHeight="1" ht="63">
      <c r="A98" s="1206"/>
      <c r="B98" s="1260">
        <v>81</v>
      </c>
      <c r="C98" s="1204" t="s">
        <v>2150</v>
      </c>
      <c r="D98" s="1329"/>
      <c r="E98" s="1204"/>
      <c r="F98" s="1204"/>
      <c r="G98" s="1204"/>
      <c r="H98" s="1252"/>
      <c r="I98" s="1367">
        <f>INDEX(TEMPLATE_NUMBER_POINT_FHD,B98,MATCH(TEMPLATE_SPHERE,TEMPLATE_SPHERE_LIST_FOR_NOTE,0))</f>
        <v>0</v>
      </c>
      <c r="J98" s="1367">
        <f>INDEX(TEMPLATE_DATA_POINT_FHD,B98,MATCH(TEMPLATE_SPHERE,TEMPLATE_SPHERE_LIST_FOR_NOTE,0))</f>
        <v>0</v>
      </c>
      <c r="K98" s="1367">
        <f>INDEX(TEMPLATE_NOTE_POINT_FHD,B98,MATCH(TEMPLATE_SPHERE,TEMPLATE_SPHERE_LIST_FOR_NOTE,0))</f>
        <v>0</v>
      </c>
      <c r="L98" s="1205" t="str">
        <f>IF(I98=0,"",I98)</f>
        <v/>
      </c>
      <c r="M98" s="1205" t="str">
        <f>IF(J98=0,"",J98)</f>
        <v/>
      </c>
      <c r="N98" s="1205" t="str">
        <f>IF(K98=0,"",K98)</f>
        <v/>
      </c>
      <c r="O98" s="1319" t="s">
        <v>1421</v>
      </c>
      <c r="P98" s="1319"/>
      <c r="Q98" s="1319"/>
      <c r="R98" s="1319"/>
      <c r="S98" s="1319"/>
      <c r="T98" s="1204" t="s">
        <v>2151</v>
      </c>
      <c r="U98" s="1204"/>
      <c r="V98" s="1204"/>
      <c r="W98" s="1204"/>
      <c r="X98" s="1204"/>
      <c r="Y98" s="1362"/>
      <c r="Z98" s="1207" t="s">
        <v>2149</v>
      </c>
      <c r="AA98" s="1210"/>
      <c r="AB98" s="1207"/>
      <c r="AC98" s="1207"/>
      <c r="AD98" s="1207"/>
    </row>
    <row customHeight="1" ht="90">
      <c r="A99" s="1206"/>
      <c r="B99" s="1260">
        <v>82</v>
      </c>
      <c r="C99" s="1204" t="s">
        <v>2152</v>
      </c>
      <c r="D99" s="1329"/>
      <c r="E99" s="1204"/>
      <c r="F99" s="1204"/>
      <c r="G99" s="1204"/>
      <c r="H99" s="1252"/>
      <c r="I99" s="1367">
        <f>INDEX(TEMPLATE_NUMBER_POINT_FHD,B99,MATCH(TEMPLATE_SPHERE,TEMPLATE_SPHERE_LIST_FOR_NOTE,0))</f>
        <v>0</v>
      </c>
      <c r="J99" s="1367">
        <f>INDEX(TEMPLATE_DATA_POINT_FHD,B99,MATCH(TEMPLATE_SPHERE,TEMPLATE_SPHERE_LIST_FOR_NOTE,0))</f>
        <v>0</v>
      </c>
      <c r="K99" s="1367">
        <f>INDEX(TEMPLATE_NOTE_POINT_FHD,B99,MATCH(TEMPLATE_SPHERE,TEMPLATE_SPHERE_LIST_FOR_NOTE,0))</f>
        <v>0</v>
      </c>
      <c r="L99" s="1205" t="str">
        <f>IF(I99=0,"",I99)</f>
        <v/>
      </c>
      <c r="M99" s="1205" t="str">
        <f>IF(J99=0,"",J99)</f>
        <v/>
      </c>
      <c r="N99" s="1205" t="str">
        <f>IF(K99=0,"",K99)</f>
        <v/>
      </c>
      <c r="O99" s="1319" t="s">
        <v>1433</v>
      </c>
      <c r="P99" s="1319"/>
      <c r="Q99" s="1319"/>
      <c r="R99" s="1319"/>
      <c r="S99" s="1319"/>
      <c r="T99" s="1204" t="s">
        <v>2153</v>
      </c>
      <c r="U99" s="1204"/>
      <c r="V99" s="1204"/>
      <c r="W99" s="1204"/>
      <c r="X99" s="1204"/>
      <c r="Y99" s="1362"/>
      <c r="Z99" s="1207" t="s">
        <v>806</v>
      </c>
      <c r="AA99" s="1210"/>
      <c r="AB99" s="1207"/>
      <c r="AC99" s="1207"/>
      <c r="AD99" s="1207"/>
    </row>
    <row customHeight="1" ht="27">
      <c r="A100" s="1206"/>
      <c r="B100" s="1260">
        <v>83</v>
      </c>
      <c r="C100" s="1204"/>
      <c r="D100" s="1329"/>
      <c r="E100" s="1204"/>
      <c r="F100" s="1204"/>
      <c r="G100" s="1204"/>
      <c r="H100" s="1252"/>
      <c r="I100" s="1367">
        <f>INDEX(TEMPLATE_NUMBER_POINT_FHD,B100,MATCH(TEMPLATE_SPHERE,TEMPLATE_SPHERE_LIST_FOR_NOTE,0))</f>
        <v>0</v>
      </c>
      <c r="J100" s="1367">
        <f>INDEX(TEMPLATE_DATA_POINT_FHD,B100,MATCH(TEMPLATE_SPHERE,TEMPLATE_SPHERE_LIST_FOR_NOTE,0))</f>
        <v>0</v>
      </c>
      <c r="K100" s="1367">
        <f>INDEX(TEMPLATE_NOTE_POINT_FHD,B100,MATCH(TEMPLATE_SPHERE,TEMPLATE_SPHERE_LIST_FOR_NOTE,0))</f>
        <v>0</v>
      </c>
      <c r="L100" s="1205" t="str">
        <f>IF(I100=0,"",I100)</f>
        <v/>
      </c>
      <c r="M100" s="1205" t="str">
        <f>IF(J100=0,"",J100)</f>
        <v/>
      </c>
      <c r="N100" s="1205" t="str">
        <f>IF(K100=0,"",K100)</f>
        <v/>
      </c>
      <c r="O100" s="1319" t="s">
        <v>2154</v>
      </c>
      <c r="P100" s="1319"/>
      <c r="Q100" s="1319"/>
      <c r="R100" s="1319"/>
      <c r="S100" s="1319"/>
      <c r="T100" s="1204" t="s">
        <v>2155</v>
      </c>
      <c r="U100" s="1204"/>
      <c r="V100" s="1204"/>
      <c r="W100" s="1204"/>
      <c r="X100" s="1204"/>
      <c r="Y100" s="1362"/>
      <c r="Z100" s="1207" t="s">
        <v>806</v>
      </c>
      <c r="AA100" s="1210"/>
      <c r="AB100" s="1207"/>
      <c r="AC100" s="1207"/>
      <c r="AD100" s="1207"/>
    </row>
    <row customHeight="1" ht="27">
      <c r="A101" s="1206"/>
      <c r="B101" s="1260">
        <v>84</v>
      </c>
      <c r="C101" s="1204"/>
      <c r="D101" s="1329"/>
      <c r="E101" s="1204"/>
      <c r="F101" s="1204"/>
      <c r="G101" s="1204"/>
      <c r="H101" s="1252"/>
      <c r="I101" s="1367">
        <f>INDEX(TEMPLATE_NUMBER_POINT_FHD,B101,MATCH(TEMPLATE_SPHERE,TEMPLATE_SPHERE_LIST_FOR_NOTE,0))</f>
        <v>0</v>
      </c>
      <c r="J101" s="1367">
        <f>INDEX(TEMPLATE_DATA_POINT_FHD,B101,MATCH(TEMPLATE_SPHERE,TEMPLATE_SPHERE_LIST_FOR_NOTE,0))</f>
        <v>0</v>
      </c>
      <c r="K101" s="1367">
        <f>INDEX(TEMPLATE_NOTE_POINT_FHD,B101,MATCH(TEMPLATE_SPHERE,TEMPLATE_SPHERE_LIST_FOR_NOTE,0))</f>
        <v>0</v>
      </c>
      <c r="L101" s="1205" t="str">
        <f>IF(I101=0,"",I101)</f>
        <v/>
      </c>
      <c r="M101" s="1205" t="str">
        <f>IF(J101=0,"",J101)</f>
        <v/>
      </c>
      <c r="N101" s="1205" t="str">
        <f>IF(K101=0,"",K101)</f>
        <v/>
      </c>
      <c r="O101" s="1319" t="s">
        <v>2156</v>
      </c>
      <c r="P101" s="1319"/>
      <c r="Q101" s="1319"/>
      <c r="R101" s="1319"/>
      <c r="S101" s="1319"/>
      <c r="T101" s="1204" t="s">
        <v>2157</v>
      </c>
      <c r="U101" s="1204"/>
      <c r="V101" s="1204"/>
      <c r="W101" s="1204"/>
      <c r="X101" s="1204"/>
      <c r="Y101" s="1362"/>
      <c r="Z101" s="1207" t="s">
        <v>806</v>
      </c>
      <c r="AA101" s="1210"/>
      <c r="AB101" s="1207"/>
      <c r="AC101" s="1207"/>
      <c r="AD101" s="1207"/>
    </row>
    <row customHeight="1" ht="9">
      <c r="A102" s="1206"/>
      <c r="B102" s="1206"/>
      <c r="C102" s="1204"/>
      <c r="D102" s="1204"/>
      <c r="E102" s="1204"/>
      <c r="F102" s="1204"/>
      <c r="G102" s="1204"/>
      <c r="H102" s="1252"/>
      <c r="I102" s="1252"/>
      <c r="J102" s="1252"/>
      <c r="K102" s="1252"/>
      <c r="L102" s="1252"/>
      <c r="M102" s="1204"/>
      <c r="N102" s="1251"/>
      <c r="O102" s="1319"/>
      <c r="P102" s="1319"/>
      <c r="Q102" s="1319"/>
      <c r="R102" s="1319"/>
      <c r="S102" s="1204"/>
      <c r="T102" s="1204"/>
      <c r="U102" s="1204"/>
      <c r="V102" s="1204"/>
      <c r="W102" s="1204"/>
      <c r="X102" s="1204"/>
      <c r="Y102" s="1362"/>
      <c r="Z102" s="1207"/>
      <c r="AA102" s="1210"/>
      <c r="AB102" s="1207"/>
      <c r="AC102" s="1207"/>
      <c r="AD102" s="1207"/>
    </row>
    <row customHeight="1" ht="9">
      <c r="A103" s="1206"/>
      <c r="B103" s="1206"/>
      <c r="C103" s="1204"/>
      <c r="D103" s="1204"/>
      <c r="E103" s="1204"/>
      <c r="F103" s="1204"/>
      <c r="G103" s="1204"/>
      <c r="H103" s="1252"/>
      <c r="I103" s="1252"/>
      <c r="J103" s="1252"/>
      <c r="K103" s="1252"/>
      <c r="L103" s="1252"/>
      <c r="M103" s="1204"/>
      <c r="N103" s="1251"/>
      <c r="O103" s="1319"/>
      <c r="P103" s="1319"/>
      <c r="Q103" s="1319"/>
      <c r="R103" s="1319"/>
      <c r="S103" s="1204"/>
      <c r="T103" s="1204"/>
      <c r="U103" s="1204"/>
      <c r="V103" s="1204"/>
      <c r="W103" s="1204"/>
      <c r="X103" s="1204"/>
      <c r="Y103" s="1362"/>
      <c r="Z103" s="1207"/>
      <c r="AA103" s="1210"/>
      <c r="AB103" s="1207"/>
      <c r="AC103" s="1207"/>
      <c r="AD103" s="1207"/>
    </row>
    <row customHeight="1" ht="9">
      <c r="A104" s="1206"/>
      <c r="B104" s="1206"/>
      <c r="C104" s="1204"/>
      <c r="D104" s="1204"/>
      <c r="E104" s="1204"/>
      <c r="F104" s="1204"/>
      <c r="G104" s="1204"/>
      <c r="H104" s="1252"/>
      <c r="I104" s="1252"/>
      <c r="J104" s="1252"/>
      <c r="K104" s="1252"/>
      <c r="L104" s="1252"/>
      <c r="M104" s="1204"/>
      <c r="N104" s="1251"/>
      <c r="O104" s="1319"/>
      <c r="P104" s="1319"/>
      <c r="Q104" s="1319"/>
      <c r="R104" s="1319"/>
      <c r="S104" s="1204"/>
      <c r="T104" s="1204"/>
      <c r="U104" s="1204"/>
      <c r="V104" s="1204"/>
      <c r="W104" s="1204"/>
      <c r="X104" s="1204"/>
      <c r="Y104" s="1362"/>
      <c r="Z104" s="1207"/>
      <c r="AA104" s="1210"/>
      <c r="AB104" s="1207"/>
      <c r="AC104" s="1207"/>
      <c r="AD104" s="1207"/>
    </row>
    <row customHeight="1" ht="9">
      <c r="A105" s="1206"/>
      <c r="B105" s="1206"/>
      <c r="C105" s="1204"/>
      <c r="D105" s="1204"/>
      <c r="E105" s="1204"/>
      <c r="F105" s="1204"/>
      <c r="G105" s="1204"/>
      <c r="H105" s="1252"/>
      <c r="I105" s="1252"/>
      <c r="J105" s="1252"/>
      <c r="K105" s="1252"/>
      <c r="L105" s="1252"/>
      <c r="M105" s="1204"/>
      <c r="N105" s="1251"/>
      <c r="O105" s="1319"/>
      <c r="P105" s="1319"/>
      <c r="Q105" s="1319"/>
      <c r="R105" s="1319"/>
      <c r="S105" s="1204"/>
      <c r="T105" s="1204"/>
      <c r="U105" s="1204"/>
      <c r="V105" s="1204"/>
      <c r="W105" s="1204"/>
      <c r="X105" s="1204"/>
      <c r="Y105" s="1362"/>
      <c r="Z105" s="1207"/>
      <c r="AA105" s="1210"/>
      <c r="AB105" s="1207"/>
      <c r="AC105" s="1207"/>
      <c r="AD105" s="1207"/>
    </row>
    <row customHeight="1" ht="9">
      <c r="A106" s="1206"/>
      <c r="B106" s="1206"/>
      <c r="C106" s="1204"/>
      <c r="D106" s="1204"/>
      <c r="E106" s="1204"/>
      <c r="F106" s="1204"/>
      <c r="G106" s="1204"/>
      <c r="H106" s="1252"/>
      <c r="I106" s="1252"/>
      <c r="J106" s="1252"/>
      <c r="K106" s="1252"/>
      <c r="L106" s="1252"/>
      <c r="M106" s="1204"/>
      <c r="N106" s="1251"/>
      <c r="O106" s="1319"/>
      <c r="P106" s="1319"/>
      <c r="Q106" s="1319"/>
      <c r="R106" s="1319"/>
      <c r="S106" s="1204"/>
      <c r="T106" s="1204"/>
      <c r="U106" s="1204"/>
      <c r="V106" s="1204"/>
      <c r="W106" s="1204"/>
      <c r="X106" s="1204"/>
      <c r="Y106" s="1362"/>
      <c r="Z106" s="1207"/>
      <c r="AA106" s="1210"/>
      <c r="AB106" s="1207"/>
      <c r="AC106" s="1207"/>
      <c r="AD106" s="1207"/>
    </row>
    <row customHeight="1" ht="9">
      <c r="A107" s="1206"/>
      <c r="B107" s="1206"/>
      <c r="C107" s="1204"/>
      <c r="D107" s="1204"/>
      <c r="E107" s="1204"/>
      <c r="F107" s="1204"/>
      <c r="G107" s="1204"/>
      <c r="H107" s="1252"/>
      <c r="I107" s="1252"/>
      <c r="J107" s="1252"/>
      <c r="K107" s="1252"/>
      <c r="L107" s="1252"/>
      <c r="M107" s="1204"/>
      <c r="N107" s="1251"/>
      <c r="O107" s="1319"/>
      <c r="P107" s="1319"/>
      <c r="Q107" s="1319"/>
      <c r="R107" s="1319"/>
      <c r="S107" s="1204"/>
      <c r="T107" s="1204"/>
      <c r="U107" s="1204"/>
      <c r="V107" s="1204"/>
      <c r="W107" s="1204"/>
      <c r="X107" s="1204"/>
      <c r="Y107" s="1362"/>
      <c r="Z107" s="1207"/>
      <c r="AA107" s="1210"/>
      <c r="AB107" s="1207"/>
      <c r="AC107" s="1207"/>
      <c r="AD107" s="1207"/>
    </row>
    <row customHeight="1" ht="9">
      <c r="A108" s="1206"/>
      <c r="B108" s="1206"/>
      <c r="C108" s="1204"/>
      <c r="D108" s="1204"/>
      <c r="E108" s="1204"/>
      <c r="F108" s="1204"/>
      <c r="G108" s="1204"/>
      <c r="H108" s="1252"/>
      <c r="I108" s="1252"/>
      <c r="J108" s="1252"/>
      <c r="K108" s="1252"/>
      <c r="L108" s="1252"/>
      <c r="M108" s="1204"/>
      <c r="N108" s="1251"/>
      <c r="O108" s="1319"/>
      <c r="P108" s="1319"/>
      <c r="Q108" s="1319"/>
      <c r="R108" s="1319"/>
      <c r="S108" s="1204"/>
      <c r="T108" s="1204"/>
      <c r="U108" s="1204"/>
      <c r="V108" s="1204"/>
      <c r="W108" s="1204"/>
      <c r="X108" s="1204"/>
      <c r="Y108" s="1362"/>
      <c r="Z108" s="1207"/>
      <c r="AA108" s="1210"/>
      <c r="AB108" s="1207"/>
      <c r="AC108" s="1207"/>
      <c r="AD108" s="1207"/>
    </row>
    <row customHeight="1" ht="9">
      <c r="A109" s="1206"/>
      <c r="B109" s="1206"/>
      <c r="C109" s="1204"/>
      <c r="D109" s="1204"/>
      <c r="E109" s="1204"/>
      <c r="F109" s="1204"/>
      <c r="G109" s="1204"/>
      <c r="H109" s="1252"/>
      <c r="I109" s="1252"/>
      <c r="J109" s="1252"/>
      <c r="K109" s="1252"/>
      <c r="L109" s="1252"/>
      <c r="M109" s="1204"/>
      <c r="N109" s="1251"/>
      <c r="O109" s="1319"/>
      <c r="P109" s="1319"/>
      <c r="Q109" s="1319"/>
      <c r="R109" s="1319"/>
      <c r="S109" s="1204"/>
      <c r="T109" s="1204"/>
      <c r="U109" s="1204"/>
      <c r="V109" s="1204"/>
      <c r="W109" s="1204"/>
      <c r="X109" s="1204"/>
      <c r="Y109" s="1362"/>
      <c r="Z109" s="1207"/>
      <c r="AA109" s="1210"/>
      <c r="AB109" s="1207"/>
      <c r="AC109" s="1207"/>
      <c r="AD109" s="1207"/>
    </row>
    <row customHeight="1" ht="9">
      <c r="A110" s="1206"/>
      <c r="B110" s="1206"/>
      <c r="C110" s="1204"/>
      <c r="D110" s="1204"/>
      <c r="E110" s="1204"/>
      <c r="F110" s="1204"/>
      <c r="G110" s="1204"/>
      <c r="H110" s="1252"/>
      <c r="I110" s="1252"/>
      <c r="J110" s="1252"/>
      <c r="K110" s="1252"/>
      <c r="L110" s="1252"/>
      <c r="M110" s="1204"/>
      <c r="N110" s="1251"/>
      <c r="O110" s="1319"/>
      <c r="P110" s="1319"/>
      <c r="Q110" s="1319"/>
      <c r="R110" s="1319"/>
      <c r="S110" s="1204"/>
      <c r="T110" s="1204"/>
      <c r="U110" s="1204"/>
      <c r="V110" s="1204"/>
      <c r="W110" s="1204"/>
      <c r="X110" s="1204"/>
      <c r="Y110" s="1362"/>
      <c r="Z110" s="1207"/>
      <c r="AA110" s="1210"/>
      <c r="AB110" s="1207"/>
      <c r="AC110" s="1207"/>
      <c r="AD110" s="1207"/>
    </row>
    <row customHeight="1" ht="9">
      <c r="A111" s="1206"/>
      <c r="B111" s="1206"/>
      <c r="C111" s="1204"/>
      <c r="D111" s="1204"/>
      <c r="E111" s="1204"/>
      <c r="F111" s="1204"/>
      <c r="G111" s="1204"/>
      <c r="H111" s="1252"/>
      <c r="I111" s="1252"/>
      <c r="J111" s="1252"/>
      <c r="K111" s="1252"/>
      <c r="L111" s="1252"/>
      <c r="M111" s="1204"/>
      <c r="N111" s="1251"/>
      <c r="O111" s="1319"/>
      <c r="P111" s="1319"/>
      <c r="Q111" s="1319"/>
      <c r="R111" s="1319"/>
      <c r="S111" s="1204"/>
      <c r="T111" s="1204"/>
      <c r="U111" s="1204"/>
      <c r="V111" s="1204"/>
      <c r="W111" s="1204"/>
      <c r="X111" s="1204"/>
      <c r="Y111" s="1362"/>
      <c r="Z111" s="1207"/>
      <c r="AA111" s="1210"/>
      <c r="AB111" s="1207"/>
      <c r="AC111" s="1207"/>
      <c r="AD111" s="1207"/>
    </row>
    <row customHeight="1" ht="9">
      <c r="A112" s="1206"/>
      <c r="B112" s="1206"/>
      <c r="C112" s="1204"/>
      <c r="D112" s="1204"/>
      <c r="E112" s="1204"/>
      <c r="F112" s="1204"/>
      <c r="G112" s="1204"/>
      <c r="H112" s="1252"/>
      <c r="I112" s="1252"/>
      <c r="J112" s="1252"/>
      <c r="K112" s="1252"/>
      <c r="L112" s="1252"/>
      <c r="M112" s="1204"/>
      <c r="N112" s="1251"/>
      <c r="O112" s="1319"/>
      <c r="P112" s="1319"/>
      <c r="Q112" s="1319"/>
      <c r="R112" s="1319"/>
      <c r="S112" s="1204"/>
      <c r="T112" s="1204"/>
      <c r="U112" s="1204"/>
      <c r="V112" s="1204"/>
      <c r="W112" s="1204"/>
      <c r="X112" s="1204"/>
      <c r="Y112" s="1362"/>
      <c r="Z112" s="1207"/>
      <c r="AA112" s="1210"/>
      <c r="AB112" s="1207"/>
      <c r="AC112" s="1207"/>
      <c r="AD112" s="1207"/>
    </row>
    <row customHeight="1" ht="9">
      <c r="A113" s="1206"/>
      <c r="B113" s="1206"/>
      <c r="C113" s="1204"/>
      <c r="D113" s="1204"/>
      <c r="E113" s="1204"/>
      <c r="F113" s="1204"/>
      <c r="G113" s="1204"/>
      <c r="H113" s="1252"/>
      <c r="I113" s="1252"/>
      <c r="J113" s="1252"/>
      <c r="K113" s="1252"/>
      <c r="L113" s="1252"/>
      <c r="M113" s="1204"/>
      <c r="N113" s="1251"/>
      <c r="O113" s="1319"/>
      <c r="P113" s="1319"/>
      <c r="Q113" s="1319"/>
      <c r="R113" s="1319"/>
      <c r="S113" s="1204"/>
      <c r="T113" s="1204"/>
      <c r="U113" s="1204"/>
      <c r="V113" s="1204"/>
      <c r="W113" s="1204"/>
      <c r="X113" s="1204"/>
      <c r="Y113" s="1362"/>
      <c r="Z113" s="1207"/>
      <c r="AA113" s="1210"/>
      <c r="AB113" s="1207"/>
      <c r="AC113" s="1207"/>
      <c r="AD113" s="1207"/>
    </row>
    <row customHeight="1" ht="9">
      <c r="A114" s="1206"/>
      <c r="B114" s="1206"/>
      <c r="C114" s="1204"/>
      <c r="D114" s="1204"/>
      <c r="E114" s="1204"/>
      <c r="F114" s="1204"/>
      <c r="G114" s="1204"/>
      <c r="H114" s="1252"/>
      <c r="I114" s="1252"/>
      <c r="J114" s="1252"/>
      <c r="K114" s="1252"/>
      <c r="L114" s="1252"/>
      <c r="M114" s="1204"/>
      <c r="N114" s="1251"/>
      <c r="O114" s="1319"/>
      <c r="P114" s="1319"/>
      <c r="Q114" s="1319"/>
      <c r="R114" s="1319"/>
      <c r="S114" s="1204"/>
      <c r="T114" s="1204"/>
      <c r="U114" s="1204"/>
      <c r="V114" s="1204"/>
      <c r="W114" s="1204"/>
      <c r="X114" s="1204"/>
      <c r="Y114" s="1362"/>
      <c r="Z114" s="1207"/>
      <c r="AA114" s="1210"/>
      <c r="AB114" s="1207"/>
      <c r="AC114" s="1207"/>
      <c r="AD114" s="1207"/>
    </row>
    <row customHeight="1" ht="9">
      <c r="A115" s="1206"/>
      <c r="B115" s="1206"/>
      <c r="C115" s="1204"/>
      <c r="D115" s="1204"/>
      <c r="E115" s="1204"/>
      <c r="F115" s="1204"/>
      <c r="G115" s="1204"/>
      <c r="H115" s="1252"/>
      <c r="I115" s="1252"/>
      <c r="J115" s="1252"/>
      <c r="K115" s="1252"/>
      <c r="L115" s="1252"/>
      <c r="M115" s="1204"/>
      <c r="N115" s="1251"/>
      <c r="O115" s="1319"/>
      <c r="P115" s="1319"/>
      <c r="Q115" s="1319"/>
      <c r="R115" s="1319"/>
      <c r="S115" s="1204"/>
      <c r="T115" s="1204"/>
      <c r="U115" s="1204"/>
      <c r="V115" s="1204"/>
      <c r="W115" s="1204"/>
      <c r="X115" s="1204"/>
      <c r="Y115" s="1362"/>
      <c r="Z115" s="1207"/>
      <c r="AA115" s="1210"/>
      <c r="AB115" s="1207"/>
      <c r="AC115" s="1207"/>
      <c r="AD115" s="1207"/>
    </row>
    <row customHeight="1" ht="9">
      <c r="A116" s="1206"/>
      <c r="B116" s="1206"/>
      <c r="C116" s="1204"/>
      <c r="D116" s="1204"/>
      <c r="E116" s="1204"/>
      <c r="F116" s="1204"/>
      <c r="G116" s="1204"/>
      <c r="H116" s="1252"/>
      <c r="I116" s="1252"/>
      <c r="J116" s="1252"/>
      <c r="K116" s="1252"/>
      <c r="L116" s="1252"/>
      <c r="M116" s="1204"/>
      <c r="N116" s="1251"/>
      <c r="O116" s="1319"/>
      <c r="P116" s="1319"/>
      <c r="Q116" s="1319"/>
      <c r="R116" s="1319"/>
      <c r="S116" s="1204"/>
      <c r="T116" s="1204"/>
      <c r="U116" s="1204"/>
      <c r="V116" s="1204"/>
      <c r="W116" s="1204"/>
      <c r="X116" s="1204"/>
      <c r="Y116" s="1362"/>
      <c r="Z116" s="1207"/>
      <c r="AA116" s="1210"/>
      <c r="AB116" s="1207"/>
      <c r="AC116" s="1207"/>
      <c r="AD116" s="1207"/>
    </row>
    <row customHeight="1" ht="9">
      <c r="A117" s="1206"/>
      <c r="B117" s="1206"/>
      <c r="C117" s="1204"/>
      <c r="D117" s="1204"/>
      <c r="E117" s="1204"/>
      <c r="F117" s="1204"/>
      <c r="G117" s="1204"/>
      <c r="H117" s="1252"/>
      <c r="I117" s="1252"/>
      <c r="J117" s="1252"/>
      <c r="K117" s="1252"/>
      <c r="L117" s="1252"/>
      <c r="M117" s="1204"/>
      <c r="N117" s="1251"/>
      <c r="O117" s="1319"/>
      <c r="P117" s="1319"/>
      <c r="Q117" s="1319"/>
      <c r="R117" s="1319"/>
      <c r="S117" s="1204"/>
      <c r="T117" s="1204"/>
      <c r="U117" s="1204"/>
      <c r="V117" s="1204"/>
      <c r="W117" s="1204"/>
      <c r="X117" s="1204"/>
      <c r="Y117" s="1362"/>
      <c r="Z117" s="1207"/>
      <c r="AA117" s="1210"/>
      <c r="AB117" s="1207"/>
      <c r="AC117" s="1207"/>
      <c r="AD117" s="1207"/>
    </row>
    <row customHeight="1" ht="9">
      <c r="A118" s="1206"/>
      <c r="B118" s="1206"/>
      <c r="C118" s="1204"/>
      <c r="D118" s="1204"/>
      <c r="E118" s="1204"/>
      <c r="F118" s="1204"/>
      <c r="G118" s="1204"/>
      <c r="H118" s="1252"/>
      <c r="I118" s="1252"/>
      <c r="J118" s="1252"/>
      <c r="K118" s="1252"/>
      <c r="L118" s="1252"/>
      <c r="M118" s="1204"/>
      <c r="N118" s="1251"/>
      <c r="O118" s="1319"/>
      <c r="P118" s="1319"/>
      <c r="Q118" s="1319"/>
      <c r="R118" s="1319"/>
      <c r="S118" s="1204"/>
      <c r="T118" s="1204"/>
      <c r="U118" s="1204"/>
      <c r="V118" s="1204"/>
      <c r="W118" s="1204"/>
      <c r="X118" s="1204"/>
      <c r="Y118" s="1362"/>
      <c r="Z118" s="1207"/>
      <c r="AA118" s="1210"/>
      <c r="AB118" s="1207"/>
      <c r="AC118" s="1207"/>
      <c r="AD118" s="1207"/>
    </row>
    <row customHeight="1" ht="9">
      <c r="A119" s="1206"/>
      <c r="B119" s="1206"/>
      <c r="C119" s="1204"/>
      <c r="D119" s="1204"/>
      <c r="E119" s="1204"/>
      <c r="F119" s="1204"/>
      <c r="G119" s="1204"/>
      <c r="H119" s="1252"/>
      <c r="I119" s="1252"/>
      <c r="J119" s="1252"/>
      <c r="K119" s="1252"/>
      <c r="L119" s="1252"/>
      <c r="M119" s="1204"/>
      <c r="N119" s="1251"/>
      <c r="O119" s="1319"/>
      <c r="P119" s="1319"/>
      <c r="Q119" s="1319"/>
      <c r="R119" s="1319"/>
      <c r="S119" s="1204"/>
      <c r="T119" s="1204"/>
      <c r="U119" s="1204"/>
      <c r="V119" s="1204"/>
      <c r="W119" s="1204"/>
      <c r="X119" s="1204"/>
      <c r="Y119" s="1362"/>
      <c r="Z119" s="1207"/>
      <c r="AA119" s="1210"/>
      <c r="AB119" s="1207"/>
      <c r="AC119" s="1207"/>
      <c r="AD119" s="1207"/>
    </row>
    <row customHeight="1" ht="9">
      <c r="A120" s="1206"/>
      <c r="B120" s="1206"/>
      <c r="C120" s="1204"/>
      <c r="D120" s="1204"/>
      <c r="E120" s="1204"/>
      <c r="F120" s="1204"/>
      <c r="G120" s="1204"/>
      <c r="H120" s="1252"/>
      <c r="I120" s="1252"/>
      <c r="J120" s="1252"/>
      <c r="K120" s="1252"/>
      <c r="L120" s="1252"/>
      <c r="M120" s="1204"/>
      <c r="N120" s="1251"/>
      <c r="O120" s="1319"/>
      <c r="P120" s="1319"/>
      <c r="Q120" s="1319"/>
      <c r="R120" s="1319"/>
      <c r="S120" s="1204"/>
      <c r="T120" s="1204"/>
      <c r="U120" s="1204"/>
      <c r="V120" s="1204"/>
      <c r="W120" s="1204"/>
      <c r="X120" s="1204"/>
      <c r="Y120" s="1362"/>
      <c r="Z120" s="1207"/>
      <c r="AA120" s="1210"/>
      <c r="AB120" s="1207"/>
      <c r="AC120" s="1207"/>
      <c r="AD120" s="1207"/>
    </row>
    <row customHeight="1" ht="9">
      <c r="A121" s="1206"/>
      <c r="B121" s="1206"/>
      <c r="C121" s="1204"/>
      <c r="D121" s="1204"/>
      <c r="E121" s="1204"/>
      <c r="F121" s="1204"/>
      <c r="G121" s="1204"/>
      <c r="H121" s="1252"/>
      <c r="I121" s="1252"/>
      <c r="J121" s="1252"/>
      <c r="K121" s="1252"/>
      <c r="L121" s="1252"/>
      <c r="M121" s="1204"/>
      <c r="N121" s="1251"/>
      <c r="O121" s="1319"/>
      <c r="P121" s="1319"/>
      <c r="Q121" s="1319"/>
      <c r="R121" s="1319"/>
      <c r="S121" s="1204"/>
      <c r="T121" s="1204"/>
      <c r="U121" s="1204"/>
      <c r="V121" s="1204"/>
      <c r="W121" s="1204"/>
      <c r="X121" s="1204"/>
      <c r="Y121" s="1362"/>
      <c r="Z121" s="1207"/>
      <c r="AA121" s="1210"/>
      <c r="AB121" s="1207"/>
      <c r="AC121" s="1207"/>
      <c r="AD121" s="1207"/>
    </row>
    <row customHeight="1" ht="9">
      <c r="A122" s="1206"/>
      <c r="B122" s="1206"/>
      <c r="C122" s="1204"/>
      <c r="D122" s="1204"/>
      <c r="E122" s="1204"/>
      <c r="F122" s="1204"/>
      <c r="G122" s="1204"/>
      <c r="H122" s="1252"/>
      <c r="I122" s="1252"/>
      <c r="J122" s="1252"/>
      <c r="K122" s="1252"/>
      <c r="L122" s="1252"/>
      <c r="M122" s="1204"/>
      <c r="N122" s="1251"/>
      <c r="O122" s="1319"/>
      <c r="P122" s="1319"/>
      <c r="Q122" s="1319"/>
      <c r="R122" s="1319"/>
      <c r="S122" s="1204"/>
      <c r="T122" s="1204"/>
      <c r="U122" s="1204"/>
      <c r="V122" s="1204"/>
      <c r="W122" s="1204"/>
      <c r="X122" s="1204"/>
      <c r="Y122" s="1362"/>
      <c r="Z122" s="1207"/>
      <c r="AA122" s="1210"/>
      <c r="AB122" s="1207"/>
      <c r="AC122" s="1207"/>
      <c r="AD122" s="1207"/>
    </row>
    <row customHeight="1" ht="9">
      <c r="A123" s="1206"/>
      <c r="B123" s="1206"/>
      <c r="C123" s="1204"/>
      <c r="D123" s="1204"/>
      <c r="E123" s="1204"/>
      <c r="F123" s="1204"/>
      <c r="G123" s="1204"/>
      <c r="H123" s="1252"/>
      <c r="I123" s="1252"/>
      <c r="J123" s="1252"/>
      <c r="K123" s="1252"/>
      <c r="L123" s="1252"/>
      <c r="M123" s="1204"/>
      <c r="N123" s="1251"/>
      <c r="O123" s="1319"/>
      <c r="P123" s="1319"/>
      <c r="Q123" s="1319"/>
      <c r="R123" s="1319"/>
      <c r="S123" s="1204"/>
      <c r="T123" s="1204"/>
      <c r="U123" s="1204"/>
      <c r="V123" s="1204"/>
      <c r="W123" s="1204"/>
      <c r="X123" s="1204"/>
      <c r="Y123" s="1362"/>
      <c r="Z123" s="1207"/>
      <c r="AA123" s="1210"/>
      <c r="AB123" s="1207"/>
      <c r="AC123" s="1207"/>
      <c r="AD123" s="1207"/>
    </row>
    <row customHeight="1" ht="9">
      <c r="A124" s="1206"/>
      <c r="B124" s="1206"/>
      <c r="C124" s="1204"/>
      <c r="D124" s="1204"/>
      <c r="E124" s="1204"/>
      <c r="F124" s="1204"/>
      <c r="G124" s="1204"/>
      <c r="H124" s="1252"/>
      <c r="I124" s="1252"/>
      <c r="J124" s="1252"/>
      <c r="K124" s="1252"/>
      <c r="L124" s="1252"/>
      <c r="M124" s="1204"/>
      <c r="N124" s="1251"/>
      <c r="O124" s="1319"/>
      <c r="P124" s="1319"/>
      <c r="Q124" s="1319"/>
      <c r="R124" s="1319"/>
      <c r="S124" s="1204"/>
      <c r="T124" s="1204"/>
      <c r="U124" s="1204"/>
      <c r="V124" s="1204"/>
      <c r="W124" s="1204"/>
      <c r="X124" s="1204"/>
      <c r="Y124" s="1362"/>
      <c r="Z124" s="1207"/>
      <c r="AA124" s="1210"/>
      <c r="AB124" s="1207"/>
      <c r="AC124" s="1207"/>
      <c r="AD124" s="1207"/>
    </row>
    <row customHeight="1" ht="9">
      <c r="A125" s="1206"/>
      <c r="B125" s="1206"/>
      <c r="C125" s="1204"/>
      <c r="D125" s="1204"/>
      <c r="E125" s="1204"/>
      <c r="F125" s="1204"/>
      <c r="G125" s="1204"/>
      <c r="H125" s="1252"/>
      <c r="I125" s="1252"/>
      <c r="J125" s="1252"/>
      <c r="K125" s="1252"/>
      <c r="L125" s="1252"/>
      <c r="M125" s="1204"/>
      <c r="N125" s="1251"/>
      <c r="O125" s="1319"/>
      <c r="P125" s="1319"/>
      <c r="Q125" s="1319"/>
      <c r="R125" s="1319"/>
      <c r="S125" s="1204"/>
      <c r="T125" s="1204"/>
      <c r="U125" s="1204"/>
      <c r="V125" s="1204"/>
      <c r="W125" s="1204"/>
      <c r="X125" s="1204"/>
      <c r="Y125" s="1362"/>
      <c r="Z125" s="1207"/>
      <c r="AA125" s="1210"/>
      <c r="AB125" s="1207"/>
      <c r="AC125" s="1207"/>
      <c r="AD125" s="1207"/>
    </row>
    <row customHeight="1" ht="9">
      <c r="A126" s="1206"/>
      <c r="B126" s="1206"/>
      <c r="C126" s="1204"/>
      <c r="D126" s="1204"/>
      <c r="E126" s="1204"/>
      <c r="F126" s="1204"/>
      <c r="G126" s="1204"/>
      <c r="H126" s="1252"/>
      <c r="I126" s="1252"/>
      <c r="J126" s="1252"/>
      <c r="K126" s="1252"/>
      <c r="L126" s="1252"/>
      <c r="M126" s="1204"/>
      <c r="N126" s="1251"/>
      <c r="O126" s="1319"/>
      <c r="P126" s="1319"/>
      <c r="Q126" s="1319"/>
      <c r="R126" s="1319"/>
      <c r="S126" s="1204"/>
      <c r="T126" s="1204"/>
      <c r="U126" s="1204"/>
      <c r="V126" s="1204"/>
      <c r="W126" s="1204"/>
      <c r="X126" s="1204"/>
      <c r="Y126" s="1362"/>
      <c r="Z126" s="1207"/>
      <c r="AA126" s="1210"/>
      <c r="AB126" s="1207"/>
      <c r="AC126" s="1207"/>
      <c r="AD126" s="1207"/>
    </row>
    <row customHeight="1" ht="9">
      <c r="A127" s="1206"/>
      <c r="B127" s="1206"/>
      <c r="C127" s="1204"/>
      <c r="D127" s="1204"/>
      <c r="E127" s="1204"/>
      <c r="F127" s="1204"/>
      <c r="G127" s="1204"/>
      <c r="H127" s="1252"/>
      <c r="I127" s="1252"/>
      <c r="J127" s="1252"/>
      <c r="K127" s="1252"/>
      <c r="L127" s="1252"/>
      <c r="M127" s="1204"/>
      <c r="N127" s="1251"/>
      <c r="O127" s="1319"/>
      <c r="P127" s="1319"/>
      <c r="Q127" s="1319"/>
      <c r="R127" s="1319"/>
      <c r="S127" s="1204"/>
      <c r="T127" s="1204"/>
      <c r="U127" s="1204"/>
      <c r="V127" s="1204"/>
      <c r="W127" s="1204"/>
      <c r="X127" s="1204"/>
      <c r="Y127" s="1362"/>
      <c r="Z127" s="1207"/>
      <c r="AA127" s="1210"/>
      <c r="AB127" s="1207"/>
      <c r="AC127" s="1207"/>
      <c r="AD127" s="1207"/>
    </row>
    <row customHeight="1" ht="9">
      <c r="A128" s="1206"/>
      <c r="B128" s="1206"/>
      <c r="C128" s="1204"/>
      <c r="D128" s="1204"/>
      <c r="E128" s="1204"/>
      <c r="F128" s="1204"/>
      <c r="G128" s="1204"/>
      <c r="H128" s="1252"/>
      <c r="I128" s="1252"/>
      <c r="J128" s="1252"/>
      <c r="K128" s="1252"/>
      <c r="L128" s="1252"/>
      <c r="M128" s="1204"/>
      <c r="N128" s="1251"/>
      <c r="O128" s="1319"/>
      <c r="P128" s="1319"/>
      <c r="Q128" s="1319"/>
      <c r="R128" s="1319"/>
      <c r="S128" s="1204"/>
      <c r="T128" s="1204"/>
      <c r="U128" s="1204"/>
      <c r="V128" s="1204"/>
      <c r="W128" s="1204"/>
      <c r="X128" s="1204"/>
      <c r="Y128" s="1362"/>
      <c r="Z128" s="1207"/>
      <c r="AA128" s="1210"/>
      <c r="AB128" s="1207"/>
      <c r="AC128" s="1207"/>
      <c r="AD128" s="1207"/>
    </row>
    <row customHeight="1" ht="9">
      <c r="A129" s="1206"/>
      <c r="B129" s="1206"/>
      <c r="C129" s="1204"/>
      <c r="D129" s="1204"/>
      <c r="E129" s="1204"/>
      <c r="F129" s="1204"/>
      <c r="G129" s="1204"/>
      <c r="H129" s="1252"/>
      <c r="I129" s="1252"/>
      <c r="J129" s="1252"/>
      <c r="K129" s="1252"/>
      <c r="L129" s="1252"/>
      <c r="M129" s="1204"/>
      <c r="N129" s="1251"/>
      <c r="O129" s="1319"/>
      <c r="P129" s="1319"/>
      <c r="Q129" s="1319"/>
      <c r="R129" s="1319"/>
      <c r="S129" s="1204"/>
      <c r="T129" s="1204"/>
      <c r="U129" s="1204"/>
      <c r="V129" s="1204"/>
      <c r="W129" s="1204"/>
      <c r="X129" s="1204"/>
      <c r="Y129" s="1362"/>
      <c r="Z129" s="1207"/>
      <c r="AA129" s="1210"/>
      <c r="AB129" s="1207"/>
      <c r="AC129" s="1207"/>
      <c r="AD129" s="1207"/>
    </row>
    <row customHeight="1" ht="9">
      <c r="A130" s="1206"/>
      <c r="B130" s="1206"/>
      <c r="C130" s="1204"/>
      <c r="D130" s="1204"/>
      <c r="E130" s="1204"/>
      <c r="F130" s="1204"/>
      <c r="G130" s="1204"/>
      <c r="H130" s="1252"/>
      <c r="I130" s="1252"/>
      <c r="J130" s="1252"/>
      <c r="K130" s="1252"/>
      <c r="L130" s="1252"/>
      <c r="M130" s="1204"/>
      <c r="N130" s="1251"/>
      <c r="O130" s="1321"/>
      <c r="P130" s="1321"/>
      <c r="Q130" s="1321"/>
      <c r="R130" s="1321"/>
      <c r="S130" s="1204"/>
      <c r="T130" s="1204"/>
      <c r="U130" s="1204"/>
      <c r="V130" s="1204"/>
      <c r="W130" s="1204"/>
      <c r="X130" s="1204"/>
      <c r="Y130" s="1362"/>
      <c r="Z130" s="1207"/>
      <c r="AA130" s="1210"/>
      <c r="AB130" s="1207"/>
      <c r="AC130" s="1207"/>
      <c r="AD130" s="1207"/>
    </row>
    <row customHeight="1" ht="9">
      <c r="A131" s="1206"/>
      <c r="B131" s="1206"/>
      <c r="C131" s="1204"/>
      <c r="D131" s="1204"/>
      <c r="E131" s="1204"/>
      <c r="F131" s="1204"/>
      <c r="G131" s="1204"/>
      <c r="H131" s="1252"/>
      <c r="I131" s="1252"/>
      <c r="J131" s="1252"/>
      <c r="K131" s="1252"/>
      <c r="L131" s="1252"/>
      <c r="M131" s="1204"/>
      <c r="N131" s="1251"/>
      <c r="O131" s="1322"/>
      <c r="P131" s="1322"/>
      <c r="Q131" s="1322"/>
      <c r="R131" s="1322"/>
      <c r="S131" s="1204"/>
      <c r="T131" s="1204"/>
      <c r="U131" s="1204"/>
      <c r="V131" s="1204"/>
      <c r="W131" s="1204"/>
      <c r="X131" s="1204"/>
      <c r="Y131" s="1362"/>
      <c r="Z131" s="1207"/>
      <c r="AA131" s="1210"/>
      <c r="AB131" s="1207"/>
      <c r="AC131" s="1207"/>
      <c r="AD131" s="1207"/>
    </row>
    <row customHeight="1" ht="9">
      <c r="A132" s="1206"/>
      <c r="B132" s="1206"/>
      <c r="C132" s="1204"/>
      <c r="D132" s="1204"/>
      <c r="E132" s="1204"/>
      <c r="F132" s="1204"/>
      <c r="G132" s="1204"/>
      <c r="H132" s="1252"/>
      <c r="I132" s="1252"/>
      <c r="J132" s="1252"/>
      <c r="K132" s="1252"/>
      <c r="L132" s="1252"/>
      <c r="M132" s="1204"/>
      <c r="N132" s="1251"/>
      <c r="O132" s="1321"/>
      <c r="P132" s="1321"/>
      <c r="Q132" s="1321"/>
      <c r="R132" s="1321"/>
      <c r="S132" s="1204"/>
      <c r="T132" s="1204"/>
      <c r="U132" s="1204"/>
      <c r="V132" s="1204"/>
      <c r="W132" s="1204"/>
      <c r="X132" s="1204"/>
      <c r="Y132" s="1362"/>
      <c r="Z132" s="1207"/>
      <c r="AA132" s="1210"/>
      <c r="AB132" s="1207"/>
      <c r="AC132" s="1207"/>
      <c r="AD132" s="1207"/>
    </row>
    <row customHeight="1" ht="9">
      <c r="A133" s="1206"/>
      <c r="B133" s="1206"/>
      <c r="C133" s="1204"/>
      <c r="D133" s="1204"/>
      <c r="E133" s="1204"/>
      <c r="F133" s="1204"/>
      <c r="G133" s="1204"/>
      <c r="H133" s="1252"/>
      <c r="I133" s="1252"/>
      <c r="J133" s="1252"/>
      <c r="K133" s="1252"/>
      <c r="L133" s="1252"/>
      <c r="M133" s="1204"/>
      <c r="N133" s="1251"/>
      <c r="O133" s="1322"/>
      <c r="P133" s="1322"/>
      <c r="Q133" s="1322"/>
      <c r="R133" s="1322"/>
      <c r="S133" s="1204"/>
      <c r="T133" s="1204"/>
      <c r="U133" s="1204"/>
      <c r="V133" s="1204"/>
      <c r="W133" s="1204"/>
      <c r="X133" s="1204"/>
      <c r="Y133" s="1362"/>
      <c r="Z133" s="1207"/>
      <c r="AA133" s="1210"/>
      <c r="AB133" s="1207"/>
      <c r="AC133" s="1207"/>
      <c r="AD133" s="1207"/>
    </row>
    <row customHeight="1" ht="9">
      <c r="A134" s="1206"/>
      <c r="B134" s="1206"/>
      <c r="C134" s="1204"/>
      <c r="D134" s="1204"/>
      <c r="E134" s="1204"/>
      <c r="F134" s="1204"/>
      <c r="G134" s="1204"/>
      <c r="H134" s="1252"/>
      <c r="I134" s="1252"/>
      <c r="J134" s="1252"/>
      <c r="K134" s="1252"/>
      <c r="L134" s="1252"/>
      <c r="M134" s="1204"/>
      <c r="N134" s="1251"/>
      <c r="O134" s="1319"/>
      <c r="P134" s="1319"/>
      <c r="Q134" s="1319"/>
      <c r="R134" s="1319"/>
      <c r="S134" s="1204"/>
      <c r="T134" s="1204"/>
      <c r="U134" s="1204"/>
      <c r="V134" s="1204"/>
      <c r="W134" s="1204"/>
      <c r="X134" s="1204"/>
      <c r="Y134" s="1362"/>
      <c r="Z134" s="1207"/>
      <c r="AA134" s="1210"/>
      <c r="AB134" s="1207"/>
      <c r="AC134" s="1207"/>
      <c r="AD134" s="1207"/>
    </row>
    <row customHeight="1" ht="9">
      <c r="A135" s="1206"/>
      <c r="B135" s="1206"/>
      <c r="C135" s="1204"/>
      <c r="D135" s="1204"/>
      <c r="E135" s="1204"/>
      <c r="F135" s="1204"/>
      <c r="G135" s="1204"/>
      <c r="H135" s="1252"/>
      <c r="I135" s="1252"/>
      <c r="J135" s="1252"/>
      <c r="K135" s="1252"/>
      <c r="L135" s="1252"/>
      <c r="M135" s="1204"/>
      <c r="N135" s="1251"/>
      <c r="O135" s="1319"/>
      <c r="P135" s="1319"/>
      <c r="Q135" s="1319"/>
      <c r="R135" s="1319"/>
      <c r="S135" s="1204"/>
      <c r="T135" s="1204"/>
      <c r="U135" s="1204"/>
      <c r="V135" s="1204"/>
      <c r="W135" s="1204"/>
      <c r="X135" s="1204"/>
      <c r="Y135" s="1362"/>
      <c r="Z135" s="1207"/>
      <c r="AA135" s="1210"/>
      <c r="AB135" s="1207"/>
      <c r="AC135" s="1207"/>
      <c r="AD135" s="1207"/>
    </row>
    <row customHeight="1" ht="9">
      <c r="A136" s="1206"/>
      <c r="B136" s="1206"/>
      <c r="C136" s="1204"/>
      <c r="D136" s="1204"/>
      <c r="E136" s="1204"/>
      <c r="F136" s="1204"/>
      <c r="G136" s="1204"/>
      <c r="H136" s="1252"/>
      <c r="I136" s="1252"/>
      <c r="J136" s="1252"/>
      <c r="K136" s="1252"/>
      <c r="L136" s="1252"/>
      <c r="M136" s="1204"/>
      <c r="N136" s="1251"/>
      <c r="O136" s="1319"/>
      <c r="P136" s="1319"/>
      <c r="Q136" s="1319"/>
      <c r="R136" s="1319"/>
      <c r="S136" s="1204"/>
      <c r="T136" s="1204"/>
      <c r="U136" s="1204"/>
      <c r="V136" s="1204"/>
      <c r="W136" s="1204"/>
      <c r="X136" s="1204"/>
      <c r="Y136" s="1362"/>
      <c r="Z136" s="1207"/>
      <c r="AA136" s="1210"/>
      <c r="AB136" s="1207"/>
      <c r="AC136" s="1207"/>
      <c r="AD136" s="1207"/>
    </row>
    <row customHeight="1" ht="9">
      <c r="A137" s="1206"/>
      <c r="B137" s="1206"/>
      <c r="C137" s="1204"/>
      <c r="D137" s="1204"/>
      <c r="E137" s="1204"/>
      <c r="F137" s="1204"/>
      <c r="G137" s="1204"/>
      <c r="H137" s="1252"/>
      <c r="I137" s="1252"/>
      <c r="J137" s="1252"/>
      <c r="K137" s="1252"/>
      <c r="L137" s="1252"/>
      <c r="M137" s="1204"/>
      <c r="N137" s="1251"/>
      <c r="O137" s="1323"/>
      <c r="P137" s="1323"/>
      <c r="Q137" s="1323"/>
      <c r="R137" s="1323"/>
      <c r="S137" s="1204"/>
      <c r="T137" s="1204"/>
      <c r="U137" s="1204"/>
      <c r="V137" s="1204"/>
      <c r="W137" s="1204"/>
      <c r="X137" s="1204"/>
      <c r="Y137" s="1362"/>
      <c r="Z137" s="1207"/>
      <c r="AA137" s="1210"/>
      <c r="AB137" s="1207"/>
      <c r="AC137" s="1207"/>
      <c r="AD137" s="1207"/>
    </row>
    <row customHeight="1" ht="9">
      <c r="A138" s="1206"/>
      <c r="B138" s="1206"/>
      <c r="C138" s="1204"/>
      <c r="D138" s="1204"/>
      <c r="E138" s="1204"/>
      <c r="F138" s="1204"/>
      <c r="G138" s="1204"/>
      <c r="H138" s="1252"/>
      <c r="I138" s="1252"/>
      <c r="J138" s="1252"/>
      <c r="K138" s="1252"/>
      <c r="L138" s="1252"/>
      <c r="M138" s="1204"/>
      <c r="N138" s="1251"/>
      <c r="O138" s="1320"/>
      <c r="P138" s="1320"/>
      <c r="Q138" s="1320"/>
      <c r="R138" s="1320"/>
      <c r="S138" s="1204"/>
      <c r="T138" s="1204"/>
      <c r="U138" s="1204"/>
      <c r="V138" s="1204"/>
      <c r="W138" s="1204"/>
      <c r="X138" s="1204"/>
      <c r="Y138" s="1362"/>
      <c r="Z138" s="1207"/>
      <c r="AA138" s="1210"/>
      <c r="AB138" s="1207"/>
      <c r="AC138" s="1207"/>
      <c r="AD138" s="1207"/>
    </row>
    <row customHeight="1" ht="9">
      <c r="A139" s="1206"/>
      <c r="B139" s="1206"/>
      <c r="C139" s="1204"/>
      <c r="D139" s="1204"/>
      <c r="E139" s="1204"/>
      <c r="F139" s="1204"/>
      <c r="G139" s="1204"/>
      <c r="H139" s="1252"/>
      <c r="I139" s="1252"/>
      <c r="J139" s="1252"/>
      <c r="K139" s="1252"/>
      <c r="L139" s="1252"/>
      <c r="M139" s="1204"/>
      <c r="N139" s="1251"/>
      <c r="O139" s="1204"/>
      <c r="P139" s="1204"/>
      <c r="Q139" s="1204"/>
      <c r="R139" s="1204"/>
      <c r="S139" s="1204"/>
      <c r="T139" s="1204"/>
      <c r="U139" s="1204"/>
      <c r="V139" s="1204"/>
      <c r="W139" s="1204"/>
      <c r="X139" s="1204"/>
      <c r="Y139" s="1362"/>
      <c r="Z139" s="1207"/>
      <c r="AA139" s="1210"/>
      <c r="AB139" s="1207"/>
      <c r="AC139" s="1207"/>
      <c r="AD139" s="1207"/>
    </row>
    <row customHeight="1" ht="9">
      <c r="A140" s="1206"/>
      <c r="B140" s="1206"/>
      <c r="C140" s="1204"/>
      <c r="D140" s="1204"/>
      <c r="E140" s="1204"/>
      <c r="F140" s="1204"/>
      <c r="G140" s="1204"/>
      <c r="H140" s="1252"/>
      <c r="I140" s="1252"/>
      <c r="J140" s="1252"/>
      <c r="K140" s="1252"/>
      <c r="L140" s="1252"/>
      <c r="M140" s="1204"/>
      <c r="N140" s="1251"/>
      <c r="O140" s="1204"/>
      <c r="P140" s="1204"/>
      <c r="Q140" s="1204"/>
      <c r="R140" s="1204"/>
      <c r="S140" s="1204"/>
      <c r="T140" s="1204"/>
      <c r="U140" s="1204"/>
      <c r="V140" s="1204"/>
      <c r="W140" s="1204"/>
      <c r="X140" s="1204"/>
      <c r="Y140" s="1362"/>
      <c r="Z140" s="1207"/>
      <c r="AA140" s="1210"/>
      <c r="AB140" s="1207"/>
      <c r="AC140" s="1207"/>
      <c r="AD140" s="1207"/>
    </row>
    <row customHeight="1" ht="9">
      <c r="A141" s="1206"/>
      <c r="B141" s="1206"/>
      <c r="C141" s="1204"/>
      <c r="D141" s="1204"/>
      <c r="E141" s="1204"/>
      <c r="F141" s="1204"/>
      <c r="G141" s="1204"/>
      <c r="H141" s="1252"/>
      <c r="I141" s="1252"/>
      <c r="J141" s="1252"/>
      <c r="K141" s="1252"/>
      <c r="L141" s="1252"/>
      <c r="M141" s="1204"/>
      <c r="N141" s="1251"/>
      <c r="O141" s="1204"/>
      <c r="P141" s="1204"/>
      <c r="Q141" s="1204"/>
      <c r="R141" s="1204"/>
      <c r="S141" s="1204"/>
      <c r="T141" s="1204"/>
      <c r="U141" s="1204"/>
      <c r="V141" s="1204"/>
      <c r="W141" s="1204"/>
      <c r="X141" s="1204"/>
      <c r="Y141" s="1362"/>
      <c r="Z141" s="1207"/>
      <c r="AA141" s="1210"/>
      <c r="AB141" s="1207"/>
      <c r="AC141" s="1207"/>
      <c r="AD141" s="1207"/>
    </row>
    <row customHeight="1" ht="9">
      <c r="A142" s="1206"/>
      <c r="B142" s="1206"/>
      <c r="C142" s="1204"/>
      <c r="D142" s="1204"/>
      <c r="E142" s="1204"/>
      <c r="F142" s="1204"/>
      <c r="G142" s="1204"/>
      <c r="H142" s="1252"/>
      <c r="I142" s="1252"/>
      <c r="J142" s="1252"/>
      <c r="K142" s="1252"/>
      <c r="L142" s="1252"/>
      <c r="M142" s="1204"/>
      <c r="N142" s="1251"/>
      <c r="O142" s="1204"/>
      <c r="P142" s="1204"/>
      <c r="Q142" s="1204"/>
      <c r="R142" s="1204"/>
      <c r="S142" s="1204"/>
      <c r="T142" s="1204"/>
      <c r="U142" s="1204"/>
      <c r="V142" s="1204"/>
      <c r="W142" s="1204"/>
      <c r="X142" s="1204"/>
      <c r="Y142" s="1362"/>
      <c r="Z142" s="1207"/>
      <c r="AA142" s="1210"/>
      <c r="AB142" s="1207"/>
      <c r="AC142" s="1207"/>
      <c r="AD142" s="1207"/>
    </row>
    <row customHeight="1" ht="9">
      <c r="A143" s="1206"/>
      <c r="B143" s="1206"/>
      <c r="C143" s="1204"/>
      <c r="D143" s="1204"/>
      <c r="E143" s="1204"/>
      <c r="F143" s="1204"/>
      <c r="G143" s="1204"/>
      <c r="H143" s="1252"/>
      <c r="I143" s="1252"/>
      <c r="J143" s="1252"/>
      <c r="K143" s="1252"/>
      <c r="L143" s="1252"/>
      <c r="M143" s="1204"/>
      <c r="N143" s="1251"/>
      <c r="O143" s="1204"/>
      <c r="P143" s="1204"/>
      <c r="Q143" s="1204"/>
      <c r="R143" s="1204"/>
      <c r="S143" s="1204"/>
      <c r="T143" s="1204"/>
      <c r="U143" s="1204"/>
      <c r="V143" s="1204"/>
      <c r="W143" s="1204"/>
      <c r="X143" s="1204"/>
      <c r="Y143" s="1362"/>
      <c r="Z143" s="1207"/>
      <c r="AA143" s="1210"/>
      <c r="AB143" s="1207"/>
      <c r="AC143" s="1207"/>
      <c r="AD143" s="1207"/>
    </row>
    <row customHeight="1" ht="9">
      <c r="A144" s="1206"/>
      <c r="B144" s="1206"/>
      <c r="C144" s="1204"/>
      <c r="D144" s="1204"/>
      <c r="E144" s="1204"/>
      <c r="F144" s="1204"/>
      <c r="G144" s="1204"/>
      <c r="H144" s="1252"/>
      <c r="I144" s="1252"/>
      <c r="J144" s="1252"/>
      <c r="K144" s="1252"/>
      <c r="L144" s="1252"/>
      <c r="M144" s="1204"/>
      <c r="N144" s="1251"/>
      <c r="O144" s="1204"/>
      <c r="P144" s="1204"/>
      <c r="Q144" s="1204"/>
      <c r="R144" s="1204"/>
      <c r="S144" s="1204"/>
      <c r="T144" s="1204"/>
      <c r="U144" s="1204"/>
      <c r="V144" s="1204"/>
      <c r="W144" s="1204"/>
      <c r="X144" s="1204"/>
      <c r="Y144" s="1362"/>
      <c r="Z144" s="1207"/>
      <c r="AA144" s="1210"/>
      <c r="AB144" s="1207"/>
      <c r="AC144" s="1207"/>
      <c r="AD144" s="1207"/>
    </row>
    <row customHeight="1" ht="9">
      <c r="A145" s="1206"/>
      <c r="B145" s="1206"/>
      <c r="C145" s="1204"/>
      <c r="D145" s="1204"/>
      <c r="E145" s="1204"/>
      <c r="F145" s="1204"/>
      <c r="G145" s="1204"/>
      <c r="H145" s="1252"/>
      <c r="I145" s="1252"/>
      <c r="J145" s="1252"/>
      <c r="K145" s="1252"/>
      <c r="L145" s="1252"/>
      <c r="M145" s="1204"/>
      <c r="N145" s="1251"/>
      <c r="O145" s="1204"/>
      <c r="P145" s="1204"/>
      <c r="Q145" s="1204"/>
      <c r="R145" s="1204"/>
      <c r="S145" s="1204"/>
      <c r="T145" s="1204"/>
      <c r="U145" s="1204"/>
      <c r="V145" s="1204"/>
      <c r="W145" s="1204"/>
      <c r="X145" s="1204"/>
      <c r="Y145" s="1362"/>
      <c r="Z145" s="1207"/>
      <c r="AA145" s="1210"/>
      <c r="AB145" s="1207"/>
      <c r="AC145" s="1207"/>
      <c r="AD145" s="1207"/>
    </row>
    <row customHeight="1" ht="9">
      <c r="A146" s="1206"/>
      <c r="B146" s="1206"/>
      <c r="C146" s="1204"/>
      <c r="D146" s="1204"/>
      <c r="E146" s="1204"/>
      <c r="F146" s="1204"/>
      <c r="G146" s="1204"/>
      <c r="H146" s="1252"/>
      <c r="I146" s="1252"/>
      <c r="J146" s="1252"/>
      <c r="K146" s="1252"/>
      <c r="L146" s="1252"/>
      <c r="M146" s="1204"/>
      <c r="N146" s="1251"/>
      <c r="O146" s="1204"/>
      <c r="P146" s="1204"/>
      <c r="Q146" s="1204"/>
      <c r="R146" s="1204"/>
      <c r="S146" s="1204"/>
      <c r="T146" s="1204"/>
      <c r="U146" s="1204"/>
      <c r="V146" s="1204"/>
      <c r="W146" s="1204"/>
      <c r="X146" s="1204"/>
      <c r="Y146" s="1362"/>
      <c r="Z146" s="1207"/>
      <c r="AA146" s="1210"/>
      <c r="AB146" s="1207"/>
      <c r="AC146" s="1207"/>
      <c r="AD146" s="1207"/>
    </row>
    <row customHeight="1" ht="9">
      <c r="A147" s="1206"/>
      <c r="B147" s="1206"/>
      <c r="C147" s="1206"/>
      <c r="D147" s="1206"/>
      <c r="E147" s="1206"/>
      <c r="F147" s="1206"/>
      <c r="G147" s="1206"/>
      <c r="H147" s="1206"/>
      <c r="I147" s="1206"/>
      <c r="J147" s="1206"/>
      <c r="K147" s="1206"/>
      <c r="L147" s="1206"/>
      <c r="M147" s="1206"/>
      <c r="N147" s="1206"/>
      <c r="O147" s="1206"/>
      <c r="P147" s="1206"/>
      <c r="Q147" s="1206"/>
      <c r="R147" s="1206"/>
      <c r="S147" s="1206"/>
      <c r="T147" s="1206"/>
      <c r="U147" s="1206"/>
      <c r="V147" s="1206"/>
      <c r="W147" s="1206"/>
      <c r="X147" s="1206"/>
      <c r="Y147" s="1206"/>
      <c r="Z147" s="1206"/>
      <c r="AA147" s="1206"/>
      <c r="AB147" s="1206"/>
      <c r="AC147" s="1206"/>
      <c r="AD147" s="1206"/>
    </row>
    <row customHeight="1" ht="90">
      <c r="A148" s="1206" t="s">
        <v>1587</v>
      </c>
      <c r="B148" s="1206"/>
      <c r="C148" s="1204" t="s">
        <v>2158</v>
      </c>
      <c r="D148" s="1204" t="s">
        <v>1489</v>
      </c>
      <c r="E148" s="1204" t="s">
        <v>1589</v>
      </c>
      <c r="F148" s="1204" t="s">
        <v>2159</v>
      </c>
      <c r="G148" s="1204"/>
      <c r="H148" s="1204"/>
      <c r="I148" s="1325"/>
      <c r="J148" s="1325"/>
      <c r="K148" s="1325"/>
      <c r="L148" s="1325"/>
      <c r="M148" s="125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1209"/>
      <c r="O148" s="1204"/>
      <c r="P148" s="1205"/>
      <c r="Q148" s="1205"/>
      <c r="R148" s="1205"/>
      <c r="S148" s="1204"/>
      <c r="T148" s="1204" t="s">
        <v>2160</v>
      </c>
      <c r="U148" s="120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1205"/>
      <c r="W148" s="1205"/>
      <c r="X148" s="1204" t="s">
        <v>2161</v>
      </c>
      <c r="Y148" s="1362"/>
      <c r="Z148" s="1207"/>
      <c r="AA148" s="1210"/>
      <c r="AB148" s="1207"/>
      <c r="AC148" s="1207"/>
      <c r="AD148" s="1207"/>
    </row>
    <row customHeight="1" ht="9">
      <c r="A149" s="1206"/>
      <c r="B149" s="1206"/>
      <c r="C149" s="1206"/>
      <c r="D149" s="1206"/>
      <c r="E149" s="1206"/>
      <c r="F149" s="1206"/>
      <c r="G149" s="1206"/>
      <c r="H149" s="1206"/>
      <c r="I149" s="1206"/>
      <c r="J149" s="1206"/>
      <c r="K149" s="1206"/>
      <c r="L149" s="1206"/>
      <c r="M149" s="1206"/>
      <c r="N149" s="1206"/>
      <c r="O149" s="1206"/>
      <c r="P149" s="1206"/>
      <c r="Q149" s="1206"/>
      <c r="R149" s="1206"/>
      <c r="S149" s="1206"/>
      <c r="T149" s="1206"/>
      <c r="U149" s="1206"/>
      <c r="V149" s="1206"/>
      <c r="W149" s="1206"/>
      <c r="X149" s="1206"/>
      <c r="Y149" s="1206"/>
      <c r="Z149" s="1206"/>
      <c r="AA149" s="1206"/>
      <c r="AB149" s="1206"/>
      <c r="AC149" s="1206"/>
      <c r="AD149" s="1206"/>
    </row>
    <row customHeight="1" ht="9">
      <c r="A150" s="1206" t="s">
        <v>1591</v>
      </c>
      <c r="B150" s="1206"/>
      <c r="C150" s="1204"/>
      <c r="D150" s="1204"/>
      <c r="E150" s="1204"/>
      <c r="F150" s="1204"/>
      <c r="G150" s="1204"/>
      <c r="H150" s="1204"/>
      <c r="I150" s="1204"/>
      <c r="J150" s="1204"/>
      <c r="K150" s="1204"/>
      <c r="L150" s="1204"/>
      <c r="M150" s="1204"/>
      <c r="N150" s="1204"/>
      <c r="O150" s="1204"/>
      <c r="P150" s="1204"/>
      <c r="Q150" s="1204"/>
      <c r="R150" s="1204"/>
      <c r="S150" s="1204"/>
      <c r="T150" s="1204"/>
      <c r="U150" s="1204"/>
      <c r="V150" s="1204"/>
      <c r="W150" s="1204"/>
      <c r="X150" s="1204"/>
      <c r="Y150" s="1362"/>
      <c r="Z150" s="1207"/>
      <c r="AA150" s="1210"/>
      <c r="AB150" s="1207"/>
      <c r="AC150" s="1207"/>
      <c r="AD150" s="1207"/>
    </row>
    <row customHeight="1" ht="9">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row>
    <row customHeight="1" ht="9">
      <c r="A152" s="1206" t="s">
        <v>1594</v>
      </c>
      <c r="B152" s="1206"/>
      <c r="C152" s="1204"/>
      <c r="D152" s="1204"/>
      <c r="E152" s="1204"/>
      <c r="F152" s="1204"/>
      <c r="G152" s="1204"/>
      <c r="H152" s="1204"/>
      <c r="I152" s="1204"/>
      <c r="J152" s="1204"/>
      <c r="K152" s="1204"/>
      <c r="L152" s="1204"/>
      <c r="M152" s="1204"/>
      <c r="N152" s="1204"/>
      <c r="O152" s="1204"/>
      <c r="P152" s="1204"/>
      <c r="Q152" s="1204"/>
      <c r="R152" s="1204"/>
      <c r="S152" s="1204"/>
      <c r="T152" s="1204"/>
      <c r="U152" s="1204"/>
      <c r="V152" s="1204"/>
      <c r="W152" s="1204"/>
      <c r="X152" s="1204"/>
      <c r="Y152" s="1362"/>
      <c r="Z152" s="1207"/>
      <c r="AA152" s="1210"/>
      <c r="AB152" s="1207"/>
      <c r="AC152" s="1207"/>
      <c r="AD152" s="1207"/>
    </row>
    <row customHeight="1" ht="9">
      <c r="A153" s="1206"/>
      <c r="B153" s="1206"/>
      <c r="C153" s="1206"/>
      <c r="D153" s="1206"/>
      <c r="E153" s="1206"/>
      <c r="F153" s="1206"/>
      <c r="G153" s="1206"/>
      <c r="H153" s="1206"/>
      <c r="I153" s="1206"/>
      <c r="J153" s="1206"/>
      <c r="K153" s="1206"/>
      <c r="L153" s="1206"/>
      <c r="M153" s="1206"/>
      <c r="N153" s="1206"/>
      <c r="O153" s="1206"/>
      <c r="P153" s="1206"/>
      <c r="Q153" s="1206"/>
      <c r="R153" s="1206"/>
      <c r="S153" s="1206"/>
      <c r="T153" s="1206"/>
      <c r="U153" s="1206"/>
      <c r="V153" s="1206"/>
      <c r="W153" s="1206"/>
      <c r="X153" s="1206"/>
      <c r="Y153" s="1206"/>
      <c r="Z153" s="1206"/>
      <c r="AA153" s="1206"/>
      <c r="AB153" s="1206"/>
      <c r="AC153" s="1206"/>
      <c r="AD153" s="1206"/>
    </row>
    <row customHeight="1" ht="9">
      <c r="A154" s="1206" t="s">
        <v>1599</v>
      </c>
      <c r="B154" s="1206"/>
      <c r="C154" s="1204"/>
      <c r="D154" s="1204"/>
      <c r="E154" s="1204"/>
      <c r="F154" s="1204"/>
      <c r="G154" s="1204"/>
      <c r="H154" s="1204"/>
      <c r="I154" s="1204"/>
      <c r="J154" s="1204"/>
      <c r="K154" s="1204"/>
      <c r="L154" s="1204"/>
      <c r="M154" s="1204"/>
      <c r="N154" s="1204"/>
      <c r="O154" s="1204"/>
      <c r="P154" s="1204"/>
      <c r="Q154" s="1204"/>
      <c r="R154" s="1204"/>
      <c r="S154" s="1204"/>
      <c r="T154" s="1204"/>
      <c r="U154" s="1204"/>
      <c r="V154" s="1204"/>
      <c r="W154" s="1204"/>
      <c r="X154" s="1204"/>
      <c r="Y154" s="1362"/>
      <c r="Z154" s="1207"/>
      <c r="AA154" s="1210"/>
      <c r="AB154" s="1207"/>
      <c r="AC154" s="1207"/>
      <c r="AD154" s="120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F6E632-09AC-007E-563E-6547767BCEAD}"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19146" width="10.57421875" hidden="1"/>
    <col min="2" max="2" style="19146" width="11.00390625" hidden="1" customWidth="1"/>
    <col min="3" max="3" style="19146" width="10.57421875" hidden="1"/>
    <col min="4" max="4" style="19146" width="11.8515625" hidden="1" customWidth="1"/>
    <col min="5" max="5" style="19146" width="12.28125" hidden="1" customWidth="1"/>
    <col min="6" max="8" style="19228" width="12.28125" hidden="1" customWidth="1"/>
    <col min="9" max="9" style="20997" width="3.7109375" customWidth="1"/>
    <col min="10" max="11" style="19230" width="3.7109375" customWidth="1"/>
    <col min="12" max="12" style="19231" width="12.7109375" customWidth="1"/>
    <col min="13" max="13" style="19232" width="32.00390625" customWidth="1"/>
    <col min="14" max="14" style="19232" width="1.7109375" customWidth="1"/>
    <col min="15" max="18" style="19232" width="24.7109375" customWidth="1"/>
    <col min="19" max="19" style="19232" width="11.7109375" customWidth="1"/>
    <col min="20" max="20" style="19232" width="3.7109375" customWidth="1"/>
    <col min="21" max="21" style="19232" width="11.7109375" customWidth="1"/>
    <col min="22" max="22" style="19232" width="8.57421875" customWidth="1"/>
    <col min="23" max="23" style="19232" width="4.7109375" customWidth="1"/>
    <col min="24" max="24" style="19232" width="115.7109375" customWidth="1"/>
    <col min="25" max="26" style="19219" width="10.57421875"/>
    <col min="27" max="27" style="19219" width="11.140625" customWidth="1"/>
    <col min="28" max="29" style="19219" width="10.57421875"/>
  </cols>
  <sheetData>
    <row customHeight="1" ht="14.25" hidden="1">
      <c r="R1" s="688"/>
      <c r="S1" s="688"/>
    </row>
    <row customHeight="1" ht="14.25" hidden="1">
      <c r="V2" s="688"/>
    </row>
    <row customHeight="1" ht="14.25" hidden="1"/>
    <row customHeight="1" ht="14.25">
      <c r="J4" s="737"/>
      <c r="K4" s="737"/>
      <c r="L4" s="1641"/>
      <c r="M4" s="724"/>
      <c r="N4" s="724"/>
      <c r="O4" s="870"/>
      <c r="P4" s="870"/>
      <c r="Q4" s="870"/>
      <c r="R4" s="870"/>
      <c r="S4" s="870"/>
      <c r="T4" s="870"/>
      <c r="U4" s="870"/>
      <c r="V4" s="870"/>
    </row>
    <row customHeight="1" ht="64.5">
      <c r="J5" s="737"/>
      <c r="K5" s="737"/>
      <c r="L5" s="2865" t="s">
        <v>2162</v>
      </c>
      <c r="M5" s="2865"/>
      <c r="N5" s="2865"/>
      <c r="O5" s="2865"/>
      <c r="P5" s="2865"/>
      <c r="Q5" s="2865"/>
      <c r="R5" s="2865"/>
      <c r="S5" s="2865"/>
      <c r="T5" s="2865"/>
      <c r="U5" s="2865"/>
      <c r="V5" s="1608"/>
    </row>
    <row customHeight="1" ht="14.25">
      <c r="J6" s="737"/>
      <c r="K6" s="737"/>
      <c r="L6" s="2866" t="str">
        <f>IF(org=0,"Не определено",org)</f>
        <v>Филиал "Шатурская ГРЭС" ПАО "Юнипро"</v>
      </c>
      <c r="M6" s="2866"/>
      <c r="N6" s="2866"/>
      <c r="O6" s="2866"/>
      <c r="P6" s="2866"/>
      <c r="Q6" s="2866"/>
      <c r="R6" s="2866"/>
      <c r="S6" s="2866"/>
      <c r="T6" s="2866"/>
      <c r="U6" s="2866"/>
      <c r="V6" s="1608"/>
    </row>
    <row customHeight="1" ht="14.25">
      <c r="J7" s="737"/>
      <c r="K7" s="737"/>
      <c r="L7" s="1641"/>
      <c r="M7" s="724"/>
      <c r="N7" s="724"/>
      <c r="O7" s="683"/>
      <c r="P7" s="683"/>
      <c r="Q7" s="683"/>
      <c r="R7" s="683"/>
      <c r="S7" s="683"/>
      <c r="T7" s="683"/>
      <c r="U7" s="683"/>
      <c r="V7" s="683"/>
      <c r="W7" s="870"/>
    </row>
    <row s="19160" customFormat="1" customHeight="1" ht="45">
      <c r="A8" s="1734"/>
      <c r="B8" s="1734"/>
      <c r="C8" s="1734"/>
      <c r="D8" s="1734"/>
      <c r="E8" s="1734"/>
      <c r="F8" s="1734"/>
      <c r="G8" s="1734"/>
      <c r="H8" s="1734"/>
      <c r="L8" s="1642"/>
      <c r="M8" s="656" t="s">
        <v>38</v>
      </c>
      <c r="N8" s="665"/>
      <c r="O8" s="2520" t="str">
        <f>IF(TITLE_NAME_OR_PR_CHANGE="",IF(TITLE_NAME_OR_PR="","",TITLE_NAME_OR_PR),TITLE_NAME_OR_PR_CHANGE)</f>
        <v>Комитет по ценам и тарифам по Московской области</v>
      </c>
      <c r="P8" s="2520"/>
      <c r="Q8" s="2520"/>
      <c r="R8" s="2520"/>
      <c r="S8" s="2520"/>
      <c r="T8" s="2520"/>
      <c r="U8" s="2520"/>
      <c r="V8" s="687"/>
      <c r="W8" s="687"/>
      <c r="X8" s="641"/>
      <c r="Y8" s="729"/>
      <c r="Z8" s="729"/>
      <c r="AA8" s="729"/>
      <c r="AB8" s="729"/>
      <c r="AC8" s="729"/>
    </row>
    <row s="19160" customFormat="1" customHeight="1" ht="22.5">
      <c r="A9" s="1734"/>
      <c r="B9" s="1734"/>
      <c r="C9" s="1734"/>
      <c r="D9" s="1734"/>
      <c r="E9" s="1734"/>
      <c r="F9" s="1734"/>
      <c r="G9" s="1734"/>
      <c r="H9" s="1734"/>
      <c r="L9" s="1642"/>
      <c r="M9" s="656" t="s">
        <v>421</v>
      </c>
      <c r="N9" s="665"/>
      <c r="O9" s="2520" t="str">
        <f>IF(TITLE_DATE_CHANGE_PERIOD="",IF(TITLE_DATE_PR="","",TITLE_DATE_PR),TITLE_DATE_CHANGE_PERIOD)</f>
        <v>45280.70914351852</v>
      </c>
      <c r="P9" s="2520"/>
      <c r="Q9" s="2520"/>
      <c r="R9" s="2520"/>
      <c r="S9" s="2520"/>
      <c r="T9" s="2520"/>
      <c r="U9" s="2520"/>
      <c r="V9" s="687"/>
      <c r="W9" s="687"/>
      <c r="X9" s="641"/>
      <c r="Y9" s="729"/>
      <c r="Z9" s="729"/>
      <c r="AA9" s="729"/>
      <c r="AB9" s="729"/>
      <c r="AC9" s="729"/>
    </row>
    <row s="19160" customFormat="1" customHeight="1" ht="22.5">
      <c r="A10" s="1734"/>
      <c r="B10" s="1734"/>
      <c r="C10" s="1734"/>
      <c r="D10" s="1734"/>
      <c r="E10" s="1734"/>
      <c r="F10" s="1734"/>
      <c r="G10" s="1734"/>
      <c r="H10" s="1734"/>
      <c r="L10" s="1615"/>
      <c r="M10" s="656" t="s">
        <v>422</v>
      </c>
      <c r="N10" s="665"/>
      <c r="O10" s="2520" t="str">
        <f>IF(TITLE_NUMBER_PR_CHANGE="",IF(TITLE_NUMBER_PR="","",TITLE_NUMBER_PR),TITLE_NUMBER_PR_CHANGE)</f>
        <v>317-Р</v>
      </c>
      <c r="P10" s="2520"/>
      <c r="Q10" s="2520"/>
      <c r="R10" s="2520"/>
      <c r="S10" s="2520"/>
      <c r="T10" s="2520"/>
      <c r="U10" s="2520"/>
      <c r="V10" s="687"/>
      <c r="W10" s="687"/>
      <c r="X10" s="641"/>
      <c r="Y10" s="729"/>
      <c r="Z10" s="729"/>
      <c r="AA10" s="729"/>
      <c r="AB10" s="729"/>
      <c r="AC10" s="729"/>
    </row>
    <row s="19160" customFormat="1" customHeight="1" ht="22.5">
      <c r="A11" s="1734"/>
      <c r="B11" s="1734"/>
      <c r="C11" s="1734"/>
      <c r="D11" s="1734"/>
      <c r="E11" s="1734"/>
      <c r="F11" s="1734"/>
      <c r="G11" s="1734"/>
      <c r="H11" s="1734"/>
      <c r="L11" s="1615"/>
      <c r="M11" s="656" t="s">
        <v>40</v>
      </c>
      <c r="N11" s="665"/>
      <c r="O11" s="2520"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P11" s="2520"/>
      <c r="Q11" s="2520"/>
      <c r="R11" s="2520"/>
      <c r="S11" s="2520"/>
      <c r="T11" s="2520"/>
      <c r="U11" s="2520"/>
      <c r="V11" s="687"/>
      <c r="W11" s="687"/>
      <c r="X11" s="641"/>
      <c r="Y11" s="729"/>
      <c r="Z11" s="729"/>
      <c r="AA11" s="729"/>
      <c r="AB11" s="729"/>
      <c r="AC11" s="729"/>
    </row>
    <row s="19160" customFormat="1" customHeight="1" ht="11.25" hidden="1">
      <c r="A12" s="1734"/>
      <c r="B12" s="1734"/>
      <c r="C12" s="1734"/>
      <c r="D12" s="1734"/>
      <c r="E12" s="1734"/>
      <c r="F12" s="1734"/>
      <c r="G12" s="1734"/>
      <c r="H12" s="1734"/>
      <c r="L12" s="2864"/>
      <c r="M12" s="2864"/>
      <c r="N12" s="1653"/>
      <c r="O12" s="687"/>
      <c r="P12" s="687"/>
      <c r="Q12" s="687"/>
      <c r="R12" s="687"/>
      <c r="S12" s="687"/>
      <c r="T12" s="687"/>
      <c r="U12" s="687"/>
      <c r="V12" s="639" t="s">
        <v>425</v>
      </c>
      <c r="Y12" s="729"/>
      <c r="Z12" s="729"/>
      <c r="AA12" s="729"/>
      <c r="AB12" s="729"/>
      <c r="AC12" s="729"/>
    </row>
    <row customHeight="1" ht="14.25">
      <c r="J13" s="737"/>
      <c r="K13" s="737"/>
      <c r="L13" s="1641"/>
      <c r="M13" s="724"/>
      <c r="N13" s="1609"/>
      <c r="O13" s="2544"/>
      <c r="P13" s="2544"/>
      <c r="Q13" s="2544"/>
      <c r="R13" s="2544"/>
      <c r="S13" s="2544"/>
      <c r="T13" s="2544"/>
      <c r="U13" s="2544"/>
      <c r="V13" s="2544"/>
    </row>
    <row customHeight="1" ht="14.25">
      <c r="J14" s="737"/>
      <c r="K14" s="737"/>
      <c r="L14" s="2392" t="s">
        <v>300</v>
      </c>
      <c r="M14" s="2392"/>
      <c r="N14" s="2392"/>
      <c r="O14" s="2392"/>
      <c r="P14" s="2392"/>
      <c r="Q14" s="2392"/>
      <c r="R14" s="2392"/>
      <c r="S14" s="2392"/>
      <c r="T14" s="2392"/>
      <c r="U14" s="2392"/>
      <c r="V14" s="2392"/>
      <c r="W14" s="2392"/>
      <c r="X14" s="2392" t="s">
        <v>301</v>
      </c>
    </row>
    <row customHeight="1" ht="14.25">
      <c r="J15" s="737"/>
      <c r="K15" s="737"/>
      <c r="L15" s="2545" t="s">
        <v>85</v>
      </c>
      <c r="M15" s="2482" t="s">
        <v>426</v>
      </c>
      <c r="N15" s="662"/>
      <c r="O15" s="2546" t="s">
        <v>2163</v>
      </c>
      <c r="P15" s="2547"/>
      <c r="Q15" s="2547"/>
      <c r="R15" s="2547"/>
      <c r="S15" s="2547"/>
      <c r="T15" s="2547"/>
      <c r="U15" s="2548"/>
      <c r="V15" s="2549" t="s">
        <v>428</v>
      </c>
      <c r="W15" s="2552" t="s">
        <v>1073</v>
      </c>
      <c r="X15" s="2392"/>
    </row>
    <row customHeight="1" ht="33.75">
      <c r="J16" s="737"/>
      <c r="K16" s="737"/>
      <c r="L16" s="2545"/>
      <c r="M16" s="2482"/>
      <c r="N16" s="1393"/>
      <c r="O16" s="2555" t="s">
        <v>431</v>
      </c>
      <c r="P16" s="2555" t="s">
        <v>432</v>
      </c>
      <c r="Q16" s="2538" t="s">
        <v>433</v>
      </c>
      <c r="R16" s="2540"/>
      <c r="S16" s="2538" t="s">
        <v>446</v>
      </c>
      <c r="T16" s="2539"/>
      <c r="U16" s="2540"/>
      <c r="V16" s="2550"/>
      <c r="W16" s="2553"/>
      <c r="X16" s="2392"/>
    </row>
    <row customHeight="1" ht="33.75">
      <c r="A17" s="1736" t="s">
        <v>131</v>
      </c>
      <c r="B17" s="1736" t="s">
        <v>132</v>
      </c>
      <c r="C17" s="1736" t="s">
        <v>133</v>
      </c>
      <c r="D17" s="1736" t="s">
        <v>134</v>
      </c>
      <c r="E17" s="1736"/>
      <c r="J17" s="737"/>
      <c r="K17" s="737"/>
      <c r="L17" s="2545"/>
      <c r="M17" s="2482"/>
      <c r="N17" s="663"/>
      <c r="O17" s="2556"/>
      <c r="P17" s="2556"/>
      <c r="Q17" s="1587" t="s">
        <v>442</v>
      </c>
      <c r="R17" s="1587" t="s">
        <v>443</v>
      </c>
      <c r="S17" s="1658" t="s">
        <v>444</v>
      </c>
      <c r="T17" s="2541" t="s">
        <v>445</v>
      </c>
      <c r="U17" s="2542"/>
      <c r="V17" s="2551"/>
      <c r="W17" s="2554"/>
      <c r="X17" s="2392"/>
    </row>
    <row s="18977" customFormat="1" customHeight="1" ht="11.25">
      <c r="A18" s="1736"/>
      <c r="B18" s="1736"/>
      <c r="C18" s="1736"/>
      <c r="D18" s="1736"/>
      <c r="E18" s="1736"/>
      <c r="F18" s="1728"/>
      <c r="G18" s="1728"/>
      <c r="H18" s="1728"/>
      <c r="I18" s="1611"/>
      <c r="J18" s="1612"/>
      <c r="K18" s="1619">
        <v>1</v>
      </c>
      <c r="L18" s="1643" t="s">
        <v>106</v>
      </c>
      <c r="M18" s="1620" t="s">
        <v>107</v>
      </c>
      <c r="N18" s="1610" t="str">
        <f>OFFSET(N18,0,-1)</f>
        <v>2</v>
      </c>
      <c r="O18" s="1655">
        <f>OFFSET(O18,0,-1)+1</f>
        <v>3</v>
      </c>
      <c r="P18" s="1655"/>
      <c r="Q18" s="1655">
        <f>OFFSET(Q18,0,-1)+1</f>
        <v>1</v>
      </c>
      <c r="R18" s="1655">
        <f>OFFSET(R18,0,-1)+1</f>
        <v>2</v>
      </c>
      <c r="S18" s="1655">
        <f>OFFSET(S18,0,-1)+1</f>
        <v>3</v>
      </c>
      <c r="T18" s="2543">
        <f>OFFSET(T18,0,-1)+1</f>
        <v>4</v>
      </c>
      <c r="U18" s="2543"/>
      <c r="V18" s="1655">
        <f>OFFSET(V18,0,-2)+1</f>
        <v>5</v>
      </c>
      <c r="W18" s="1610">
        <f>OFFSET(W18,0,-1)</f>
        <v>5</v>
      </c>
      <c r="X18" s="1655">
        <f>OFFSET(X18,0,-1)+1</f>
        <v>6</v>
      </c>
      <c r="Y18" s="872"/>
      <c r="Z18" s="872"/>
      <c r="AA18" s="872"/>
      <c r="AB18" s="872"/>
      <c r="AC18" s="872"/>
    </row>
    <row customHeight="1" ht="21">
      <c r="A19" s="1729" t="s">
        <v>165</v>
      </c>
      <c r="B19" s="1729" t="s">
        <v>166</v>
      </c>
      <c r="C19" s="1729" t="s">
        <v>167</v>
      </c>
      <c r="D19" s="1729" t="s">
        <v>168</v>
      </c>
      <c r="E19" s="1729"/>
      <c r="F19" s="1731"/>
      <c r="G19" s="1731"/>
      <c r="H19" s="1731"/>
      <c r="I19" s="722"/>
      <c r="J19" s="721"/>
      <c r="K19" s="716"/>
      <c r="L19" s="1659">
        <f>INDEX(PT_DIFFERENTIATION_NUM_NTAR,MATCH(A19,PT_DIFFERENTIATION_NTAR_ID,0))</f>
        <v>0</v>
      </c>
      <c r="M19" s="659" t="s">
        <v>120</v>
      </c>
      <c r="N19" s="661"/>
      <c r="O19" s="2858" t="str">
        <f>INDEX(PT_DIFFERENTIATION_NTAR,MATCH(A19,PT_DIFFERENTIATION_NTAR_ID,0))</f>
        <v/>
      </c>
      <c r="P19" s="2858"/>
      <c r="Q19" s="2858"/>
      <c r="R19" s="2858"/>
      <c r="S19" s="2858"/>
      <c r="T19" s="2858"/>
      <c r="U19" s="2858"/>
      <c r="V19" s="2858"/>
      <c r="W19" s="2858"/>
      <c r="X19" s="1623" t="s">
        <v>396</v>
      </c>
      <c r="Z19" s="861"/>
      <c r="AA19" s="861" t="str">
        <f>IF(M19="","",M19)</f>
        <v>Наименование тарифа</v>
      </c>
      <c r="AB19" s="861"/>
      <c r="AC19" s="861"/>
    </row>
    <row customHeight="1" ht="21">
      <c r="A20" s="1729" t="s">
        <v>165</v>
      </c>
      <c r="B20" s="1729" t="s">
        <v>166</v>
      </c>
      <c r="C20" s="1729" t="s">
        <v>167</v>
      </c>
      <c r="D20" s="1729" t="s">
        <v>168</v>
      </c>
      <c r="E20" s="1729"/>
      <c r="F20" s="1731"/>
      <c r="G20" s="1731"/>
      <c r="H20" s="1731"/>
      <c r="I20" s="1656"/>
      <c r="J20" s="713"/>
      <c r="K20" s="714"/>
      <c r="L20" s="1659" t="str">
        <f>INDEX(PT_DIFFERENTIATION_NUM_TER,MATCH(B19,PT_DIFFERENTIATION_TER_ID,0))</f>
        <v>.</v>
      </c>
      <c r="M20" s="669" t="s">
        <v>397</v>
      </c>
      <c r="N20" s="661"/>
      <c r="O20" s="2858" t="str">
        <f>INDEX(PT_DIFFERENTIATION_TER,MATCH(B19,PT_DIFFERENTIATION_TER_ID,0))</f>
        <v/>
      </c>
      <c r="P20" s="2858"/>
      <c r="Q20" s="2858"/>
      <c r="R20" s="2858"/>
      <c r="S20" s="2858"/>
      <c r="T20" s="2858"/>
      <c r="U20" s="2858"/>
      <c r="V20" s="2858"/>
      <c r="W20" s="2858"/>
      <c r="X20" s="1623" t="s">
        <v>398</v>
      </c>
      <c r="Z20" s="861"/>
      <c r="AA20" s="861" t="str">
        <f>IF(M20="","",M20)</f>
        <v>Территория действия тарифа</v>
      </c>
      <c r="AB20" s="861"/>
      <c r="AC20" s="861"/>
    </row>
    <row customHeight="1" ht="22.5">
      <c r="A21" s="1729" t="s">
        <v>165</v>
      </c>
      <c r="B21" s="1729" t="s">
        <v>166</v>
      </c>
      <c r="C21" s="1729" t="s">
        <v>167</v>
      </c>
      <c r="D21" s="1729" t="s">
        <v>168</v>
      </c>
      <c r="E21" s="1729"/>
      <c r="F21" s="1731"/>
      <c r="G21" s="1731"/>
      <c r="H21" s="1731"/>
      <c r="I21" s="715"/>
      <c r="J21" s="713"/>
      <c r="K21" s="714"/>
      <c r="L21" s="1659" t="str">
        <f>INDEX(PT_DIFFERENTIATION_NUM_CS,MATCH(C19,PT_DIFFERENTIATION_CS_ID,0))</f>
        <v>..</v>
      </c>
      <c r="M21" s="670" t="s">
        <v>399</v>
      </c>
      <c r="N21" s="661"/>
      <c r="O21" s="2858" t="str">
        <f>INDEX(PT_DIFFERENTIATION_CS,MATCH(C19,PT_DIFFERENTIATION_CS_ID,0))</f>
        <v/>
      </c>
      <c r="P21" s="2858"/>
      <c r="Q21" s="2858"/>
      <c r="R21" s="2858"/>
      <c r="S21" s="2858"/>
      <c r="T21" s="2858"/>
      <c r="U21" s="2858"/>
      <c r="V21" s="2858"/>
      <c r="W21" s="2858"/>
      <c r="X21" s="1623" t="s">
        <v>400</v>
      </c>
      <c r="Z21" s="861"/>
      <c r="AA21" s="861" t="str">
        <f>IF(M21="","",M21)</f>
        <v>Наименование системы теплоснабжения </v>
      </c>
      <c r="AB21" s="861"/>
      <c r="AC21" s="861"/>
    </row>
    <row customHeight="1" ht="21">
      <c r="A22" s="1729" t="s">
        <v>165</v>
      </c>
      <c r="B22" s="1729" t="s">
        <v>166</v>
      </c>
      <c r="C22" s="1729" t="s">
        <v>167</v>
      </c>
      <c r="D22" s="1729" t="s">
        <v>168</v>
      </c>
      <c r="E22" s="1729"/>
      <c r="F22" s="1731"/>
      <c r="G22" s="1731"/>
      <c r="H22" s="1731"/>
      <c r="I22" s="715"/>
      <c r="J22" s="713"/>
      <c r="K22" s="714"/>
      <c r="L22" s="1659" t="str">
        <f>INDEX(PT_DIFFERENTIATION_NUM_IST_TE,MATCH(D19,PT_DIFFERENTIATION_IST_TE_ID,0))</f>
        <v>...</v>
      </c>
      <c r="M22" s="671" t="s">
        <v>401</v>
      </c>
      <c r="N22" s="661"/>
      <c r="O22" s="2858" t="str">
        <f>INDEX(PT_DIFFERENTIATION_IST_TE,MATCH(D19,PT_DIFFERENTIATION_IST_TE_ID,0))</f>
        <v/>
      </c>
      <c r="P22" s="2858"/>
      <c r="Q22" s="2858"/>
      <c r="R22" s="2858"/>
      <c r="S22" s="2858"/>
      <c r="T22" s="2858"/>
      <c r="U22" s="2858"/>
      <c r="V22" s="2858"/>
      <c r="W22" s="2858"/>
      <c r="X22" s="1623" t="s">
        <v>402</v>
      </c>
      <c r="Z22" s="861"/>
      <c r="AA22" s="861" t="str">
        <f>IF(M22="","",M22)</f>
        <v>Источник тепловой энергии  </v>
      </c>
      <c r="AB22" s="861"/>
      <c r="AC22" s="861"/>
    </row>
    <row customHeight="1" ht="94.5">
      <c r="A23" s="1729" t="s">
        <v>165</v>
      </c>
      <c r="B23" s="1729" t="s">
        <v>166</v>
      </c>
      <c r="C23" s="1729" t="s">
        <v>167</v>
      </c>
      <c r="D23" s="1729" t="s">
        <v>168</v>
      </c>
      <c r="E23" s="1729"/>
      <c r="F23" s="2859" t="str">
        <f>L22&amp;".1"</f>
        <v>....1</v>
      </c>
      <c r="I23" s="2531">
        <v>1</v>
      </c>
      <c r="J23" s="1657"/>
      <c r="K23" s="717"/>
      <c r="L23" s="1659" t="str">
        <f>$F$23</f>
        <v>....1</v>
      </c>
      <c r="M23" s="646" t="s">
        <v>404</v>
      </c>
      <c r="N23" s="661"/>
      <c r="O23" s="2860"/>
      <c r="P23" s="2860"/>
      <c r="Q23" s="2860"/>
      <c r="R23" s="2860"/>
      <c r="S23" s="2860"/>
      <c r="T23" s="2860"/>
      <c r="U23" s="2860"/>
      <c r="V23" s="2860"/>
      <c r="W23" s="2860"/>
      <c r="X23" s="1623" t="s">
        <v>405</v>
      </c>
      <c r="Z23" s="861"/>
      <c r="AA23" s="861" t="str">
        <f>IF(M23="","",M23)</f>
        <v>Схема подключения теплопотребляющей установки к коллектору источника тепловой энергии</v>
      </c>
      <c r="AB23" s="861"/>
      <c r="AC23" s="861"/>
    </row>
    <row customHeight="1" ht="84">
      <c r="A24" s="1729" t="s">
        <v>165</v>
      </c>
      <c r="B24" s="1729" t="s">
        <v>166</v>
      </c>
      <c r="C24" s="1729" t="s">
        <v>167</v>
      </c>
      <c r="D24" s="1729" t="s">
        <v>168</v>
      </c>
      <c r="E24" s="1729"/>
      <c r="F24" s="2859"/>
      <c r="G24" s="2502" t="str">
        <f>F23&amp;".1"</f>
        <v>....1.1</v>
      </c>
      <c r="I24" s="2531"/>
      <c r="J24" s="2531">
        <v>1</v>
      </c>
      <c r="K24" s="718"/>
      <c r="L24" s="1659" t="str">
        <f>$G$24</f>
        <v>....1.1</v>
      </c>
      <c r="M24" s="647" t="s">
        <v>407</v>
      </c>
      <c r="N24" s="661"/>
      <c r="O24" s="2861"/>
      <c r="P24" s="2862"/>
      <c r="Q24" s="2862"/>
      <c r="R24" s="2862"/>
      <c r="S24" s="2862"/>
      <c r="T24" s="2862"/>
      <c r="U24" s="2862"/>
      <c r="V24" s="2862"/>
      <c r="W24" s="2863"/>
      <c r="X24" s="1623" t="s">
        <v>408</v>
      </c>
      <c r="Z24" s="861"/>
      <c r="AA24" s="861" t="str">
        <f>IF(M24="","",M24)</f>
        <v>Группа потребителей</v>
      </c>
      <c r="AB24" s="861"/>
      <c r="AC24" s="861"/>
    </row>
    <row customHeight="1" ht="11.25">
      <c r="A25" s="1729" t="s">
        <v>165</v>
      </c>
      <c r="B25" s="1729" t="s">
        <v>166</v>
      </c>
      <c r="C25" s="1729" t="s">
        <v>167</v>
      </c>
      <c r="D25" s="1729" t="s">
        <v>168</v>
      </c>
      <c r="E25" s="1729"/>
      <c r="F25" s="2859"/>
      <c r="G25" s="2502"/>
      <c r="H25" s="2502" t="str">
        <f>G24&amp;".1"</f>
        <v>....1.1.1</v>
      </c>
      <c r="I25" s="2531"/>
      <c r="J25" s="2531"/>
      <c r="K25" s="718">
        <v>1</v>
      </c>
      <c r="L25" s="1659" t="str">
        <f>$H$25</f>
        <v>....1.1.1</v>
      </c>
      <c r="M25" s="1624"/>
      <c r="N25" s="661"/>
      <c r="O25" s="1112"/>
      <c r="P25" s="686"/>
      <c r="Q25" s="1112"/>
      <c r="R25" s="1622"/>
      <c r="S25" s="2867"/>
      <c r="T25" s="2402" t="s">
        <v>59</v>
      </c>
      <c r="U25" s="2867"/>
      <c r="V25" s="2402" t="s">
        <v>54</v>
      </c>
      <c r="W25" s="686"/>
      <c r="X25" s="2557" t="s">
        <v>410</v>
      </c>
      <c r="Y25" s="872">
        <f>STRCHECKDATE(O26:W26)</f>
      </c>
      <c r="Z25" s="861"/>
      <c r="AA25" s="861" t="str">
        <f>IF(M25="","",M25)</f>
        <v/>
      </c>
      <c r="AB25" s="861"/>
      <c r="AC25" s="861"/>
    </row>
    <row customHeight="1" ht="11.25">
      <c r="A26" s="1729" t="s">
        <v>165</v>
      </c>
      <c r="B26" s="1729" t="s">
        <v>166</v>
      </c>
      <c r="C26" s="1729" t="s">
        <v>167</v>
      </c>
      <c r="D26" s="1729" t="s">
        <v>168</v>
      </c>
      <c r="E26" s="1729"/>
      <c r="F26" s="2859"/>
      <c r="G26" s="2502"/>
      <c r="H26" s="2502"/>
      <c r="I26" s="2531"/>
      <c r="J26" s="2531"/>
      <c r="K26" s="718"/>
      <c r="L26" s="1660"/>
      <c r="M26" s="661"/>
      <c r="N26" s="661"/>
      <c r="O26" s="686"/>
      <c r="P26" s="686"/>
      <c r="Q26" s="686"/>
      <c r="R26" s="689" t="str">
        <f>S25&amp;"-"&amp;U25</f>
        <v>-</v>
      </c>
      <c r="S26" s="2533"/>
      <c r="T26" s="2402"/>
      <c r="U26" s="2533"/>
      <c r="V26" s="2402"/>
      <c r="W26" s="686"/>
      <c r="X26" s="2558"/>
      <c r="Z26" s="861"/>
      <c r="AA26" s="861" t="str">
        <f>IF(M26="","",M26)</f>
        <v/>
      </c>
      <c r="AB26" s="861"/>
      <c r="AC26" s="861"/>
    </row>
    <row customHeight="1" ht="15">
      <c r="A27" s="1729" t="s">
        <v>165</v>
      </c>
      <c r="B27" s="1729" t="s">
        <v>166</v>
      </c>
      <c r="C27" s="1729" t="s">
        <v>167</v>
      </c>
      <c r="D27" s="1729" t="s">
        <v>168</v>
      </c>
      <c r="E27" s="1729"/>
      <c r="F27" s="2859"/>
      <c r="G27" s="2502"/>
      <c r="I27" s="2531"/>
      <c r="J27" s="2531"/>
      <c r="K27" s="717"/>
      <c r="L27" s="1644"/>
      <c r="M27" s="649" t="s">
        <v>411</v>
      </c>
      <c r="N27" s="728"/>
      <c r="O27" s="728"/>
      <c r="P27" s="728"/>
      <c r="Q27" s="728"/>
      <c r="R27" s="728"/>
      <c r="S27" s="728"/>
      <c r="T27" s="728"/>
      <c r="U27" s="728"/>
      <c r="V27" s="728"/>
      <c r="W27" s="685"/>
      <c r="X27" s="2559"/>
      <c r="Z27" s="861"/>
      <c r="AA27" s="861" t="str">
        <f>IF(M27="","",M27)</f>
        <v>Добавить вид теплоносителя (параметры теплоносителя)</v>
      </c>
      <c r="AB27" s="861"/>
      <c r="AC27" s="861"/>
    </row>
    <row customHeight="1" ht="15">
      <c r="A28" s="1729" t="s">
        <v>165</v>
      </c>
      <c r="B28" s="1729" t="s">
        <v>166</v>
      </c>
      <c r="C28" s="1729" t="s">
        <v>167</v>
      </c>
      <c r="D28" s="1729" t="s">
        <v>168</v>
      </c>
      <c r="E28" s="1729"/>
      <c r="F28" s="2859"/>
      <c r="I28" s="2531"/>
      <c r="J28" s="1657"/>
      <c r="K28" s="717"/>
      <c r="L28" s="1644"/>
      <c r="M28" s="648" t="s">
        <v>412</v>
      </c>
      <c r="N28" s="728"/>
      <c r="O28" s="728"/>
      <c r="P28" s="728"/>
      <c r="Q28" s="728"/>
      <c r="R28" s="728"/>
      <c r="S28" s="728"/>
      <c r="T28" s="728"/>
      <c r="U28" s="728"/>
      <c r="V28" s="727"/>
      <c r="W28" s="728"/>
      <c r="X28" s="664"/>
      <c r="Z28" s="861"/>
      <c r="AA28" s="861" t="str">
        <f>IF(M28="","",M28)</f>
        <v>Добавить группу потребителей</v>
      </c>
      <c r="AB28" s="861"/>
      <c r="AC28" s="861"/>
    </row>
    <row customHeight="1" ht="14.25">
      <c r="A29" s="1729" t="s">
        <v>165</v>
      </c>
      <c r="B29" s="1729" t="s">
        <v>166</v>
      </c>
      <c r="C29" s="1729" t="s">
        <v>167</v>
      </c>
      <c r="D29" s="1729" t="s">
        <v>168</v>
      </c>
      <c r="E29" s="1729"/>
      <c r="F29" s="1731"/>
      <c r="G29" s="1731"/>
      <c r="H29" s="898"/>
      <c r="I29" s="721"/>
      <c r="J29" s="736"/>
      <c r="K29" s="716"/>
      <c r="L29" s="1644"/>
      <c r="M29" s="726" t="s">
        <v>413</v>
      </c>
      <c r="N29" s="728"/>
      <c r="O29" s="728"/>
      <c r="P29" s="728"/>
      <c r="Q29" s="728"/>
      <c r="R29" s="728"/>
      <c r="S29" s="728"/>
      <c r="T29" s="728"/>
      <c r="U29" s="728"/>
      <c r="V29" s="727"/>
      <c r="W29" s="728"/>
      <c r="X29" s="664"/>
      <c r="Z29" s="861"/>
      <c r="AA29" s="861" t="str">
        <f>IF(M29="","",M29)</f>
        <v>Добавить схему подключения</v>
      </c>
      <c r="AB29" s="861"/>
      <c r="AC29" s="861"/>
    </row>
    <row customHeight="1" ht="14.25">
      <c r="A30" s="1729" t="s">
        <v>165</v>
      </c>
      <c r="B30" s="1729" t="s">
        <v>166</v>
      </c>
      <c r="C30" s="1729" t="s">
        <v>167</v>
      </c>
      <c r="D30" s="1729"/>
      <c r="E30" s="1729" t="s">
        <v>586</v>
      </c>
      <c r="F30" s="1731"/>
      <c r="G30" s="1731"/>
      <c r="H30" s="898"/>
      <c r="I30" s="721"/>
      <c r="J30" s="736"/>
      <c r="K30" s="716"/>
      <c r="L30" s="1645"/>
      <c r="M30" s="1634"/>
      <c r="N30" s="1635"/>
      <c r="O30" s="1635"/>
      <c r="P30" s="1635"/>
      <c r="Q30" s="1635"/>
      <c r="R30" s="1635"/>
      <c r="S30" s="1635"/>
      <c r="T30" s="1635"/>
      <c r="U30" s="1635"/>
      <c r="V30" s="1636"/>
      <c r="W30" s="1635"/>
      <c r="X30" s="1637"/>
      <c r="Z30" s="861"/>
      <c r="AA30" s="861" t="str">
        <f>IF(M30="","",M30)</f>
        <v/>
      </c>
      <c r="AB30" s="861"/>
      <c r="AC30" s="861"/>
    </row>
    <row customHeight="1" ht="14.25">
      <c r="A31" s="1729" t="s">
        <v>165</v>
      </c>
      <c r="B31" s="1729" t="s">
        <v>166</v>
      </c>
      <c r="C31" s="1729"/>
      <c r="D31" s="1729"/>
      <c r="E31" s="1729" t="s">
        <v>2164</v>
      </c>
      <c r="F31" s="1883"/>
      <c r="G31" s="1883"/>
      <c r="H31" s="898"/>
      <c r="I31" s="719"/>
      <c r="J31" s="736"/>
      <c r="K31" s="720"/>
      <c r="L31" s="1645"/>
      <c r="M31" s="1638"/>
      <c r="N31" s="1635"/>
      <c r="O31" s="1635"/>
      <c r="P31" s="1635"/>
      <c r="Q31" s="1635"/>
      <c r="R31" s="1635"/>
      <c r="S31" s="1635"/>
      <c r="T31" s="1635"/>
      <c r="U31" s="1635"/>
      <c r="V31" s="1636"/>
      <c r="W31" s="1635"/>
      <c r="X31" s="1637"/>
      <c r="Z31" s="861"/>
      <c r="AA31" s="861" t="str">
        <f>IF(M31="","",M31)</f>
        <v/>
      </c>
      <c r="AB31" s="861"/>
      <c r="AC31" s="861"/>
    </row>
    <row customHeight="1" ht="14.25">
      <c r="A32" s="1729" t="s">
        <v>2165</v>
      </c>
      <c r="B32" s="1729"/>
      <c r="C32" s="1729"/>
      <c r="D32" s="1729"/>
      <c r="E32" s="1729" t="s">
        <v>101</v>
      </c>
      <c r="F32" s="1883"/>
      <c r="G32" s="1883"/>
      <c r="H32" s="898"/>
      <c r="I32" s="721"/>
      <c r="J32" s="736"/>
      <c r="K32" s="716"/>
      <c r="L32" s="1645"/>
      <c r="M32" s="1639"/>
      <c r="N32" s="1635"/>
      <c r="O32" s="1635"/>
      <c r="P32" s="1635"/>
      <c r="Q32" s="1635"/>
      <c r="R32" s="1635"/>
      <c r="S32" s="1635"/>
      <c r="T32" s="1635"/>
      <c r="U32" s="1635"/>
      <c r="V32" s="1636"/>
      <c r="W32" s="1635"/>
      <c r="X32" s="1637"/>
      <c r="Z32" s="861"/>
      <c r="AA32" s="861" t="str">
        <f>IF(M32="","",M32)</f>
        <v/>
      </c>
      <c r="AB32" s="861"/>
      <c r="AC32" s="861"/>
    </row>
    <row s="20990" customFormat="1" customHeight="1" ht="11.25">
      <c r="A33" s="1729"/>
      <c r="B33" s="1729"/>
      <c r="C33" s="1729"/>
      <c r="D33" s="1729"/>
      <c r="E33" s="1729" t="s">
        <v>253</v>
      </c>
      <c r="F33" s="1884"/>
      <c r="G33" s="1885"/>
      <c r="H33" s="898"/>
      <c r="L33" s="1646"/>
      <c r="M33" s="1640"/>
      <c r="N33" s="1635"/>
      <c r="O33" s="1635"/>
      <c r="P33" s="1635"/>
      <c r="Q33" s="1635"/>
      <c r="R33" s="1635"/>
      <c r="S33" s="1635"/>
      <c r="T33" s="1635"/>
      <c r="U33" s="1635"/>
      <c r="V33" s="1636"/>
      <c r="W33" s="1635"/>
      <c r="X33" s="1637"/>
      <c r="Y33" s="740"/>
      <c r="Z33" s="740"/>
      <c r="AA33" s="740"/>
      <c r="AB33" s="740"/>
      <c r="AC33" s="740"/>
    </row>
    <row customHeight="1" ht="11.25">
      <c r="F34" s="1523"/>
      <c r="G34" s="1523"/>
      <c r="H34" s="898"/>
      <c r="I34" s="1518"/>
      <c r="J34" s="1518"/>
      <c r="K34" s="1518"/>
      <c r="Y34" s="1518"/>
      <c r="Z34" s="1518"/>
      <c r="AA34" s="1518"/>
      <c r="AB34" s="1518"/>
      <c r="AC34" s="1518"/>
    </row>
    <row customHeight="1" ht="27">
      <c r="H35" s="898"/>
      <c r="L35" s="1654" t="s">
        <v>718</v>
      </c>
      <c r="M35" s="2526" t="s">
        <v>2166</v>
      </c>
      <c r="N35" s="2526"/>
      <c r="O35" s="2526"/>
      <c r="P35" s="2526"/>
      <c r="Q35" s="2526"/>
      <c r="R35" s="2526"/>
      <c r="S35" s="2526"/>
      <c r="T35" s="2526"/>
      <c r="U35" s="2526"/>
      <c r="V35" s="2526"/>
      <c r="W35" s="2526"/>
      <c r="X35" s="2526"/>
    </row>
    <row customHeight="1" ht="104.25">
      <c r="H36" s="898"/>
      <c r="I36" s="1669"/>
      <c r="M36" s="2526" t="s">
        <v>2167</v>
      </c>
      <c r="N36" s="2526"/>
      <c r="O36" s="2526"/>
      <c r="P36" s="2526"/>
      <c r="Q36" s="2526"/>
      <c r="R36" s="2526"/>
      <c r="S36" s="2526"/>
      <c r="T36" s="2526"/>
      <c r="U36" s="2526"/>
      <c r="V36" s="2526"/>
      <c r="W36" s="2526"/>
      <c r="X36" s="2526"/>
    </row>
    <row customHeight="1" ht="14.25">
      <c r="H37" s="898"/>
    </row>
    <row customHeight="1" ht="14.25">
      <c r="H38" s="898"/>
    </row>
    <row customHeight="1" ht="14.25">
      <c r="H39" s="898"/>
    </row>
    <row customHeight="1" ht="14.25">
      <c r="H40" s="898"/>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1B4A5A-3175-4381-4893-272F328DDDA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159377-9DC9-F119-A49E-A7AB3BA432B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4CE6D8-0778-F773-F67C-801B769940E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83C3C8-9421-3769-DBF9-8BDC5D89E18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59CE9B-DB64-F7BF-BA66-3C726619F22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8B72E5-024F-9CB4-B0D1-B26CE865C15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CC3E11-BCA9-FEBE-C669-AE71DC62D90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9451D9-3A26-D735-8038-1500F15F1ACA}" mc:Ignorable="x14ac xr xr2 xr3">
  <sheetPr>
    <tabColor theme="3" tint="0.6"/>
  </sheetPr>
  <dimension ref="A1:I59"/>
  <sheetViews>
    <sheetView topLeftCell="A1" showGridLines="0" zoomScale="90" workbookViewId="0">
      <selection activeCell="A1" sqref="A1"/>
    </sheetView>
  </sheetViews>
  <sheetFormatPr defaultColWidth="9.140625" customHeight="1" defaultRowHeight="11.25"/>
  <cols>
    <col min="1" max="1" style="18932" width="15.00390625" hidden="1" customWidth="1"/>
    <col min="2" max="2" style="18891" width="15.00390625" hidden="1" customWidth="1"/>
    <col min="3" max="3" style="18933" width="3.7109375" customWidth="1"/>
    <col min="4" max="4" style="18934" width="6.8515625" customWidth="1"/>
    <col min="5" max="5" style="18933" width="52.28125" customWidth="1"/>
    <col min="6" max="6" style="18933" width="48.8515625" customWidth="1"/>
    <col min="7" max="7" style="18933" width="121.7109375" customWidth="1"/>
    <col min="8" max="8" style="18933" width="9.140625"/>
    <col min="9" max="9" style="18933" width="65.00390625" customWidth="1"/>
  </cols>
  <sheetData>
    <row customHeight="1" ht="11.25" hidden="1">
      <c r="A1" s="2052" t="s">
        <v>299</v>
      </c>
    </row>
    <row customHeight="1" ht="11.25" hidden="1"/>
    <row s="18851" customFormat="1" customHeight="1" ht="11.25">
      <c r="A3" s="2052"/>
      <c r="B3" s="862"/>
      <c r="D3" s="839"/>
    </row>
    <row customHeight="1" ht="25.5">
      <c r="D4" s="2440" t="str">
        <f>ORG_INFO_NAME_FORM</f>
        <v>Форма 1. Информация об организации, осуществляющей горячее водоснабжение (общая информация)</v>
      </c>
      <c r="E4" s="2441"/>
      <c r="F4" s="2442"/>
      <c r="I4" s="1076"/>
    </row>
    <row customHeight="1" ht="17.25">
      <c r="D5" s="2474" t="str">
        <f>IF(org=0,"Не определено",org)</f>
        <v>Филиал "Шатурская ГРЭС" ПАО "Юнипро"</v>
      </c>
      <c r="E5" s="2474"/>
      <c r="F5" s="2474"/>
      <c r="I5" s="1076"/>
    </row>
    <row s="18851" customFormat="1" customHeight="1" ht="11.25">
      <c r="A6" s="2052"/>
      <c r="B6" s="862"/>
      <c r="D6" s="1075"/>
      <c r="E6" s="1075"/>
      <c r="F6" s="1113"/>
      <c r="G6" s="1075"/>
    </row>
    <row customHeight="1" ht="11.25" hidden="1">
      <c r="A7" s="818"/>
      <c r="B7" s="863"/>
      <c r="C7" s="818"/>
      <c r="D7" s="824"/>
      <c r="E7" s="2480"/>
      <c r="F7" s="2480"/>
    </row>
    <row customHeight="1" ht="11.25">
      <c r="A8" s="818"/>
      <c r="B8" s="863"/>
      <c r="C8" s="818"/>
      <c r="D8" s="2477" t="s">
        <v>300</v>
      </c>
      <c r="E8" s="2478"/>
      <c r="F8" s="2478"/>
      <c r="G8" s="2481" t="s">
        <v>301</v>
      </c>
    </row>
    <row customHeight="1" ht="11.25">
      <c r="A9" s="818"/>
      <c r="B9" s="863"/>
      <c r="C9" s="818"/>
      <c r="D9" s="833" t="s">
        <v>85</v>
      </c>
      <c r="E9" s="807" t="s">
        <v>302</v>
      </c>
      <c r="F9" s="807" t="s">
        <v>303</v>
      </c>
      <c r="G9" s="2482"/>
    </row>
    <row customHeight="1" ht="12" hidden="1">
      <c r="A10" s="818"/>
      <c r="B10" s="863"/>
      <c r="C10" s="818"/>
      <c r="D10" s="825"/>
      <c r="E10" s="825"/>
      <c r="F10" s="825"/>
      <c r="G10" s="825"/>
    </row>
    <row customHeight="1" ht="22.5" hidden="1">
      <c r="A11" s="818"/>
      <c r="B11" s="863"/>
      <c r="C11" s="818"/>
      <c r="D11" s="1371" t="s">
        <v>106</v>
      </c>
      <c r="E11" s="1374" t="s">
        <v>304</v>
      </c>
      <c r="F11" s="1373" t="str">
        <f>IF(region_name="","",region_name)</f>
        <v>Московская область</v>
      </c>
      <c r="G11" s="1374" t="s">
        <v>305</v>
      </c>
      <c r="H11" s="836"/>
    </row>
    <row customHeight="1" ht="22.5" hidden="1">
      <c r="A12" s="818"/>
      <c r="B12" s="863"/>
      <c r="C12" s="818"/>
      <c r="D12" s="806" t="s">
        <v>106</v>
      </c>
      <c r="E12" s="80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804" t="s">
        <v>306</v>
      </c>
      <c r="G12" s="835"/>
      <c r="H12" s="836"/>
    </row>
    <row customHeight="1" ht="22.5">
      <c r="A13" s="818"/>
      <c r="B13" s="863"/>
      <c r="C13" s="818"/>
      <c r="D13" s="806" t="s">
        <v>106</v>
      </c>
      <c r="E13" s="803" t="str">
        <f>"Наименование юридического лица"&amp;IF(TEMPLATE_SPHERE="TKO"," (индивидуального предпринимателя)","")</f>
        <v>Наименование юридического лица</v>
      </c>
      <c r="F13" s="802"/>
      <c r="G13" s="80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836"/>
    </row>
    <row customHeight="1" ht="22.5" hidden="1">
      <c r="A14" s="818"/>
      <c r="B14" s="863"/>
      <c r="C14" s="818"/>
      <c r="D14" s="1371" t="s">
        <v>307</v>
      </c>
      <c r="E14" s="1372" t="s">
        <v>308</v>
      </c>
      <c r="F14" s="1373" t="str">
        <f>IF(inn="","",inn)</f>
        <v>8602067092</v>
      </c>
      <c r="G14" s="1374" t="s">
        <v>309</v>
      </c>
      <c r="H14" s="836"/>
    </row>
    <row customHeight="1" ht="22.5" hidden="1">
      <c r="A15" s="818"/>
      <c r="B15" s="863"/>
      <c r="C15" s="818"/>
      <c r="D15" s="1371" t="s">
        <v>310</v>
      </c>
      <c r="E15" s="1372" t="s">
        <v>311</v>
      </c>
      <c r="F15" s="1373" t="str">
        <f>IF(kpp="","",kpp)</f>
        <v>504902001</v>
      </c>
      <c r="G15" s="1374" t="s">
        <v>312</v>
      </c>
      <c r="H15" s="836"/>
    </row>
    <row customHeight="1" ht="36.75">
      <c r="A16" s="818"/>
      <c r="B16" s="863"/>
      <c r="C16" s="818"/>
      <c r="D16" s="806" t="s">
        <v>107</v>
      </c>
      <c r="E16" s="80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802"/>
      <c r="G16" s="80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836"/>
    </row>
    <row customHeight="1" ht="22.5">
      <c r="A17" s="818"/>
      <c r="B17" s="863"/>
      <c r="C17" s="818"/>
      <c r="D17" s="806" t="s">
        <v>87</v>
      </c>
      <c r="E17" s="803" t="str">
        <f>"Дата присвоения ОГРН"&amp;IF(TEMPLATE_SPHERE="TKO",""," (ОГРНИП)")</f>
        <v>Дата присвоения ОГРН (ОГРНИП)</v>
      </c>
      <c r="F17" s="2098" t="s">
        <v>24</v>
      </c>
      <c r="G17" s="805" t="str">
        <f>"Дата присвоения ОГРН"&amp;IF(TEMPLATE_SPHERE="TKO",""," (ОГРНИП)")&amp;" указывается в виде «ДД.ММ.ГГГГ»."</f>
        <v>Дата присвоения ОГРН (ОГРНИП) указывается в виде «ДД.ММ.ГГГГ».</v>
      </c>
      <c r="H17" s="836"/>
    </row>
    <row customHeight="1" ht="56.25">
      <c r="A18" s="818"/>
      <c r="B18" s="863"/>
      <c r="C18" s="818"/>
      <c r="D18" s="806" t="s">
        <v>88</v>
      </c>
      <c r="E18" s="80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802"/>
      <c r="G18" s="835"/>
      <c r="H18" s="836"/>
    </row>
    <row customHeight="1" ht="22.5" hidden="1">
      <c r="A19" s="2475" t="s">
        <v>313</v>
      </c>
      <c r="B19" s="863"/>
      <c r="C19" s="2486"/>
      <c r="D19" s="806" t="str">
        <f>A19</f>
        <v>5.1</v>
      </c>
      <c r="E19" s="803" t="s">
        <v>314</v>
      </c>
      <c r="F19" s="804" t="s">
        <v>306</v>
      </c>
      <c r="G19" s="805" t="s">
        <v>315</v>
      </c>
      <c r="H19" s="836"/>
      <c r="I19" s="1213"/>
    </row>
    <row customHeight="1" ht="24" hidden="1">
      <c r="A20" s="2475"/>
      <c r="B20" s="863"/>
      <c r="C20" s="2486"/>
      <c r="D20" s="801" t="str">
        <f>D19&amp;".1"</f>
        <v>5.1.1</v>
      </c>
      <c r="E20" s="800" t="s">
        <v>316</v>
      </c>
      <c r="F20" s="1242" t="s">
        <v>24</v>
      </c>
      <c r="G20" s="835"/>
      <c r="H20" s="836"/>
      <c r="I20" s="1213"/>
    </row>
    <row customHeight="1" ht="22.5" hidden="1">
      <c r="A21" s="2475"/>
      <c r="B21" s="863"/>
      <c r="C21" s="2486"/>
      <c r="D21" s="801" t="str">
        <f>D19&amp;".2"</f>
        <v>5.1.2</v>
      </c>
      <c r="E21" s="800" t="s">
        <v>317</v>
      </c>
      <c r="F21" s="2099" t="s">
        <v>24</v>
      </c>
      <c r="G21" s="805" t="s">
        <v>318</v>
      </c>
      <c r="H21" s="836"/>
      <c r="I21" s="1213"/>
    </row>
    <row customHeight="1" ht="22.5" hidden="1">
      <c r="A22" s="2475"/>
      <c r="B22" s="863"/>
      <c r="C22" s="2486"/>
      <c r="D22" s="801" t="str">
        <f>D19&amp;".3"</f>
        <v>5.1.3</v>
      </c>
      <c r="E22" s="800" t="s">
        <v>319</v>
      </c>
      <c r="F22" s="1242" t="s">
        <v>24</v>
      </c>
      <c r="G22" s="835"/>
      <c r="H22" s="836"/>
      <c r="I22" s="1213"/>
    </row>
    <row customHeight="1" ht="22.5" hidden="1">
      <c r="A23" s="2475"/>
      <c r="B23" s="863"/>
      <c r="C23" s="2486"/>
      <c r="D23" s="801" t="str">
        <f>D19&amp;".4"</f>
        <v>5.1.4</v>
      </c>
      <c r="E23" s="800" t="s">
        <v>320</v>
      </c>
      <c r="F23" s="1242" t="s">
        <v>24</v>
      </c>
      <c r="G23" s="805" t="s">
        <v>321</v>
      </c>
      <c r="H23" s="836"/>
      <c r="I23" s="1213"/>
    </row>
    <row customHeight="1" ht="22.5" hidden="1">
      <c r="A24" s="2346"/>
      <c r="B24" s="863"/>
      <c r="C24" s="853"/>
      <c r="D24" s="828"/>
      <c r="E24" s="1531" t="s">
        <v>322</v>
      </c>
      <c r="F24" s="829"/>
      <c r="G24" s="830"/>
      <c r="H24" s="836"/>
      <c r="I24" s="1213"/>
    </row>
    <row s="18891" customFormat="1" customHeight="1" ht="24.75" hidden="1">
      <c r="A25" s="818"/>
      <c r="B25" s="863"/>
      <c r="C25" s="863"/>
      <c r="D25" s="1368" t="s">
        <v>87</v>
      </c>
      <c r="E25" s="1370" t="s">
        <v>323</v>
      </c>
      <c r="F25" s="1375" t="s">
        <v>306</v>
      </c>
      <c r="G25" s="1370"/>
    </row>
    <row s="18891" customFormat="1" customHeight="1" ht="11.25" hidden="1">
      <c r="A26" s="818"/>
      <c r="B26" s="863"/>
      <c r="C26" s="863"/>
      <c r="D26" s="1368" t="s">
        <v>324</v>
      </c>
      <c r="E26" s="1369" t="s">
        <v>325</v>
      </c>
      <c r="F26" s="1375" t="s">
        <v>306</v>
      </c>
      <c r="G26" s="1370"/>
    </row>
    <row s="18891" customFormat="1" customHeight="1" ht="11.25" hidden="1">
      <c r="A27" s="818"/>
      <c r="B27" s="863"/>
      <c r="C27" s="863"/>
      <c r="D27" s="1368" t="s">
        <v>326</v>
      </c>
      <c r="E27" s="1376" t="s">
        <v>327</v>
      </c>
      <c r="F27" s="1377"/>
      <c r="G27" s="137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row>
    <row s="18891" customFormat="1" customHeight="1" ht="11.25" hidden="1">
      <c r="A28" s="818"/>
      <c r="B28" s="863"/>
      <c r="C28" s="863"/>
      <c r="D28" s="1368" t="s">
        <v>328</v>
      </c>
      <c r="E28" s="1376" t="s">
        <v>329</v>
      </c>
      <c r="F28" s="1377"/>
      <c r="G28" s="137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row>
    <row s="18891" customFormat="1" customHeight="1" ht="11.25" hidden="1">
      <c r="A29" s="818"/>
      <c r="B29" s="863"/>
      <c r="C29" s="863"/>
      <c r="D29" s="1368" t="s">
        <v>330</v>
      </c>
      <c r="E29" s="1376" t="s">
        <v>331</v>
      </c>
      <c r="F29" s="1377"/>
      <c r="G29" s="137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row>
    <row s="18891" customFormat="1" customHeight="1" ht="11.25" hidden="1">
      <c r="A30" s="818"/>
      <c r="B30" s="863"/>
      <c r="C30" s="863"/>
      <c r="D30" s="1368" t="s">
        <v>332</v>
      </c>
      <c r="E30" s="1369" t="s">
        <v>333</v>
      </c>
      <c r="F30" s="1377"/>
      <c r="G30" s="1370"/>
    </row>
    <row s="18891" customFormat="1" customHeight="1" ht="11.25" hidden="1">
      <c r="A31" s="818"/>
      <c r="B31" s="863"/>
      <c r="C31" s="863"/>
      <c r="D31" s="1368" t="s">
        <v>334</v>
      </c>
      <c r="E31" s="1369" t="s">
        <v>335</v>
      </c>
      <c r="F31" s="1377"/>
      <c r="G31" s="1370"/>
    </row>
    <row s="18891" customFormat="1" customHeight="1" ht="11.25" hidden="1">
      <c r="A32" s="818"/>
      <c r="B32" s="863"/>
      <c r="C32" s="863"/>
      <c r="D32" s="1368" t="s">
        <v>336</v>
      </c>
      <c r="E32" s="1369" t="s">
        <v>337</v>
      </c>
      <c r="F32" s="1378"/>
      <c r="G32" s="1370"/>
    </row>
    <row customHeight="1" ht="22.5">
      <c r="A33" s="818" t="str">
        <f>IF(TEMPLATE_SPHERE="HEAT","6","5")</f>
        <v>5</v>
      </c>
      <c r="B33" s="863"/>
      <c r="C33" s="818"/>
      <c r="D33" s="801" t="str">
        <f>A33</f>
        <v>5</v>
      </c>
      <c r="E33" s="79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804" t="s">
        <v>306</v>
      </c>
      <c r="G33" s="835"/>
      <c r="H33" s="836"/>
    </row>
    <row customHeight="1" ht="22.5">
      <c r="A34" s="818"/>
      <c r="B34" s="863"/>
      <c r="C34" s="818"/>
      <c r="D34" s="801" t="str">
        <f>D33&amp;".1"</f>
        <v>5.1</v>
      </c>
      <c r="E34" s="803" t="str">
        <f>"фамилия"&amp;IF(TEMPLATE_SPHERE&lt;&gt;"HEAT"," руководителя","")</f>
        <v>фамилия руководителя</v>
      </c>
      <c r="F34" s="802"/>
      <c r="G34" s="80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836"/>
    </row>
    <row customHeight="1" ht="22.5">
      <c r="A35" s="818"/>
      <c r="B35" s="863"/>
      <c r="C35" s="818"/>
      <c r="D35" s="801" t="str">
        <f>D33&amp;".2"</f>
        <v>5.2</v>
      </c>
      <c r="E35" s="803" t="str">
        <f>"имя"&amp;IF(TEMPLATE_SPHERE&lt;&gt;"HEAT"," руководителя","")</f>
        <v>имя руководителя</v>
      </c>
      <c r="F35" s="802"/>
      <c r="G35" s="80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836"/>
    </row>
    <row customHeight="1" ht="22.5">
      <c r="A36" s="818"/>
      <c r="B36" s="863"/>
      <c r="C36" s="818"/>
      <c r="D36" s="801" t="str">
        <f>D33&amp;".3"</f>
        <v>5.3</v>
      </c>
      <c r="E36" s="803" t="str">
        <f>"отчество"&amp;IF(TEMPLATE_SPHERE&lt;&gt;"HEAT"," руководителя","")</f>
        <v>отчество руководителя</v>
      </c>
      <c r="F36" s="1059"/>
      <c r="G36" s="80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836"/>
    </row>
    <row customHeight="1" ht="33.75">
      <c r="A37" s="818"/>
      <c r="B37" s="863"/>
      <c r="C37" s="818"/>
      <c r="D37" s="801">
        <f>D33+1</f>
        <v>6</v>
      </c>
      <c r="E37" s="79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802"/>
      <c r="G37" s="805" t="s">
        <v>338</v>
      </c>
      <c r="H37" s="836"/>
    </row>
    <row customHeight="1" ht="33.75">
      <c r="A38" s="818"/>
      <c r="B38" s="863"/>
      <c r="C38" s="818"/>
      <c r="D38" s="801">
        <f>D37+1</f>
        <v>7</v>
      </c>
      <c r="E38" s="79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802"/>
      <c r="G38" s="805" t="s">
        <v>338</v>
      </c>
      <c r="H38" s="836"/>
    </row>
    <row customHeight="1" ht="22.5">
      <c r="A39" s="818"/>
      <c r="B39" s="863"/>
      <c r="C39" s="818"/>
      <c r="D39" s="801">
        <f>D38+1</f>
        <v>8</v>
      </c>
      <c r="E39" s="79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804" t="s">
        <v>306</v>
      </c>
      <c r="G39" s="248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836"/>
    </row>
    <row customHeight="1" ht="22.5" hidden="1">
      <c r="A40" s="818"/>
      <c r="B40" s="863"/>
      <c r="C40" s="818"/>
      <c r="D40" s="801" t="str">
        <f>D39&amp;".0"</f>
        <v>8.0</v>
      </c>
      <c r="E40" s="1971"/>
      <c r="F40" s="1242"/>
      <c r="G40" s="2484"/>
      <c r="H40" s="836"/>
    </row>
    <row customHeight="1" ht="22.5">
      <c r="A41" s="818"/>
      <c r="B41" s="818"/>
      <c r="C41" s="2054"/>
      <c r="D41" s="801" t="str">
        <f>D39&amp;".1"</f>
        <v>8.1</v>
      </c>
      <c r="E41" s="1221"/>
      <c r="F41" s="1222"/>
      <c r="G41" s="2484"/>
      <c r="H41" s="836"/>
    </row>
    <row customHeight="1" ht="15">
      <c r="A42" s="818"/>
      <c r="B42" s="863"/>
      <c r="C42" s="818"/>
      <c r="D42" s="828"/>
      <c r="E42" s="776" t="s">
        <v>339</v>
      </c>
      <c r="F42" s="830"/>
      <c r="G42" s="2485"/>
      <c r="H42" s="837"/>
    </row>
    <row customHeight="1" ht="25.5">
      <c r="A43" s="818"/>
      <c r="B43" s="863"/>
      <c r="C43" s="818"/>
      <c r="D43" s="801">
        <f>D39+1</f>
        <v>9</v>
      </c>
      <c r="E43" s="79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1223"/>
      <c r="G43" s="80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836"/>
    </row>
    <row customHeight="1" ht="22.5">
      <c r="A44" s="818"/>
      <c r="B44" s="863"/>
      <c r="C44" s="818"/>
      <c r="D44" s="801">
        <f>D43+1</f>
        <v>10</v>
      </c>
      <c r="E44" s="79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739"/>
      <c r="G44" s="835" t="s">
        <v>340</v>
      </c>
      <c r="H44" s="836"/>
    </row>
    <row customHeight="1" ht="22.5">
      <c r="A45" s="818"/>
      <c r="B45" s="863"/>
      <c r="C45" s="818"/>
      <c r="D45" s="801">
        <f>D44+1</f>
        <v>11</v>
      </c>
      <c r="E45" s="799" t="s">
        <v>341</v>
      </c>
      <c r="F45" s="804" t="s">
        <v>306</v>
      </c>
      <c r="G45" s="798" t="str">
        <f>IF(TEMPLATE_SPHERE="TKO","Указывается режим работы организации.","")</f>
        <v/>
      </c>
      <c r="H45" s="836"/>
    </row>
    <row customHeight="1" ht="22.5">
      <c r="A46" s="818"/>
      <c r="B46" s="863"/>
      <c r="C46" s="818"/>
      <c r="D46" s="801" t="str">
        <f>D45&amp;".1"</f>
        <v>11.1</v>
      </c>
      <c r="E46" s="803" t="str">
        <f>"режим работы регулируемой организации"&amp;IF(TEMPLATE_SPHERE="HEAT",", ЕТО, ТО","")</f>
        <v>режим работы регулируемой организации</v>
      </c>
      <c r="F46" s="2050"/>
      <c r="G46" s="798" t="s">
        <v>342</v>
      </c>
      <c r="H46" s="836"/>
    </row>
    <row customHeight="1" ht="22.5">
      <c r="A47" s="2475"/>
      <c r="B47" s="863"/>
      <c r="C47" s="853"/>
      <c r="D47" s="801" t="str">
        <f>D45&amp;".2"</f>
        <v>11.2</v>
      </c>
      <c r="E47" s="803" t="s">
        <v>343</v>
      </c>
      <c r="F47" s="851"/>
      <c r="G47" s="798" t="s">
        <v>344</v>
      </c>
      <c r="H47" s="836"/>
    </row>
    <row customHeight="1" ht="22.5">
      <c r="A48" s="2475"/>
      <c r="B48" s="863"/>
      <c r="C48" s="853"/>
      <c r="D48" s="801" t="str">
        <f>D45&amp;".3"</f>
        <v>11.3</v>
      </c>
      <c r="E48" s="803" t="s">
        <v>345</v>
      </c>
      <c r="F48" s="851"/>
      <c r="G48" s="798" t="s">
        <v>346</v>
      </c>
      <c r="H48" s="836"/>
    </row>
    <row customHeight="1" ht="22.5">
      <c r="A49" s="2475"/>
      <c r="B49" s="863"/>
      <c r="C49" s="853"/>
      <c r="D49" s="801" t="str">
        <f>IF(TEMPLATE_SPHERE="TKO",D45&amp;".0",D45&amp;".4")</f>
        <v>11.4</v>
      </c>
      <c r="E49" s="797" t="s">
        <v>347</v>
      </c>
      <c r="F49" s="2051"/>
      <c r="G49" s="2128" t="s">
        <v>348</v>
      </c>
      <c r="H49" s="836"/>
    </row>
    <row customHeight="1" ht="22.5">
      <c r="A50" s="818"/>
      <c r="B50" s="863"/>
      <c r="C50" s="818"/>
      <c r="D50" s="828"/>
      <c r="E50" s="776" t="s">
        <v>349</v>
      </c>
      <c r="F50" s="829"/>
      <c r="G50" s="2128" t="s">
        <v>350</v>
      </c>
      <c r="H50" s="837"/>
    </row>
    <row customHeight="1" ht="22.5">
      <c r="A51" s="1219"/>
      <c r="B51" s="863"/>
      <c r="C51" s="853"/>
      <c r="D51" s="801">
        <f>D45+1</f>
        <v>12</v>
      </c>
      <c r="E51" s="889" t="s">
        <v>351</v>
      </c>
      <c r="F51" s="851"/>
      <c r="G51" s="205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836"/>
    </row>
    <row customHeight="1" ht="11.25">
      <c r="A52" s="818"/>
      <c r="B52" s="863"/>
      <c r="C52" s="818"/>
    </row>
    <row s="18920" customFormat="1" customHeight="1" ht="30">
      <c r="A53" s="2053"/>
      <c r="B53" s="864"/>
      <c r="C53" s="2476"/>
      <c r="D53" s="247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479"/>
      <c r="F53" s="2479"/>
      <c r="G53" s="2479"/>
      <c r="H53" s="815"/>
      <c r="I53" s="815"/>
    </row>
    <row s="18920" customFormat="1" customHeight="1" ht="39.75">
      <c r="A54" s="818"/>
      <c r="B54" s="863"/>
      <c r="C54" s="2476"/>
      <c r="D54" s="2479"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479"/>
      <c r="F54" s="2479"/>
      <c r="G54" s="2479"/>
    </row>
    <row customHeight="1" ht="11.25">
      <c r="D55" s="819"/>
      <c r="E55" s="820"/>
      <c r="F55" s="820"/>
      <c r="G55" s="820"/>
    </row>
    <row customHeight="1" ht="27">
      <c r="D56" s="822"/>
      <c r="E56" s="819"/>
      <c r="F56" s="831"/>
      <c r="G56" s="831"/>
    </row>
    <row customHeight="1" ht="11.25">
      <c r="D57" s="819"/>
      <c r="E57" s="819"/>
      <c r="F57" s="820"/>
      <c r="G57" s="820"/>
    </row>
    <row customHeight="1" ht="39">
      <c r="D58" s="823"/>
      <c r="E58" s="832"/>
      <c r="F58" s="832"/>
      <c r="G58" s="832"/>
    </row>
    <row customHeight="1" ht="27">
      <c r="D59" s="823"/>
      <c r="E59" s="832"/>
      <c r="F59" s="832"/>
      <c r="G59" s="832"/>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4E981F-62C5-3898-8F95-02B3093358B1}"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42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A95F82-5257-6485-F425-190706E7C638}" mc:Ignorable="x14ac xr xr2 xr3">
  <dimension ref="A1:E8"/>
  <sheetViews>
    <sheetView topLeftCell="A1" showGridLines="0" workbookViewId="0">
      <selection activeCell="A1" sqref="A1"/>
    </sheetView>
  </sheetViews>
  <sheetFormatPr customHeight="1" defaultRowHeight="11.25"/>
  <cols>
    <col min="1" max="1" style="21014" width="10.57421875" customWidth="1"/>
    <col min="2" max="2" style="21014" width="8.7109375" customWidth="1"/>
    <col min="3" max="3" style="21014" width="18.140625" customWidth="1"/>
    <col min="4" max="4" style="21014" width="12.57421875" customWidth="1"/>
  </cols>
  <sheetData>
    <row customHeight="1" ht="11.25">
      <c r="A1" s="1114" t="s">
        <v>2168</v>
      </c>
      <c r="B1" s="1125" t="s">
        <v>2169</v>
      </c>
      <c r="C1" s="2868" t="s">
        <v>2170</v>
      </c>
      <c r="D1" s="2869"/>
      <c r="E1" s="1197" t="s">
        <v>2171</v>
      </c>
    </row>
    <row customHeight="1" ht="11.25">
      <c r="A2" s="1118"/>
      <c r="B2" s="1126" t="s">
        <v>22</v>
      </c>
      <c r="C2" s="1114"/>
      <c r="D2" s="1125"/>
      <c r="E2" s="1197"/>
    </row>
    <row customHeight="1" ht="11.25">
      <c r="A3" s="1129"/>
      <c r="B3" s="1127" t="s">
        <v>29</v>
      </c>
      <c r="C3" s="1114"/>
      <c r="D3" s="1125"/>
      <c r="E3" s="1197"/>
    </row>
    <row customHeight="1" ht="11.25">
      <c r="A4" s="1130"/>
      <c r="B4" s="1127" t="s">
        <v>1587</v>
      </c>
      <c r="C4" s="1114"/>
      <c r="D4" s="1125"/>
      <c r="E4" s="1197"/>
    </row>
    <row customHeight="1" ht="11.25">
      <c r="A5" s="1142"/>
      <c r="B5" s="1127" t="s">
        <v>1581</v>
      </c>
      <c r="C5" s="1117" t="s">
        <v>1927</v>
      </c>
      <c r="D5" s="1241" t="s">
        <v>2172</v>
      </c>
      <c r="E5" s="1197"/>
    </row>
    <row s="20990" customFormat="1" customHeight="1" ht="11.25">
      <c r="A6" s="1128"/>
      <c r="B6" s="1127" t="s">
        <v>1591</v>
      </c>
      <c r="C6" s="1114"/>
      <c r="D6" s="1125"/>
      <c r="E6" s="1197"/>
    </row>
    <row customHeight="1" ht="11.25">
      <c r="A7" s="1116"/>
      <c r="B7" s="1127" t="s">
        <v>1599</v>
      </c>
      <c r="C7" s="1114"/>
      <c r="D7" s="1125"/>
      <c r="E7" s="1197"/>
    </row>
    <row customHeight="1" ht="11.25">
      <c r="A8" s="1117"/>
      <c r="B8" s="1127" t="s">
        <v>1594</v>
      </c>
      <c r="C8" s="1114"/>
      <c r="D8" s="1125"/>
      <c r="E8" s="119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86958A-C7BF-6213-4291-90BFBF38F5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8F9965-2675-68A7-DDE5-9B780EDFB40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DD0CAB-BABF-66CA-8B24-7ACE44B5D814}" mc:Ignorable="x14ac xr xr2 xr3">
  <sheetPr>
    <tabColor rgb="FFFFCC99"/>
  </sheetPr>
  <dimension ref="A1:I3616"/>
  <sheetViews>
    <sheetView topLeftCell="A1" showGridLines="0" workbookViewId="0">
      <selection activeCell="A1" sqref="A1"/>
    </sheetView>
  </sheetViews>
  <sheetFormatPr defaultColWidth="9.140625" customHeight="1" defaultRowHeight="11.25"/>
  <cols>
    <col min="1" max="2" style="21017" width="9.140625"/>
    <col min="3" max="3" style="21017" width="20.7109375" customWidth="1"/>
    <col min="4" max="4" style="21017" width="25.140625" customWidth="1"/>
    <col min="5" max="9" style="21017" width="9.140625"/>
  </cols>
  <sheetData>
    <row customHeight="1" ht="11.25">
      <c r="A1" s="429" t="s">
        <v>2173</v>
      </c>
      <c r="B1" s="429" t="s">
        <v>2174</v>
      </c>
      <c r="C1" s="429" t="s">
        <v>2175</v>
      </c>
      <c r="D1" s="429" t="s">
        <v>2176</v>
      </c>
      <c r="E1" s="429" t="s">
        <v>2177</v>
      </c>
      <c r="F1" s="429" t="s">
        <v>2178</v>
      </c>
      <c r="G1" s="429" t="s">
        <v>2179</v>
      </c>
      <c r="H1" s="429" t="s">
        <v>2180</v>
      </c>
      <c r="I1" s="429" t="s">
        <v>2181</v>
      </c>
    </row>
    <row customHeight="1" ht="11.25">
      <c r="A2" s="8634" t="s">
        <v>2182</v>
      </c>
      <c r="B2" s="8634" t="s">
        <v>14</v>
      </c>
      <c r="C2" s="8634" t="s">
        <v>2183</v>
      </c>
      <c r="D2" s="8634" t="s">
        <v>2184</v>
      </c>
      <c r="E2" s="8634" t="s">
        <v>2185</v>
      </c>
      <c r="F2" s="8634" t="s">
        <v>2186</v>
      </c>
      <c r="G2" s="8634" t="s">
        <v>24</v>
      </c>
      <c r="H2" s="8634" t="s">
        <v>2187</v>
      </c>
      <c r="I2" s="8634" t="s">
        <v>722</v>
      </c>
    </row>
    <row customHeight="1" ht="11.25">
      <c r="A3" s="8634" t="s">
        <v>2182</v>
      </c>
      <c r="B3" s="8634" t="s">
        <v>14</v>
      </c>
      <c r="C3" s="8634" t="s">
        <v>2188</v>
      </c>
      <c r="D3" s="8634" t="s">
        <v>2189</v>
      </c>
      <c r="E3" s="8634" t="s">
        <v>2190</v>
      </c>
      <c r="F3" s="8634" t="s">
        <v>2191</v>
      </c>
      <c r="G3" s="8634" t="s">
        <v>24</v>
      </c>
      <c r="H3" s="8634" t="s">
        <v>2187</v>
      </c>
      <c r="I3" s="8634" t="s">
        <v>722</v>
      </c>
    </row>
    <row customHeight="1" ht="11.25">
      <c r="A4" s="8634" t="s">
        <v>2182</v>
      </c>
      <c r="B4" s="8634" t="s">
        <v>14</v>
      </c>
      <c r="C4" s="8634" t="s">
        <v>2192</v>
      </c>
      <c r="D4" s="8634" t="s">
        <v>2193</v>
      </c>
      <c r="E4" s="8634" t="s">
        <v>2194</v>
      </c>
      <c r="F4" s="8634" t="s">
        <v>2195</v>
      </c>
      <c r="G4" s="8634" t="s">
        <v>24</v>
      </c>
      <c r="H4" s="8634" t="s">
        <v>2196</v>
      </c>
      <c r="I4" s="8634" t="s">
        <v>722</v>
      </c>
    </row>
    <row customHeight="1" ht="11.25">
      <c r="A5" s="8634" t="s">
        <v>2182</v>
      </c>
      <c r="B5" s="8634" t="s">
        <v>14</v>
      </c>
      <c r="C5" s="8634" t="s">
        <v>2197</v>
      </c>
      <c r="D5" s="8634" t="s">
        <v>2198</v>
      </c>
      <c r="E5" s="8634" t="s">
        <v>2199</v>
      </c>
      <c r="F5" s="8634" t="s">
        <v>2200</v>
      </c>
      <c r="G5" s="8634" t="s">
        <v>2201</v>
      </c>
      <c r="H5" s="8634" t="s">
        <v>24</v>
      </c>
      <c r="I5" s="8634" t="s">
        <v>722</v>
      </c>
    </row>
    <row customHeight="1" ht="11.25">
      <c r="A6" s="8634" t="s">
        <v>2182</v>
      </c>
      <c r="B6" s="8634" t="s">
        <v>14</v>
      </c>
      <c r="C6" s="8634" t="s">
        <v>2202</v>
      </c>
      <c r="D6" s="8634" t="s">
        <v>2203</v>
      </c>
      <c r="E6" s="8634" t="s">
        <v>2194</v>
      </c>
      <c r="F6" s="8634" t="s">
        <v>2204</v>
      </c>
      <c r="G6" s="8634" t="s">
        <v>24</v>
      </c>
      <c r="H6" s="8634" t="s">
        <v>2196</v>
      </c>
      <c r="I6" s="8634" t="s">
        <v>722</v>
      </c>
    </row>
    <row customHeight="1" ht="11.25">
      <c r="A7" s="8634" t="s">
        <v>2182</v>
      </c>
      <c r="B7" s="8634" t="s">
        <v>14</v>
      </c>
      <c r="C7" s="8634" t="s">
        <v>2205</v>
      </c>
      <c r="D7" s="8634" t="s">
        <v>2206</v>
      </c>
      <c r="E7" s="8634" t="s">
        <v>2207</v>
      </c>
      <c r="F7" s="8634" t="s">
        <v>2208</v>
      </c>
      <c r="G7" s="8634" t="s">
        <v>2209</v>
      </c>
      <c r="H7" s="8634" t="s">
        <v>24</v>
      </c>
      <c r="I7" s="8634" t="s">
        <v>722</v>
      </c>
    </row>
    <row customHeight="1" ht="11.25">
      <c r="A8" s="8634" t="s">
        <v>2182</v>
      </c>
      <c r="B8" s="8634" t="s">
        <v>14</v>
      </c>
      <c r="C8" s="8634" t="s">
        <v>2210</v>
      </c>
      <c r="D8" s="8634" t="s">
        <v>2211</v>
      </c>
      <c r="E8" s="8634" t="s">
        <v>2212</v>
      </c>
      <c r="F8" s="8634" t="s">
        <v>2213</v>
      </c>
      <c r="G8" s="8634" t="s">
        <v>2214</v>
      </c>
      <c r="H8" s="8634" t="s">
        <v>24</v>
      </c>
      <c r="I8" s="8634" t="s">
        <v>722</v>
      </c>
    </row>
    <row customHeight="1" ht="11.25">
      <c r="A9" s="8634" t="s">
        <v>2182</v>
      </c>
      <c r="B9" s="8634" t="s">
        <v>14</v>
      </c>
      <c r="C9" s="8634" t="s">
        <v>2215</v>
      </c>
      <c r="D9" s="8634" t="s">
        <v>2216</v>
      </c>
      <c r="E9" s="8634" t="s">
        <v>2217</v>
      </c>
      <c r="F9" s="8634" t="s">
        <v>2218</v>
      </c>
      <c r="G9" s="8634" t="s">
        <v>2219</v>
      </c>
      <c r="H9" s="8634" t="s">
        <v>24</v>
      </c>
      <c r="I9" s="8634" t="s">
        <v>722</v>
      </c>
    </row>
    <row customHeight="1" ht="11.25">
      <c r="A10" s="8634" t="s">
        <v>2182</v>
      </c>
      <c r="B10" s="8634" t="s">
        <v>14</v>
      </c>
      <c r="C10" s="8634" t="s">
        <v>2220</v>
      </c>
      <c r="D10" s="8634" t="s">
        <v>2221</v>
      </c>
      <c r="E10" s="8634" t="s">
        <v>2222</v>
      </c>
      <c r="F10" s="8634" t="s">
        <v>2223</v>
      </c>
      <c r="G10" s="8634" t="s">
        <v>2224</v>
      </c>
      <c r="H10" s="8634" t="s">
        <v>24</v>
      </c>
      <c r="I10" s="8634" t="s">
        <v>722</v>
      </c>
    </row>
    <row customHeight="1" ht="11.25">
      <c r="A11" s="8634" t="s">
        <v>2182</v>
      </c>
      <c r="B11" s="8634" t="s">
        <v>14</v>
      </c>
      <c r="C11" s="8634" t="s">
        <v>2225</v>
      </c>
      <c r="D11" s="8634" t="s">
        <v>2226</v>
      </c>
      <c r="E11" s="8634" t="s">
        <v>2227</v>
      </c>
      <c r="F11" s="8634" t="s">
        <v>2228</v>
      </c>
      <c r="G11" s="8634" t="s">
        <v>2229</v>
      </c>
      <c r="H11" s="8634" t="s">
        <v>24</v>
      </c>
      <c r="I11" s="8634" t="s">
        <v>722</v>
      </c>
    </row>
    <row customHeight="1" ht="11.25">
      <c r="A12" s="8634" t="s">
        <v>2182</v>
      </c>
      <c r="B12" s="8634" t="s">
        <v>14</v>
      </c>
      <c r="C12" s="8634" t="s">
        <v>2230</v>
      </c>
      <c r="D12" s="8634" t="s">
        <v>2231</v>
      </c>
      <c r="E12" s="8634" t="s">
        <v>2232</v>
      </c>
      <c r="F12" s="8634" t="s">
        <v>2233</v>
      </c>
      <c r="G12" s="8634" t="s">
        <v>24</v>
      </c>
      <c r="H12" s="8634" t="s">
        <v>24</v>
      </c>
      <c r="I12" s="8634" t="s">
        <v>722</v>
      </c>
    </row>
    <row customHeight="1" ht="11.25">
      <c r="A13" s="8634" t="s">
        <v>2182</v>
      </c>
      <c r="B13" s="8634" t="s">
        <v>14</v>
      </c>
      <c r="C13" s="8634" t="s">
        <v>2234</v>
      </c>
      <c r="D13" s="8634" t="s">
        <v>2235</v>
      </c>
      <c r="E13" s="8634" t="s">
        <v>2236</v>
      </c>
      <c r="F13" s="8634" t="s">
        <v>2237</v>
      </c>
      <c r="G13" s="8634" t="s">
        <v>24</v>
      </c>
      <c r="H13" s="8634" t="s">
        <v>2238</v>
      </c>
      <c r="I13" s="8634" t="s">
        <v>722</v>
      </c>
    </row>
    <row customHeight="1" ht="11.25">
      <c r="A14" s="8634" t="s">
        <v>2182</v>
      </c>
      <c r="B14" s="8634" t="s">
        <v>14</v>
      </c>
      <c r="C14" s="8634" t="s">
        <v>2239</v>
      </c>
      <c r="D14" s="8634" t="s">
        <v>2240</v>
      </c>
      <c r="E14" s="8634" t="s">
        <v>2241</v>
      </c>
      <c r="F14" s="8634" t="s">
        <v>2213</v>
      </c>
      <c r="G14" s="8634" t="s">
        <v>24</v>
      </c>
      <c r="H14" s="8634" t="s">
        <v>24</v>
      </c>
      <c r="I14" s="8634" t="s">
        <v>722</v>
      </c>
    </row>
    <row customHeight="1" ht="11.25">
      <c r="A15" s="8634" t="s">
        <v>2182</v>
      </c>
      <c r="B15" s="8634" t="s">
        <v>14</v>
      </c>
      <c r="C15" s="8634" t="s">
        <v>2242</v>
      </c>
      <c r="D15" s="8634" t="s">
        <v>2243</v>
      </c>
      <c r="E15" s="8634" t="s">
        <v>2244</v>
      </c>
      <c r="F15" s="8634" t="s">
        <v>2245</v>
      </c>
      <c r="G15" s="8634" t="s">
        <v>2246</v>
      </c>
      <c r="H15" s="8634" t="s">
        <v>2187</v>
      </c>
      <c r="I15" s="8634" t="s">
        <v>722</v>
      </c>
    </row>
    <row customHeight="1" ht="11.25">
      <c r="A16" s="8634" t="s">
        <v>2182</v>
      </c>
      <c r="B16" s="8634" t="s">
        <v>14</v>
      </c>
      <c r="C16" s="8634" t="s">
        <v>2247</v>
      </c>
      <c r="D16" s="8634" t="s">
        <v>2248</v>
      </c>
      <c r="E16" s="8634" t="s">
        <v>2249</v>
      </c>
      <c r="F16" s="8634" t="s">
        <v>2250</v>
      </c>
      <c r="G16" s="8634" t="s">
        <v>2251</v>
      </c>
      <c r="H16" s="8634" t="s">
        <v>2252</v>
      </c>
      <c r="I16" s="8634" t="s">
        <v>722</v>
      </c>
    </row>
    <row customHeight="1" ht="11.25">
      <c r="A17" s="8634" t="s">
        <v>2182</v>
      </c>
      <c r="B17" s="8634" t="s">
        <v>14</v>
      </c>
      <c r="C17" s="8634" t="s">
        <v>2253</v>
      </c>
      <c r="D17" s="8634" t="s">
        <v>2254</v>
      </c>
      <c r="E17" s="8634" t="s">
        <v>2255</v>
      </c>
      <c r="F17" s="8634" t="s">
        <v>2228</v>
      </c>
      <c r="G17" s="8634" t="s">
        <v>2256</v>
      </c>
      <c r="H17" s="8634" t="s">
        <v>24</v>
      </c>
      <c r="I17" s="8634" t="s">
        <v>722</v>
      </c>
    </row>
    <row customHeight="1" ht="11.25">
      <c r="A18" s="8634" t="s">
        <v>2182</v>
      </c>
      <c r="B18" s="8634" t="s">
        <v>14</v>
      </c>
      <c r="C18" s="8634" t="s">
        <v>2257</v>
      </c>
      <c r="D18" s="8634" t="s">
        <v>2258</v>
      </c>
      <c r="E18" s="8634" t="s">
        <v>2259</v>
      </c>
      <c r="F18" s="8634" t="s">
        <v>2218</v>
      </c>
      <c r="G18" s="8634" t="s">
        <v>2260</v>
      </c>
      <c r="H18" s="8634" t="s">
        <v>24</v>
      </c>
      <c r="I18" s="8634" t="s">
        <v>722</v>
      </c>
    </row>
    <row customHeight="1" ht="11.25">
      <c r="A19" s="8634" t="s">
        <v>2182</v>
      </c>
      <c r="B19" s="8634" t="s">
        <v>14</v>
      </c>
      <c r="C19" s="8634" t="s">
        <v>2261</v>
      </c>
      <c r="D19" s="8634" t="s">
        <v>2262</v>
      </c>
      <c r="E19" s="8634" t="s">
        <v>2263</v>
      </c>
      <c r="F19" s="8634" t="s">
        <v>2264</v>
      </c>
      <c r="G19" s="8634" t="s">
        <v>2265</v>
      </c>
      <c r="H19" s="8634" t="s">
        <v>24</v>
      </c>
      <c r="I19" s="8634" t="s">
        <v>722</v>
      </c>
    </row>
    <row customHeight="1" ht="11.25">
      <c r="A20" s="8634" t="s">
        <v>2182</v>
      </c>
      <c r="B20" s="8634" t="s">
        <v>14</v>
      </c>
      <c r="C20" s="8634" t="s">
        <v>2266</v>
      </c>
      <c r="D20" s="8634" t="s">
        <v>2267</v>
      </c>
      <c r="E20" s="8634" t="s">
        <v>2268</v>
      </c>
      <c r="F20" s="8634" t="s">
        <v>2269</v>
      </c>
      <c r="G20" s="8634" t="s">
        <v>2270</v>
      </c>
      <c r="H20" s="8634" t="s">
        <v>24</v>
      </c>
      <c r="I20" s="8634" t="s">
        <v>722</v>
      </c>
    </row>
    <row customHeight="1" ht="11.25">
      <c r="A21" s="8634" t="s">
        <v>2182</v>
      </c>
      <c r="B21" s="8634" t="s">
        <v>14</v>
      </c>
      <c r="C21" s="8634" t="s">
        <v>2271</v>
      </c>
      <c r="D21" s="8634" t="s">
        <v>2272</v>
      </c>
      <c r="E21" s="8634" t="s">
        <v>2273</v>
      </c>
      <c r="F21" s="8634" t="s">
        <v>2274</v>
      </c>
      <c r="G21" s="8634" t="s">
        <v>2275</v>
      </c>
      <c r="H21" s="8634" t="s">
        <v>24</v>
      </c>
      <c r="I21" s="8634" t="s">
        <v>722</v>
      </c>
    </row>
    <row customHeight="1" ht="11.25">
      <c r="A22" s="8634" t="s">
        <v>2182</v>
      </c>
      <c r="B22" s="8634" t="s">
        <v>14</v>
      </c>
      <c r="C22" s="8634" t="s">
        <v>2276</v>
      </c>
      <c r="D22" s="8634" t="s">
        <v>2277</v>
      </c>
      <c r="E22" s="8634" t="s">
        <v>2278</v>
      </c>
      <c r="F22" s="8634" t="s">
        <v>2279</v>
      </c>
      <c r="G22" s="8634" t="s">
        <v>2280</v>
      </c>
      <c r="H22" s="8634" t="s">
        <v>24</v>
      </c>
      <c r="I22" s="8634" t="s">
        <v>722</v>
      </c>
    </row>
    <row customHeight="1" ht="11.25">
      <c r="A23" s="8634" t="s">
        <v>2182</v>
      </c>
      <c r="B23" s="8634" t="s">
        <v>14</v>
      </c>
      <c r="C23" s="8634" t="s">
        <v>2281</v>
      </c>
      <c r="D23" s="8634" t="s">
        <v>2282</v>
      </c>
      <c r="E23" s="8634" t="s">
        <v>2283</v>
      </c>
      <c r="F23" s="8634" t="s">
        <v>2284</v>
      </c>
      <c r="G23" s="8634" t="s">
        <v>2285</v>
      </c>
      <c r="H23" s="8634" t="s">
        <v>24</v>
      </c>
      <c r="I23" s="8634" t="s">
        <v>722</v>
      </c>
    </row>
    <row customHeight="1" ht="11.25">
      <c r="A24" s="8634" t="s">
        <v>2182</v>
      </c>
      <c r="B24" s="8634" t="s">
        <v>14</v>
      </c>
      <c r="C24" s="8634" t="s">
        <v>2286</v>
      </c>
      <c r="D24" s="8634" t="s">
        <v>2287</v>
      </c>
      <c r="E24" s="8634" t="s">
        <v>2288</v>
      </c>
      <c r="F24" s="8634" t="s">
        <v>2218</v>
      </c>
      <c r="G24" s="8634" t="s">
        <v>2289</v>
      </c>
      <c r="H24" s="8634" t="s">
        <v>24</v>
      </c>
      <c r="I24" s="8634" t="s">
        <v>722</v>
      </c>
    </row>
    <row customHeight="1" ht="11.25">
      <c r="A25" s="8634" t="s">
        <v>2182</v>
      </c>
      <c r="B25" s="8634" t="s">
        <v>14</v>
      </c>
      <c r="C25" s="8634" t="s">
        <v>2290</v>
      </c>
      <c r="D25" s="8634" t="s">
        <v>2291</v>
      </c>
      <c r="E25" s="8634" t="s">
        <v>2292</v>
      </c>
      <c r="F25" s="8634" t="s">
        <v>2293</v>
      </c>
      <c r="G25" s="8634" t="s">
        <v>24</v>
      </c>
      <c r="H25" s="8634" t="s">
        <v>24</v>
      </c>
      <c r="I25" s="8634" t="s">
        <v>722</v>
      </c>
    </row>
    <row customHeight="1" ht="11.25">
      <c r="A26" s="8634" t="s">
        <v>2182</v>
      </c>
      <c r="B26" s="8634" t="s">
        <v>14</v>
      </c>
      <c r="C26" s="8634" t="s">
        <v>2294</v>
      </c>
      <c r="D26" s="8634" t="s">
        <v>2295</v>
      </c>
      <c r="E26" s="8634" t="s">
        <v>2296</v>
      </c>
      <c r="F26" s="8634" t="s">
        <v>2213</v>
      </c>
      <c r="G26" s="8634" t="s">
        <v>24</v>
      </c>
      <c r="H26" s="8634" t="s">
        <v>24</v>
      </c>
      <c r="I26" s="8634" t="s">
        <v>722</v>
      </c>
    </row>
    <row customHeight="1" ht="11.25">
      <c r="A27" s="8634" t="s">
        <v>2182</v>
      </c>
      <c r="B27" s="8634" t="s">
        <v>14</v>
      </c>
      <c r="C27" s="8634" t="s">
        <v>2297</v>
      </c>
      <c r="D27" s="8634" t="s">
        <v>2298</v>
      </c>
      <c r="E27" s="8634" t="s">
        <v>2299</v>
      </c>
      <c r="F27" s="8634" t="s">
        <v>2300</v>
      </c>
      <c r="G27" s="8634" t="s">
        <v>2301</v>
      </c>
      <c r="H27" s="8634" t="s">
        <v>24</v>
      </c>
      <c r="I27" s="8634" t="s">
        <v>722</v>
      </c>
    </row>
    <row customHeight="1" ht="11.25">
      <c r="A28" s="8634" t="s">
        <v>2182</v>
      </c>
      <c r="B28" s="8634" t="s">
        <v>14</v>
      </c>
      <c r="C28" s="8634" t="s">
        <v>2302</v>
      </c>
      <c r="D28" s="8634" t="s">
        <v>2303</v>
      </c>
      <c r="E28" s="8634" t="s">
        <v>2304</v>
      </c>
      <c r="F28" s="8634" t="s">
        <v>2284</v>
      </c>
      <c r="G28" s="8634" t="s">
        <v>2305</v>
      </c>
      <c r="H28" s="8634" t="s">
        <v>2306</v>
      </c>
      <c r="I28" s="8634" t="s">
        <v>722</v>
      </c>
    </row>
    <row customHeight="1" ht="11.25">
      <c r="A29" s="8634" t="s">
        <v>2182</v>
      </c>
      <c r="B29" s="8634" t="s">
        <v>14</v>
      </c>
      <c r="C29" s="8634" t="s">
        <v>2307</v>
      </c>
      <c r="D29" s="8634" t="s">
        <v>2308</v>
      </c>
      <c r="E29" s="8634" t="s">
        <v>2309</v>
      </c>
      <c r="F29" s="8634" t="s">
        <v>2245</v>
      </c>
      <c r="G29" s="8634" t="s">
        <v>2310</v>
      </c>
      <c r="H29" s="8634" t="s">
        <v>24</v>
      </c>
      <c r="I29" s="8634" t="s">
        <v>722</v>
      </c>
    </row>
    <row customHeight="1" ht="11.25">
      <c r="A30" s="8634" t="s">
        <v>2182</v>
      </c>
      <c r="B30" s="8634" t="s">
        <v>14</v>
      </c>
      <c r="C30" s="8634" t="s">
        <v>2311</v>
      </c>
      <c r="D30" s="8634" t="s">
        <v>2312</v>
      </c>
      <c r="E30" s="8634" t="s">
        <v>2313</v>
      </c>
      <c r="F30" s="8634" t="s">
        <v>2314</v>
      </c>
      <c r="G30" s="8634" t="s">
        <v>24</v>
      </c>
      <c r="H30" s="8634" t="s">
        <v>24</v>
      </c>
      <c r="I30" s="8634" t="s">
        <v>722</v>
      </c>
    </row>
    <row customHeight="1" ht="11.25">
      <c r="A31" s="8634" t="s">
        <v>2182</v>
      </c>
      <c r="B31" s="8634" t="s">
        <v>14</v>
      </c>
      <c r="C31" s="8634" t="s">
        <v>2315</v>
      </c>
      <c r="D31" s="8634" t="s">
        <v>2316</v>
      </c>
      <c r="E31" s="8634" t="s">
        <v>2317</v>
      </c>
      <c r="F31" s="8634" t="s">
        <v>2318</v>
      </c>
      <c r="G31" s="8634" t="s">
        <v>24</v>
      </c>
      <c r="H31" s="8634" t="s">
        <v>24</v>
      </c>
      <c r="I31" s="8634" t="s">
        <v>722</v>
      </c>
    </row>
    <row customHeight="1" ht="11.25">
      <c r="A32" s="8634" t="s">
        <v>2182</v>
      </c>
      <c r="B32" s="8634" t="s">
        <v>14</v>
      </c>
      <c r="C32" s="8634" t="s">
        <v>2319</v>
      </c>
      <c r="D32" s="8634" t="s">
        <v>2320</v>
      </c>
      <c r="E32" s="8634" t="s">
        <v>2321</v>
      </c>
      <c r="F32" s="8634" t="s">
        <v>2322</v>
      </c>
      <c r="G32" s="8634" t="s">
        <v>24</v>
      </c>
      <c r="H32" s="8634" t="s">
        <v>24</v>
      </c>
      <c r="I32" s="8634" t="s">
        <v>722</v>
      </c>
    </row>
    <row customHeight="1" ht="11.25">
      <c r="A33" s="8634" t="s">
        <v>2182</v>
      </c>
      <c r="B33" s="8634" t="s">
        <v>14</v>
      </c>
      <c r="C33" s="8634" t="s">
        <v>2323</v>
      </c>
      <c r="D33" s="8634" t="s">
        <v>2324</v>
      </c>
      <c r="E33" s="8634" t="s">
        <v>2325</v>
      </c>
      <c r="F33" s="8634" t="s">
        <v>2318</v>
      </c>
      <c r="G33" s="8634" t="s">
        <v>2326</v>
      </c>
      <c r="H33" s="8634" t="s">
        <v>24</v>
      </c>
      <c r="I33" s="8634" t="s">
        <v>722</v>
      </c>
    </row>
    <row customHeight="1" ht="11.25">
      <c r="A34" s="8634" t="s">
        <v>2182</v>
      </c>
      <c r="B34" s="8634" t="s">
        <v>14</v>
      </c>
      <c r="C34" s="8634" t="s">
        <v>2327</v>
      </c>
      <c r="D34" s="8634" t="s">
        <v>2328</v>
      </c>
      <c r="E34" s="8634" t="s">
        <v>2329</v>
      </c>
      <c r="F34" s="8634" t="s">
        <v>2330</v>
      </c>
      <c r="G34" s="8634" t="s">
        <v>24</v>
      </c>
      <c r="H34" s="8634" t="s">
        <v>24</v>
      </c>
      <c r="I34" s="8634" t="s">
        <v>722</v>
      </c>
    </row>
    <row customHeight="1" ht="11.25">
      <c r="A35" s="8634" t="s">
        <v>2182</v>
      </c>
      <c r="B35" s="8634" t="s">
        <v>14</v>
      </c>
      <c r="C35" s="8634" t="s">
        <v>2331</v>
      </c>
      <c r="D35" s="8634" t="s">
        <v>2332</v>
      </c>
      <c r="E35" s="8634" t="s">
        <v>2333</v>
      </c>
      <c r="F35" s="8634" t="s">
        <v>2334</v>
      </c>
      <c r="G35" s="8634" t="s">
        <v>2335</v>
      </c>
      <c r="H35" s="8634" t="s">
        <v>24</v>
      </c>
      <c r="I35" s="8634" t="s">
        <v>722</v>
      </c>
    </row>
    <row customHeight="1" ht="11.25">
      <c r="A36" s="8634" t="s">
        <v>2182</v>
      </c>
      <c r="B36" s="8634" t="s">
        <v>14</v>
      </c>
      <c r="C36" s="8634" t="s">
        <v>2336</v>
      </c>
      <c r="D36" s="8634" t="s">
        <v>2337</v>
      </c>
      <c r="E36" s="8634" t="s">
        <v>2338</v>
      </c>
      <c r="F36" s="8634" t="s">
        <v>2339</v>
      </c>
      <c r="G36" s="8634" t="s">
        <v>2340</v>
      </c>
      <c r="H36" s="8634" t="s">
        <v>24</v>
      </c>
      <c r="I36" s="8634" t="s">
        <v>722</v>
      </c>
    </row>
    <row customHeight="1" ht="11.25">
      <c r="A37" s="8634" t="s">
        <v>2182</v>
      </c>
      <c r="B37" s="8634" t="s">
        <v>14</v>
      </c>
      <c r="C37" s="8634" t="s">
        <v>2341</v>
      </c>
      <c r="D37" s="8634" t="s">
        <v>2342</v>
      </c>
      <c r="E37" s="8634" t="s">
        <v>2343</v>
      </c>
      <c r="F37" s="8634" t="s">
        <v>2344</v>
      </c>
      <c r="G37" s="8634" t="s">
        <v>2345</v>
      </c>
      <c r="H37" s="8634" t="s">
        <v>24</v>
      </c>
      <c r="I37" s="8634" t="s">
        <v>722</v>
      </c>
    </row>
    <row customHeight="1" ht="11.25">
      <c r="A38" s="8634" t="s">
        <v>2182</v>
      </c>
      <c r="B38" s="8634" t="s">
        <v>14</v>
      </c>
      <c r="C38" s="8634" t="s">
        <v>2346</v>
      </c>
      <c r="D38" s="8634" t="s">
        <v>2347</v>
      </c>
      <c r="E38" s="8634" t="s">
        <v>2348</v>
      </c>
      <c r="F38" s="8634" t="s">
        <v>2349</v>
      </c>
      <c r="G38" s="8634" t="s">
        <v>24</v>
      </c>
      <c r="H38" s="8634" t="s">
        <v>2350</v>
      </c>
      <c r="I38" s="8634" t="s">
        <v>722</v>
      </c>
    </row>
    <row customHeight="1" ht="11.25">
      <c r="A39" s="8634" t="s">
        <v>2182</v>
      </c>
      <c r="B39" s="8634" t="s">
        <v>14</v>
      </c>
      <c r="C39" s="8634" t="s">
        <v>2351</v>
      </c>
      <c r="D39" s="8634" t="s">
        <v>2352</v>
      </c>
      <c r="E39" s="8634" t="s">
        <v>2353</v>
      </c>
      <c r="F39" s="8634" t="s">
        <v>2354</v>
      </c>
      <c r="G39" s="8634" t="s">
        <v>2355</v>
      </c>
      <c r="H39" s="8634" t="s">
        <v>24</v>
      </c>
      <c r="I39" s="8634" t="s">
        <v>722</v>
      </c>
    </row>
    <row customHeight="1" ht="11.25">
      <c r="A40" s="8634" t="s">
        <v>2182</v>
      </c>
      <c r="B40" s="8634" t="s">
        <v>14</v>
      </c>
      <c r="C40" s="8634" t="s">
        <v>2356</v>
      </c>
      <c r="D40" s="8634" t="s">
        <v>2357</v>
      </c>
      <c r="E40" s="8634" t="s">
        <v>2358</v>
      </c>
      <c r="F40" s="8634" t="s">
        <v>2213</v>
      </c>
      <c r="G40" s="8634" t="s">
        <v>2359</v>
      </c>
      <c r="H40" s="8634" t="s">
        <v>24</v>
      </c>
      <c r="I40" s="8634" t="s">
        <v>722</v>
      </c>
    </row>
    <row customHeight="1" ht="11.25">
      <c r="A41" s="8634" t="s">
        <v>2182</v>
      </c>
      <c r="B41" s="8634" t="s">
        <v>14</v>
      </c>
      <c r="C41" s="8634" t="s">
        <v>2360</v>
      </c>
      <c r="D41" s="8634" t="s">
        <v>2361</v>
      </c>
      <c r="E41" s="8634" t="s">
        <v>2362</v>
      </c>
      <c r="F41" s="8634" t="s">
        <v>2363</v>
      </c>
      <c r="G41" s="8634" t="s">
        <v>2364</v>
      </c>
      <c r="H41" s="8634" t="s">
        <v>24</v>
      </c>
      <c r="I41" s="8634" t="s">
        <v>722</v>
      </c>
    </row>
    <row customHeight="1" ht="11.25">
      <c r="A42" s="8634" t="s">
        <v>2182</v>
      </c>
      <c r="B42" s="8634" t="s">
        <v>14</v>
      </c>
      <c r="C42" s="8634" t="s">
        <v>2365</v>
      </c>
      <c r="D42" s="8634" t="s">
        <v>2366</v>
      </c>
      <c r="E42" s="8634" t="s">
        <v>2367</v>
      </c>
      <c r="F42" s="8634" t="s">
        <v>2339</v>
      </c>
      <c r="G42" s="8634" t="s">
        <v>2368</v>
      </c>
      <c r="H42" s="8634" t="s">
        <v>24</v>
      </c>
      <c r="I42" s="8634" t="s">
        <v>722</v>
      </c>
    </row>
    <row customHeight="1" ht="11.25">
      <c r="A43" s="8634" t="s">
        <v>2182</v>
      </c>
      <c r="B43" s="8634" t="s">
        <v>14</v>
      </c>
      <c r="C43" s="8634" t="s">
        <v>2369</v>
      </c>
      <c r="D43" s="8634" t="s">
        <v>2370</v>
      </c>
      <c r="E43" s="8634" t="s">
        <v>2371</v>
      </c>
      <c r="F43" s="8634" t="s">
        <v>2334</v>
      </c>
      <c r="G43" s="8634" t="s">
        <v>2372</v>
      </c>
      <c r="H43" s="8634" t="s">
        <v>24</v>
      </c>
      <c r="I43" s="8634" t="s">
        <v>722</v>
      </c>
    </row>
    <row customHeight="1" ht="11.25">
      <c r="A44" s="8634" t="s">
        <v>2182</v>
      </c>
      <c r="B44" s="8634" t="s">
        <v>14</v>
      </c>
      <c r="C44" s="8634" t="s">
        <v>2373</v>
      </c>
      <c r="D44" s="8634" t="s">
        <v>2374</v>
      </c>
      <c r="E44" s="8634" t="s">
        <v>2375</v>
      </c>
      <c r="F44" s="8634" t="s">
        <v>2376</v>
      </c>
      <c r="G44" s="8634" t="s">
        <v>2377</v>
      </c>
      <c r="H44" s="8634" t="s">
        <v>24</v>
      </c>
      <c r="I44" s="8634" t="s">
        <v>722</v>
      </c>
    </row>
    <row customHeight="1" ht="11.25">
      <c r="A45" s="8634" t="s">
        <v>2182</v>
      </c>
      <c r="B45" s="8634" t="s">
        <v>14</v>
      </c>
      <c r="C45" s="8634" t="s">
        <v>2378</v>
      </c>
      <c r="D45" s="8634" t="s">
        <v>2379</v>
      </c>
      <c r="E45" s="8634" t="s">
        <v>2380</v>
      </c>
      <c r="F45" s="8634" t="s">
        <v>2218</v>
      </c>
      <c r="G45" s="8634" t="s">
        <v>2381</v>
      </c>
      <c r="H45" s="8634" t="s">
        <v>24</v>
      </c>
      <c r="I45" s="8634" t="s">
        <v>722</v>
      </c>
    </row>
    <row customHeight="1" ht="11.25">
      <c r="A46" s="8634" t="s">
        <v>2182</v>
      </c>
      <c r="B46" s="8634" t="s">
        <v>14</v>
      </c>
      <c r="C46" s="8634" t="s">
        <v>2382</v>
      </c>
      <c r="D46" s="8634" t="s">
        <v>2383</v>
      </c>
      <c r="E46" s="8634" t="s">
        <v>2384</v>
      </c>
      <c r="F46" s="8634" t="s">
        <v>2339</v>
      </c>
      <c r="G46" s="8634" t="s">
        <v>2385</v>
      </c>
      <c r="H46" s="8634" t="s">
        <v>24</v>
      </c>
      <c r="I46" s="8634" t="s">
        <v>722</v>
      </c>
    </row>
    <row customHeight="1" ht="11.25">
      <c r="A47" s="8634" t="s">
        <v>2182</v>
      </c>
      <c r="B47" s="8634" t="s">
        <v>14</v>
      </c>
      <c r="C47" s="8634" t="s">
        <v>2386</v>
      </c>
      <c r="D47" s="8634" t="s">
        <v>2387</v>
      </c>
      <c r="E47" s="8634" t="s">
        <v>2388</v>
      </c>
      <c r="F47" s="8634" t="s">
        <v>2389</v>
      </c>
      <c r="G47" s="8634" t="s">
        <v>2390</v>
      </c>
      <c r="H47" s="8634" t="s">
        <v>24</v>
      </c>
      <c r="I47" s="8634" t="s">
        <v>722</v>
      </c>
    </row>
    <row customHeight="1" ht="11.25">
      <c r="A48" s="8634" t="s">
        <v>2182</v>
      </c>
      <c r="B48" s="8634" t="s">
        <v>14</v>
      </c>
      <c r="C48" s="8634" t="s">
        <v>2391</v>
      </c>
      <c r="D48" s="8634" t="s">
        <v>2392</v>
      </c>
      <c r="E48" s="8634" t="s">
        <v>2393</v>
      </c>
      <c r="F48" s="8634" t="s">
        <v>2394</v>
      </c>
      <c r="G48" s="8634" t="s">
        <v>24</v>
      </c>
      <c r="H48" s="8634" t="s">
        <v>24</v>
      </c>
      <c r="I48" s="8634" t="s">
        <v>722</v>
      </c>
    </row>
    <row customHeight="1" ht="11.25">
      <c r="A49" s="8634" t="s">
        <v>2182</v>
      </c>
      <c r="B49" s="8634" t="s">
        <v>14</v>
      </c>
      <c r="C49" s="8634" t="s">
        <v>2395</v>
      </c>
      <c r="D49" s="8634" t="s">
        <v>2396</v>
      </c>
      <c r="E49" s="8634" t="s">
        <v>2397</v>
      </c>
      <c r="F49" s="8634" t="s">
        <v>2398</v>
      </c>
      <c r="G49" s="8634" t="s">
        <v>2399</v>
      </c>
      <c r="H49" s="8634" t="s">
        <v>2400</v>
      </c>
      <c r="I49" s="8634" t="s">
        <v>722</v>
      </c>
    </row>
    <row customHeight="1" ht="11.25">
      <c r="A50" s="8634" t="s">
        <v>2182</v>
      </c>
      <c r="B50" s="8634" t="s">
        <v>14</v>
      </c>
      <c r="C50" s="8634" t="s">
        <v>2401</v>
      </c>
      <c r="D50" s="8634" t="s">
        <v>2402</v>
      </c>
      <c r="E50" s="8634" t="s">
        <v>2403</v>
      </c>
      <c r="F50" s="8634" t="s">
        <v>2404</v>
      </c>
      <c r="G50" s="8634" t="s">
        <v>24</v>
      </c>
      <c r="H50" s="8634" t="s">
        <v>24</v>
      </c>
      <c r="I50" s="8634" t="s">
        <v>722</v>
      </c>
    </row>
    <row customHeight="1" ht="11.25">
      <c r="A51" s="8634" t="s">
        <v>2182</v>
      </c>
      <c r="B51" s="8634" t="s">
        <v>14</v>
      </c>
      <c r="C51" s="8634" t="s">
        <v>2405</v>
      </c>
      <c r="D51" s="8634" t="s">
        <v>2406</v>
      </c>
      <c r="E51" s="8634" t="s">
        <v>2407</v>
      </c>
      <c r="F51" s="8634" t="s">
        <v>2218</v>
      </c>
      <c r="G51" s="8634" t="s">
        <v>24</v>
      </c>
      <c r="H51" s="8634" t="s">
        <v>24</v>
      </c>
      <c r="I51" s="8634" t="s">
        <v>722</v>
      </c>
    </row>
    <row customHeight="1" ht="11.25">
      <c r="A52" s="8634" t="s">
        <v>2182</v>
      </c>
      <c r="B52" s="8634" t="s">
        <v>14</v>
      </c>
      <c r="C52" s="8634" t="s">
        <v>2408</v>
      </c>
      <c r="D52" s="8634" t="s">
        <v>2409</v>
      </c>
      <c r="E52" s="8634" t="s">
        <v>2410</v>
      </c>
      <c r="F52" s="8634" t="s">
        <v>2411</v>
      </c>
      <c r="G52" s="8634" t="s">
        <v>2412</v>
      </c>
      <c r="H52" s="8634" t="s">
        <v>24</v>
      </c>
      <c r="I52" s="8634" t="s">
        <v>722</v>
      </c>
    </row>
    <row customHeight="1" ht="11.25">
      <c r="A53" s="8634" t="s">
        <v>2182</v>
      </c>
      <c r="B53" s="8634" t="s">
        <v>14</v>
      </c>
      <c r="C53" s="8634" t="s">
        <v>2413</v>
      </c>
      <c r="D53" s="8634" t="s">
        <v>2414</v>
      </c>
      <c r="E53" s="8634" t="s">
        <v>2415</v>
      </c>
      <c r="F53" s="8634" t="s">
        <v>2269</v>
      </c>
      <c r="G53" s="8634" t="s">
        <v>2416</v>
      </c>
      <c r="H53" s="8634" t="s">
        <v>24</v>
      </c>
      <c r="I53" s="8634" t="s">
        <v>722</v>
      </c>
    </row>
    <row customHeight="1" ht="11.25">
      <c r="A54" s="8634" t="s">
        <v>2182</v>
      </c>
      <c r="B54" s="8634" t="s">
        <v>14</v>
      </c>
      <c r="C54" s="8634" t="s">
        <v>2417</v>
      </c>
      <c r="D54" s="8634" t="s">
        <v>2418</v>
      </c>
      <c r="E54" s="8634" t="s">
        <v>2419</v>
      </c>
      <c r="F54" s="8634" t="s">
        <v>2228</v>
      </c>
      <c r="G54" s="8634" t="s">
        <v>2420</v>
      </c>
      <c r="H54" s="8634" t="s">
        <v>24</v>
      </c>
      <c r="I54" s="8634" t="s">
        <v>722</v>
      </c>
    </row>
    <row customHeight="1" ht="11.25">
      <c r="A55" s="8634" t="s">
        <v>2182</v>
      </c>
      <c r="B55" s="8634" t="s">
        <v>14</v>
      </c>
      <c r="C55" s="8634" t="s">
        <v>2421</v>
      </c>
      <c r="D55" s="8634" t="s">
        <v>2422</v>
      </c>
      <c r="E55" s="8634" t="s">
        <v>2423</v>
      </c>
      <c r="F55" s="8634" t="s">
        <v>2245</v>
      </c>
      <c r="G55" s="8634" t="s">
        <v>24</v>
      </c>
      <c r="H55" s="8634" t="s">
        <v>24</v>
      </c>
      <c r="I55" s="8634" t="s">
        <v>722</v>
      </c>
    </row>
    <row customHeight="1" ht="11.25">
      <c r="A56" s="8634" t="s">
        <v>2182</v>
      </c>
      <c r="B56" s="8634" t="s">
        <v>14</v>
      </c>
      <c r="C56" s="8634" t="s">
        <v>2424</v>
      </c>
      <c r="D56" s="8634" t="s">
        <v>2425</v>
      </c>
      <c r="E56" s="8634" t="s">
        <v>2426</v>
      </c>
      <c r="F56" s="8634" t="s">
        <v>2398</v>
      </c>
      <c r="G56" s="8634" t="s">
        <v>2427</v>
      </c>
      <c r="H56" s="8634" t="s">
        <v>24</v>
      </c>
      <c r="I56" s="8634" t="s">
        <v>722</v>
      </c>
    </row>
    <row customHeight="1" ht="11.25">
      <c r="A57" s="8634" t="s">
        <v>2182</v>
      </c>
      <c r="B57" s="8634" t="s">
        <v>14</v>
      </c>
      <c r="C57" s="8634" t="s">
        <v>2428</v>
      </c>
      <c r="D57" s="8634" t="s">
        <v>2429</v>
      </c>
      <c r="E57" s="8634" t="s">
        <v>2430</v>
      </c>
      <c r="F57" s="8634" t="s">
        <v>2394</v>
      </c>
      <c r="G57" s="8634" t="s">
        <v>24</v>
      </c>
      <c r="H57" s="8634" t="s">
        <v>24</v>
      </c>
      <c r="I57" s="8634" t="s">
        <v>722</v>
      </c>
    </row>
    <row customHeight="1" ht="11.25">
      <c r="A58" s="8634" t="s">
        <v>2182</v>
      </c>
      <c r="B58" s="8634" t="s">
        <v>14</v>
      </c>
      <c r="C58" s="8634" t="s">
        <v>2431</v>
      </c>
      <c r="D58" s="8634" t="s">
        <v>2432</v>
      </c>
      <c r="E58" s="8634" t="s">
        <v>2433</v>
      </c>
      <c r="F58" s="8634" t="s">
        <v>2269</v>
      </c>
      <c r="G58" s="8634" t="s">
        <v>2434</v>
      </c>
      <c r="H58" s="8634" t="s">
        <v>24</v>
      </c>
      <c r="I58" s="8634" t="s">
        <v>722</v>
      </c>
    </row>
    <row customHeight="1" ht="11.25">
      <c r="A59" s="8634" t="s">
        <v>2182</v>
      </c>
      <c r="B59" s="8634" t="s">
        <v>14</v>
      </c>
      <c r="C59" s="8634" t="s">
        <v>2435</v>
      </c>
      <c r="D59" s="8634" t="s">
        <v>2436</v>
      </c>
      <c r="E59" s="8634" t="s">
        <v>2437</v>
      </c>
      <c r="F59" s="8634" t="s">
        <v>2438</v>
      </c>
      <c r="G59" s="8634" t="s">
        <v>2439</v>
      </c>
      <c r="H59" s="8634" t="s">
        <v>24</v>
      </c>
      <c r="I59" s="8634" t="s">
        <v>722</v>
      </c>
    </row>
    <row customHeight="1" ht="11.25">
      <c r="A60" s="8634" t="s">
        <v>2182</v>
      </c>
      <c r="B60" s="8634" t="s">
        <v>14</v>
      </c>
      <c r="C60" s="8634" t="s">
        <v>2440</v>
      </c>
      <c r="D60" s="8634" t="s">
        <v>2441</v>
      </c>
      <c r="E60" s="8634" t="s">
        <v>2442</v>
      </c>
      <c r="F60" s="8634" t="s">
        <v>2186</v>
      </c>
      <c r="G60" s="8634" t="s">
        <v>2443</v>
      </c>
      <c r="H60" s="8634" t="s">
        <v>24</v>
      </c>
      <c r="I60" s="8634" t="s">
        <v>722</v>
      </c>
    </row>
    <row customHeight="1" ht="11.25">
      <c r="A61" s="8634" t="s">
        <v>2182</v>
      </c>
      <c r="B61" s="8634" t="s">
        <v>14</v>
      </c>
      <c r="C61" s="8634" t="s">
        <v>2444</v>
      </c>
      <c r="D61" s="8634" t="s">
        <v>2445</v>
      </c>
      <c r="E61" s="8634" t="s">
        <v>2446</v>
      </c>
      <c r="F61" s="8634" t="s">
        <v>2447</v>
      </c>
      <c r="G61" s="8634" t="s">
        <v>2448</v>
      </c>
      <c r="H61" s="8634" t="s">
        <v>24</v>
      </c>
      <c r="I61" s="8634" t="s">
        <v>722</v>
      </c>
    </row>
    <row customHeight="1" ht="11.25">
      <c r="A62" s="8634" t="s">
        <v>2182</v>
      </c>
      <c r="B62" s="8634" t="s">
        <v>14</v>
      </c>
      <c r="C62" s="8634" t="s">
        <v>2449</v>
      </c>
      <c r="D62" s="8634" t="s">
        <v>2450</v>
      </c>
      <c r="E62" s="8634" t="s">
        <v>2451</v>
      </c>
      <c r="F62" s="8634" t="s">
        <v>2452</v>
      </c>
      <c r="G62" s="8634" t="s">
        <v>24</v>
      </c>
      <c r="H62" s="8634" t="s">
        <v>24</v>
      </c>
      <c r="I62" s="8634" t="s">
        <v>722</v>
      </c>
    </row>
    <row customHeight="1" ht="11.25">
      <c r="A63" s="8634" t="s">
        <v>2182</v>
      </c>
      <c r="B63" s="8634" t="s">
        <v>14</v>
      </c>
      <c r="C63" s="8634" t="s">
        <v>2453</v>
      </c>
      <c r="D63" s="8634" t="s">
        <v>2454</v>
      </c>
      <c r="E63" s="8634" t="s">
        <v>2455</v>
      </c>
      <c r="F63" s="8634" t="s">
        <v>2398</v>
      </c>
      <c r="G63" s="8634" t="s">
        <v>2456</v>
      </c>
      <c r="H63" s="8634" t="s">
        <v>24</v>
      </c>
      <c r="I63" s="8634" t="s">
        <v>722</v>
      </c>
    </row>
    <row customHeight="1" ht="11.25">
      <c r="A64" s="8634" t="s">
        <v>2182</v>
      </c>
      <c r="B64" s="8634" t="s">
        <v>14</v>
      </c>
      <c r="C64" s="8634" t="s">
        <v>2457</v>
      </c>
      <c r="D64" s="8634" t="s">
        <v>2458</v>
      </c>
      <c r="E64" s="8634" t="s">
        <v>2459</v>
      </c>
      <c r="F64" s="8634" t="s">
        <v>2460</v>
      </c>
      <c r="G64" s="8634" t="s">
        <v>2461</v>
      </c>
      <c r="H64" s="8634" t="s">
        <v>24</v>
      </c>
      <c r="I64" s="8634" t="s">
        <v>722</v>
      </c>
    </row>
    <row customHeight="1" ht="11.25">
      <c r="A65" s="8634" t="s">
        <v>2182</v>
      </c>
      <c r="B65" s="8634" t="s">
        <v>14</v>
      </c>
      <c r="C65" s="8634" t="s">
        <v>2462</v>
      </c>
      <c r="D65" s="8634" t="s">
        <v>2463</v>
      </c>
      <c r="E65" s="8634" t="s">
        <v>2464</v>
      </c>
      <c r="F65" s="8634" t="s">
        <v>2438</v>
      </c>
      <c r="G65" s="8634" t="s">
        <v>2465</v>
      </c>
      <c r="H65" s="8634" t="s">
        <v>24</v>
      </c>
      <c r="I65" s="8634" t="s">
        <v>722</v>
      </c>
    </row>
    <row customHeight="1" ht="11.25">
      <c r="A66" s="8634" t="s">
        <v>2182</v>
      </c>
      <c r="B66" s="8634" t="s">
        <v>14</v>
      </c>
      <c r="C66" s="8634" t="s">
        <v>2466</v>
      </c>
      <c r="D66" s="8634" t="s">
        <v>2467</v>
      </c>
      <c r="E66" s="8634" t="s">
        <v>2468</v>
      </c>
      <c r="F66" s="8634" t="s">
        <v>2469</v>
      </c>
      <c r="G66" s="8634" t="s">
        <v>24</v>
      </c>
      <c r="H66" s="8634" t="s">
        <v>24</v>
      </c>
      <c r="I66" s="8634" t="s">
        <v>722</v>
      </c>
    </row>
    <row customHeight="1" ht="11.25">
      <c r="A67" s="8634" t="s">
        <v>2182</v>
      </c>
      <c r="B67" s="8634" t="s">
        <v>14</v>
      </c>
      <c r="C67" s="8634" t="s">
        <v>2470</v>
      </c>
      <c r="D67" s="8634" t="s">
        <v>2471</v>
      </c>
      <c r="E67" s="8634" t="s">
        <v>2472</v>
      </c>
      <c r="F67" s="8634" t="s">
        <v>2473</v>
      </c>
      <c r="G67" s="8634" t="s">
        <v>24</v>
      </c>
      <c r="H67" s="8634" t="s">
        <v>24</v>
      </c>
      <c r="I67" s="8634" t="s">
        <v>722</v>
      </c>
    </row>
    <row customHeight="1" ht="11.25">
      <c r="A68" s="8634" t="s">
        <v>2182</v>
      </c>
      <c r="B68" s="8634" t="s">
        <v>14</v>
      </c>
      <c r="C68" s="8634" t="s">
        <v>2474</v>
      </c>
      <c r="D68" s="8634" t="s">
        <v>2475</v>
      </c>
      <c r="E68" s="8634" t="s">
        <v>2476</v>
      </c>
      <c r="F68" s="8634" t="s">
        <v>2477</v>
      </c>
      <c r="G68" s="8634" t="s">
        <v>2478</v>
      </c>
      <c r="H68" s="8634" t="s">
        <v>24</v>
      </c>
      <c r="I68" s="8634" t="s">
        <v>722</v>
      </c>
    </row>
    <row customHeight="1" ht="11.25">
      <c r="A69" s="8634" t="s">
        <v>2182</v>
      </c>
      <c r="B69" s="8634" t="s">
        <v>14</v>
      </c>
      <c r="C69" s="8634" t="s">
        <v>2479</v>
      </c>
      <c r="D69" s="8634" t="s">
        <v>2480</v>
      </c>
      <c r="E69" s="8634" t="s">
        <v>2481</v>
      </c>
      <c r="F69" s="8634" t="s">
        <v>2233</v>
      </c>
      <c r="G69" s="8634" t="s">
        <v>2482</v>
      </c>
      <c r="H69" s="8634" t="s">
        <v>24</v>
      </c>
      <c r="I69" s="8634" t="s">
        <v>722</v>
      </c>
    </row>
    <row customHeight="1" ht="11.25">
      <c r="A70" s="8634" t="s">
        <v>2182</v>
      </c>
      <c r="B70" s="8634" t="s">
        <v>14</v>
      </c>
      <c r="C70" s="8634" t="s">
        <v>2483</v>
      </c>
      <c r="D70" s="8634" t="s">
        <v>2484</v>
      </c>
      <c r="E70" s="8634" t="s">
        <v>2485</v>
      </c>
      <c r="F70" s="8634" t="s">
        <v>2186</v>
      </c>
      <c r="G70" s="8634" t="s">
        <v>2486</v>
      </c>
      <c r="H70" s="8634" t="s">
        <v>24</v>
      </c>
      <c r="I70" s="8634" t="s">
        <v>722</v>
      </c>
    </row>
    <row customHeight="1" ht="11.25">
      <c r="A71" s="8634" t="s">
        <v>2182</v>
      </c>
      <c r="B71" s="8634" t="s">
        <v>14</v>
      </c>
      <c r="C71" s="8634" t="s">
        <v>2487</v>
      </c>
      <c r="D71" s="8634" t="s">
        <v>2488</v>
      </c>
      <c r="E71" s="8634" t="s">
        <v>2199</v>
      </c>
      <c r="F71" s="8634" t="s">
        <v>2269</v>
      </c>
      <c r="G71" s="8634" t="s">
        <v>2201</v>
      </c>
      <c r="H71" s="8634" t="s">
        <v>24</v>
      </c>
      <c r="I71" s="8634" t="s">
        <v>722</v>
      </c>
    </row>
    <row customHeight="1" ht="11.25">
      <c r="A72" s="8634" t="s">
        <v>2182</v>
      </c>
      <c r="B72" s="8634" t="s">
        <v>14</v>
      </c>
      <c r="C72" s="8634" t="s">
        <v>2489</v>
      </c>
      <c r="D72" s="8634" t="s">
        <v>2490</v>
      </c>
      <c r="E72" s="8634" t="s">
        <v>2491</v>
      </c>
      <c r="F72" s="8634" t="s">
        <v>2492</v>
      </c>
      <c r="G72" s="8634" t="s">
        <v>2493</v>
      </c>
      <c r="H72" s="8634" t="s">
        <v>24</v>
      </c>
      <c r="I72" s="8634" t="s">
        <v>722</v>
      </c>
    </row>
    <row customHeight="1" ht="11.25">
      <c r="A73" s="8634" t="s">
        <v>2182</v>
      </c>
      <c r="B73" s="8634" t="s">
        <v>14</v>
      </c>
      <c r="C73" s="8634" t="s">
        <v>2494</v>
      </c>
      <c r="D73" s="8634" t="s">
        <v>2495</v>
      </c>
      <c r="E73" s="8634" t="s">
        <v>2496</v>
      </c>
      <c r="F73" s="8634" t="s">
        <v>2438</v>
      </c>
      <c r="G73" s="8634" t="s">
        <v>2497</v>
      </c>
      <c r="H73" s="8634" t="s">
        <v>24</v>
      </c>
      <c r="I73" s="8634" t="s">
        <v>722</v>
      </c>
    </row>
    <row customHeight="1" ht="11.25">
      <c r="A74" s="8634" t="s">
        <v>2182</v>
      </c>
      <c r="B74" s="8634" t="s">
        <v>14</v>
      </c>
      <c r="C74" s="8634" t="s">
        <v>2498</v>
      </c>
      <c r="D74" s="8634" t="s">
        <v>2499</v>
      </c>
      <c r="E74" s="8634" t="s">
        <v>2500</v>
      </c>
      <c r="F74" s="8634" t="s">
        <v>2218</v>
      </c>
      <c r="G74" s="8634" t="s">
        <v>2501</v>
      </c>
      <c r="H74" s="8634" t="s">
        <v>24</v>
      </c>
      <c r="I74" s="8634" t="s">
        <v>722</v>
      </c>
    </row>
    <row customHeight="1" ht="11.25">
      <c r="A75" s="8634" t="s">
        <v>2182</v>
      </c>
      <c r="B75" s="8634" t="s">
        <v>14</v>
      </c>
      <c r="C75" s="8634" t="s">
        <v>2502</v>
      </c>
      <c r="D75" s="8634" t="s">
        <v>2503</v>
      </c>
      <c r="E75" s="8634" t="s">
        <v>2504</v>
      </c>
      <c r="F75" s="8634" t="s">
        <v>2438</v>
      </c>
      <c r="G75" s="8634" t="s">
        <v>2505</v>
      </c>
      <c r="H75" s="8634" t="s">
        <v>24</v>
      </c>
      <c r="I75" s="8634" t="s">
        <v>722</v>
      </c>
    </row>
    <row customHeight="1" ht="11.25">
      <c r="A76" s="8634" t="s">
        <v>2182</v>
      </c>
      <c r="B76" s="8634" t="s">
        <v>14</v>
      </c>
      <c r="C76" s="8634" t="s">
        <v>2506</v>
      </c>
      <c r="D76" s="8634" t="s">
        <v>2507</v>
      </c>
      <c r="E76" s="8634" t="s">
        <v>2508</v>
      </c>
      <c r="F76" s="8634" t="s">
        <v>2339</v>
      </c>
      <c r="G76" s="8634" t="s">
        <v>24</v>
      </c>
      <c r="H76" s="8634" t="s">
        <v>24</v>
      </c>
      <c r="I76" s="8634" t="s">
        <v>722</v>
      </c>
    </row>
    <row customHeight="1" ht="11.25">
      <c r="A77" s="8634" t="s">
        <v>2182</v>
      </c>
      <c r="B77" s="8634" t="s">
        <v>14</v>
      </c>
      <c r="C77" s="8634" t="s">
        <v>2509</v>
      </c>
      <c r="D77" s="8634" t="s">
        <v>2510</v>
      </c>
      <c r="E77" s="8634" t="s">
        <v>2511</v>
      </c>
      <c r="F77" s="8634" t="s">
        <v>2512</v>
      </c>
      <c r="G77" s="8634" t="s">
        <v>2513</v>
      </c>
      <c r="H77" s="8634" t="s">
        <v>24</v>
      </c>
      <c r="I77" s="8634" t="s">
        <v>722</v>
      </c>
    </row>
    <row customHeight="1" ht="11.25">
      <c r="A78" s="8634" t="s">
        <v>2182</v>
      </c>
      <c r="B78" s="8634" t="s">
        <v>14</v>
      </c>
      <c r="C78" s="8634" t="s">
        <v>2514</v>
      </c>
      <c r="D78" s="8634" t="s">
        <v>2515</v>
      </c>
      <c r="E78" s="8634" t="s">
        <v>2516</v>
      </c>
      <c r="F78" s="8634" t="s">
        <v>2411</v>
      </c>
      <c r="G78" s="8634" t="s">
        <v>2517</v>
      </c>
      <c r="H78" s="8634" t="s">
        <v>24</v>
      </c>
      <c r="I78" s="8634" t="s">
        <v>722</v>
      </c>
    </row>
    <row customHeight="1" ht="11.25">
      <c r="A79" s="8634" t="s">
        <v>2182</v>
      </c>
      <c r="B79" s="8634" t="s">
        <v>14</v>
      </c>
      <c r="C79" s="8634" t="s">
        <v>2518</v>
      </c>
      <c r="D79" s="8634" t="s">
        <v>2519</v>
      </c>
      <c r="E79" s="8634" t="s">
        <v>2520</v>
      </c>
      <c r="F79" s="8634" t="s">
        <v>2269</v>
      </c>
      <c r="G79" s="8634" t="s">
        <v>2521</v>
      </c>
      <c r="H79" s="8634" t="s">
        <v>24</v>
      </c>
      <c r="I79" s="8634" t="s">
        <v>722</v>
      </c>
    </row>
    <row customHeight="1" ht="11.25">
      <c r="A80" s="8634" t="s">
        <v>2182</v>
      </c>
      <c r="B80" s="8634" t="s">
        <v>14</v>
      </c>
      <c r="C80" s="8634" t="s">
        <v>2522</v>
      </c>
      <c r="D80" s="8634" t="s">
        <v>2523</v>
      </c>
      <c r="E80" s="8634" t="s">
        <v>2524</v>
      </c>
      <c r="F80" s="8634" t="s">
        <v>2477</v>
      </c>
      <c r="G80" s="8634" t="s">
        <v>24</v>
      </c>
      <c r="H80" s="8634" t="s">
        <v>24</v>
      </c>
      <c r="I80" s="8634" t="s">
        <v>722</v>
      </c>
    </row>
    <row customHeight="1" ht="11.25">
      <c r="A81" s="8634" t="s">
        <v>2182</v>
      </c>
      <c r="B81" s="8634" t="s">
        <v>14</v>
      </c>
      <c r="C81" s="8634" t="s">
        <v>2525</v>
      </c>
      <c r="D81" s="8634" t="s">
        <v>2526</v>
      </c>
      <c r="E81" s="8634" t="s">
        <v>2527</v>
      </c>
      <c r="F81" s="8634" t="s">
        <v>2438</v>
      </c>
      <c r="G81" s="8634" t="s">
        <v>24</v>
      </c>
      <c r="H81" s="8634" t="s">
        <v>24</v>
      </c>
      <c r="I81" s="8634" t="s">
        <v>722</v>
      </c>
    </row>
    <row customHeight="1" ht="11.25">
      <c r="A82" s="8634" t="s">
        <v>2182</v>
      </c>
      <c r="B82" s="8634" t="s">
        <v>14</v>
      </c>
      <c r="C82" s="8634" t="s">
        <v>2528</v>
      </c>
      <c r="D82" s="8634" t="s">
        <v>2529</v>
      </c>
      <c r="E82" s="8634" t="s">
        <v>2530</v>
      </c>
      <c r="F82" s="8634" t="s">
        <v>2218</v>
      </c>
      <c r="G82" s="8634" t="s">
        <v>2531</v>
      </c>
      <c r="H82" s="8634" t="s">
        <v>24</v>
      </c>
      <c r="I82" s="8634" t="s">
        <v>722</v>
      </c>
    </row>
    <row customHeight="1" ht="11.25">
      <c r="A83" s="8634" t="s">
        <v>2182</v>
      </c>
      <c r="B83" s="8634" t="s">
        <v>14</v>
      </c>
      <c r="C83" s="8634" t="s">
        <v>2532</v>
      </c>
      <c r="D83" s="8634" t="s">
        <v>2533</v>
      </c>
      <c r="E83" s="8634" t="s">
        <v>2534</v>
      </c>
      <c r="F83" s="8634" t="s">
        <v>2228</v>
      </c>
      <c r="G83" s="8634" t="s">
        <v>24</v>
      </c>
      <c r="H83" s="8634" t="s">
        <v>24</v>
      </c>
      <c r="I83" s="8634" t="s">
        <v>722</v>
      </c>
    </row>
    <row customHeight="1" ht="11.25">
      <c r="A84" s="8634" t="s">
        <v>2182</v>
      </c>
      <c r="B84" s="8634" t="s">
        <v>14</v>
      </c>
      <c r="C84" s="8634" t="s">
        <v>2535</v>
      </c>
      <c r="D84" s="8634" t="s">
        <v>2536</v>
      </c>
      <c r="E84" s="8634" t="s">
        <v>2537</v>
      </c>
      <c r="F84" s="8634" t="s">
        <v>2398</v>
      </c>
      <c r="G84" s="8634" t="s">
        <v>2538</v>
      </c>
      <c r="H84" s="8634" t="s">
        <v>24</v>
      </c>
      <c r="I84" s="8634" t="s">
        <v>722</v>
      </c>
    </row>
    <row customHeight="1" ht="11.25">
      <c r="A85" s="8634" t="s">
        <v>2182</v>
      </c>
      <c r="B85" s="8634" t="s">
        <v>14</v>
      </c>
      <c r="C85" s="8634" t="s">
        <v>2539</v>
      </c>
      <c r="D85" s="8634" t="s">
        <v>2540</v>
      </c>
      <c r="E85" s="8634" t="s">
        <v>2541</v>
      </c>
      <c r="F85" s="8634" t="s">
        <v>2322</v>
      </c>
      <c r="G85" s="8634" t="s">
        <v>24</v>
      </c>
      <c r="H85" s="8634" t="s">
        <v>24</v>
      </c>
      <c r="I85" s="8634" t="s">
        <v>722</v>
      </c>
    </row>
    <row customHeight="1" ht="11.25">
      <c r="A86" s="8634" t="s">
        <v>2182</v>
      </c>
      <c r="B86" s="8634" t="s">
        <v>14</v>
      </c>
      <c r="C86" s="8634" t="s">
        <v>2542</v>
      </c>
      <c r="D86" s="8634" t="s">
        <v>2543</v>
      </c>
      <c r="E86" s="8634" t="s">
        <v>2544</v>
      </c>
      <c r="F86" s="8634" t="s">
        <v>2363</v>
      </c>
      <c r="G86" s="8634" t="s">
        <v>2545</v>
      </c>
      <c r="H86" s="8634" t="s">
        <v>24</v>
      </c>
      <c r="I86" s="8634" t="s">
        <v>722</v>
      </c>
    </row>
    <row customHeight="1" ht="11.25">
      <c r="A87" s="8634" t="s">
        <v>2182</v>
      </c>
      <c r="B87" s="8634" t="s">
        <v>14</v>
      </c>
      <c r="C87" s="8634" t="s">
        <v>2546</v>
      </c>
      <c r="D87" s="8634" t="s">
        <v>2547</v>
      </c>
      <c r="E87" s="8634" t="s">
        <v>2548</v>
      </c>
      <c r="F87" s="8634" t="s">
        <v>2549</v>
      </c>
      <c r="G87" s="8634" t="s">
        <v>2550</v>
      </c>
      <c r="H87" s="8634" t="s">
        <v>24</v>
      </c>
      <c r="I87" s="8634" t="s">
        <v>722</v>
      </c>
    </row>
    <row customHeight="1" ht="11.25">
      <c r="A88" s="8634" t="s">
        <v>2182</v>
      </c>
      <c r="B88" s="8634" t="s">
        <v>14</v>
      </c>
      <c r="C88" s="8634" t="s">
        <v>2551</v>
      </c>
      <c r="D88" s="8634" t="s">
        <v>2552</v>
      </c>
      <c r="E88" s="8634" t="s">
        <v>2553</v>
      </c>
      <c r="F88" s="8634" t="s">
        <v>2554</v>
      </c>
      <c r="G88" s="8634" t="s">
        <v>2555</v>
      </c>
      <c r="H88" s="8634" t="s">
        <v>24</v>
      </c>
      <c r="I88" s="8634" t="s">
        <v>722</v>
      </c>
    </row>
    <row customHeight="1" ht="11.25">
      <c r="A89" s="8634" t="s">
        <v>2182</v>
      </c>
      <c r="B89" s="8634" t="s">
        <v>14</v>
      </c>
      <c r="C89" s="8634" t="s">
        <v>2556</v>
      </c>
      <c r="D89" s="8634" t="s">
        <v>2557</v>
      </c>
      <c r="E89" s="8634" t="s">
        <v>2558</v>
      </c>
      <c r="F89" s="8634" t="s">
        <v>2213</v>
      </c>
      <c r="G89" s="8634" t="s">
        <v>2559</v>
      </c>
      <c r="H89" s="8634" t="s">
        <v>24</v>
      </c>
      <c r="I89" s="8634" t="s">
        <v>722</v>
      </c>
    </row>
    <row customHeight="1" ht="11.25">
      <c r="A90" s="8634" t="s">
        <v>2182</v>
      </c>
      <c r="B90" s="8634" t="s">
        <v>14</v>
      </c>
      <c r="C90" s="8634" t="s">
        <v>2560</v>
      </c>
      <c r="D90" s="8634" t="s">
        <v>2561</v>
      </c>
      <c r="E90" s="8634" t="s">
        <v>2562</v>
      </c>
      <c r="F90" s="8634" t="s">
        <v>2563</v>
      </c>
      <c r="G90" s="8634" t="s">
        <v>24</v>
      </c>
      <c r="H90" s="8634" t="s">
        <v>24</v>
      </c>
      <c r="I90" s="8634" t="s">
        <v>722</v>
      </c>
    </row>
    <row customHeight="1" ht="11.25">
      <c r="A91" s="8634" t="s">
        <v>2182</v>
      </c>
      <c r="B91" s="8634" t="s">
        <v>14</v>
      </c>
      <c r="C91" s="8634" t="s">
        <v>2564</v>
      </c>
      <c r="D91" s="8634" t="s">
        <v>2565</v>
      </c>
      <c r="E91" s="8634" t="s">
        <v>2566</v>
      </c>
      <c r="F91" s="8634" t="s">
        <v>2567</v>
      </c>
      <c r="G91" s="8634" t="s">
        <v>24</v>
      </c>
      <c r="H91" s="8634" t="s">
        <v>24</v>
      </c>
      <c r="I91" s="8634" t="s">
        <v>722</v>
      </c>
    </row>
    <row customHeight="1" ht="11.25">
      <c r="A92" s="8634" t="s">
        <v>2182</v>
      </c>
      <c r="B92" s="8634" t="s">
        <v>14</v>
      </c>
      <c r="C92" s="8634" t="s">
        <v>2568</v>
      </c>
      <c r="D92" s="8634" t="s">
        <v>2569</v>
      </c>
      <c r="E92" s="8634" t="s">
        <v>2570</v>
      </c>
      <c r="F92" s="8634" t="s">
        <v>2213</v>
      </c>
      <c r="G92" s="8634" t="s">
        <v>2571</v>
      </c>
      <c r="H92" s="8634" t="s">
        <v>24</v>
      </c>
      <c r="I92" s="8634" t="s">
        <v>722</v>
      </c>
    </row>
    <row customHeight="1" ht="11.25">
      <c r="A93" s="8634" t="s">
        <v>2182</v>
      </c>
      <c r="B93" s="8634" t="s">
        <v>14</v>
      </c>
      <c r="C93" s="8634" t="s">
        <v>2572</v>
      </c>
      <c r="D93" s="8634" t="s">
        <v>2573</v>
      </c>
      <c r="E93" s="8634" t="s">
        <v>2574</v>
      </c>
      <c r="F93" s="8634" t="s">
        <v>2473</v>
      </c>
      <c r="G93" s="8634" t="s">
        <v>2575</v>
      </c>
      <c r="H93" s="8634" t="s">
        <v>24</v>
      </c>
      <c r="I93" s="8634" t="s">
        <v>722</v>
      </c>
    </row>
    <row customHeight="1" ht="11.25">
      <c r="A94" s="8634" t="s">
        <v>2182</v>
      </c>
      <c r="B94" s="8634" t="s">
        <v>14</v>
      </c>
      <c r="C94" s="8634" t="s">
        <v>2576</v>
      </c>
      <c r="D94" s="8634" t="s">
        <v>2577</v>
      </c>
      <c r="E94" s="8634" t="s">
        <v>2578</v>
      </c>
      <c r="F94" s="8634" t="s">
        <v>2438</v>
      </c>
      <c r="G94" s="8634" t="s">
        <v>2482</v>
      </c>
      <c r="H94" s="8634" t="s">
        <v>24</v>
      </c>
      <c r="I94" s="8634" t="s">
        <v>722</v>
      </c>
    </row>
    <row customHeight="1" ht="11.25">
      <c r="A95" s="8634" t="s">
        <v>2182</v>
      </c>
      <c r="B95" s="8634" t="s">
        <v>14</v>
      </c>
      <c r="C95" s="8634" t="s">
        <v>2579</v>
      </c>
      <c r="D95" s="8634" t="s">
        <v>2580</v>
      </c>
      <c r="E95" s="8634" t="s">
        <v>2581</v>
      </c>
      <c r="F95" s="8634" t="s">
        <v>2228</v>
      </c>
      <c r="G95" s="8634" t="s">
        <v>2582</v>
      </c>
      <c r="H95" s="8634" t="s">
        <v>24</v>
      </c>
      <c r="I95" s="8634" t="s">
        <v>722</v>
      </c>
    </row>
    <row customHeight="1" ht="11.25">
      <c r="A96" s="8634" t="s">
        <v>2182</v>
      </c>
      <c r="B96" s="8634" t="s">
        <v>14</v>
      </c>
      <c r="C96" s="8634" t="s">
        <v>2583</v>
      </c>
      <c r="D96" s="8634" t="s">
        <v>2584</v>
      </c>
      <c r="E96" s="8634" t="s">
        <v>2585</v>
      </c>
      <c r="F96" s="8634" t="s">
        <v>2586</v>
      </c>
      <c r="G96" s="8634" t="s">
        <v>24</v>
      </c>
      <c r="H96" s="8634" t="s">
        <v>24</v>
      </c>
      <c r="I96" s="8634" t="s">
        <v>722</v>
      </c>
    </row>
    <row customHeight="1" ht="11.25">
      <c r="A97" s="8634" t="s">
        <v>2182</v>
      </c>
      <c r="B97" s="8634" t="s">
        <v>14</v>
      </c>
      <c r="C97" s="8634" t="s">
        <v>2587</v>
      </c>
      <c r="D97" s="8634" t="s">
        <v>2584</v>
      </c>
      <c r="E97" s="8634" t="s">
        <v>2585</v>
      </c>
      <c r="F97" s="8634" t="s">
        <v>2318</v>
      </c>
      <c r="G97" s="8634" t="s">
        <v>24</v>
      </c>
      <c r="H97" s="8634" t="s">
        <v>24</v>
      </c>
      <c r="I97" s="8634" t="s">
        <v>722</v>
      </c>
    </row>
    <row customHeight="1" ht="11.25">
      <c r="A98" s="8634" t="s">
        <v>2182</v>
      </c>
      <c r="B98" s="8634" t="s">
        <v>14</v>
      </c>
      <c r="C98" s="8634" t="s">
        <v>2588</v>
      </c>
      <c r="D98" s="8634" t="s">
        <v>2589</v>
      </c>
      <c r="E98" s="8634" t="s">
        <v>2590</v>
      </c>
      <c r="F98" s="8634" t="s">
        <v>2563</v>
      </c>
      <c r="G98" s="8634" t="s">
        <v>2591</v>
      </c>
      <c r="H98" s="8634" t="s">
        <v>24</v>
      </c>
      <c r="I98" s="8634" t="s">
        <v>722</v>
      </c>
    </row>
    <row customHeight="1" ht="11.25">
      <c r="A99" s="8634" t="s">
        <v>2182</v>
      </c>
      <c r="B99" s="8634" t="s">
        <v>14</v>
      </c>
      <c r="C99" s="8634" t="s">
        <v>2592</v>
      </c>
      <c r="D99" s="8634" t="s">
        <v>2593</v>
      </c>
      <c r="E99" s="8634" t="s">
        <v>2594</v>
      </c>
      <c r="F99" s="8634" t="s">
        <v>2595</v>
      </c>
      <c r="G99" s="8634" t="s">
        <v>2596</v>
      </c>
      <c r="H99" s="8634" t="s">
        <v>24</v>
      </c>
      <c r="I99" s="8634" t="s">
        <v>722</v>
      </c>
    </row>
    <row customHeight="1" ht="11.25">
      <c r="A100" s="8634" t="s">
        <v>2182</v>
      </c>
      <c r="B100" s="8634" t="s">
        <v>14</v>
      </c>
      <c r="C100" s="8634" t="s">
        <v>2597</v>
      </c>
      <c r="D100" s="8634" t="s">
        <v>2598</v>
      </c>
      <c r="E100" s="8634" t="s">
        <v>2599</v>
      </c>
      <c r="F100" s="8634" t="s">
        <v>2600</v>
      </c>
      <c r="G100" s="8634" t="s">
        <v>2601</v>
      </c>
      <c r="H100" s="8634" t="s">
        <v>24</v>
      </c>
      <c r="I100" s="8634" t="s">
        <v>722</v>
      </c>
    </row>
    <row customHeight="1" ht="11.25">
      <c r="A101" s="8634" t="s">
        <v>2182</v>
      </c>
      <c r="B101" s="8634" t="s">
        <v>14</v>
      </c>
      <c r="C101" s="8634" t="s">
        <v>2602</v>
      </c>
      <c r="D101" s="8634" t="s">
        <v>2603</v>
      </c>
      <c r="E101" s="8634" t="s">
        <v>2604</v>
      </c>
      <c r="F101" s="8634" t="s">
        <v>2339</v>
      </c>
      <c r="G101" s="8634" t="s">
        <v>2605</v>
      </c>
      <c r="H101" s="8634" t="s">
        <v>24</v>
      </c>
      <c r="I101" s="8634" t="s">
        <v>722</v>
      </c>
    </row>
    <row customHeight="1" ht="11.25">
      <c r="A102" s="8634" t="s">
        <v>2182</v>
      </c>
      <c r="B102" s="8634" t="s">
        <v>14</v>
      </c>
      <c r="C102" s="8634" t="s">
        <v>2606</v>
      </c>
      <c r="D102" s="8634" t="s">
        <v>2607</v>
      </c>
      <c r="E102" s="8634" t="s">
        <v>2608</v>
      </c>
      <c r="F102" s="8634" t="s">
        <v>2334</v>
      </c>
      <c r="G102" s="8634" t="s">
        <v>2609</v>
      </c>
      <c r="H102" s="8634" t="s">
        <v>24</v>
      </c>
      <c r="I102" s="8634" t="s">
        <v>722</v>
      </c>
    </row>
    <row customHeight="1" ht="11.25">
      <c r="A103" s="8634" t="s">
        <v>2182</v>
      </c>
      <c r="B103" s="8634" t="s">
        <v>14</v>
      </c>
      <c r="C103" s="8634" t="s">
        <v>2610</v>
      </c>
      <c r="D103" s="8634" t="s">
        <v>2611</v>
      </c>
      <c r="E103" s="8634" t="s">
        <v>2612</v>
      </c>
      <c r="F103" s="8634" t="s">
        <v>2613</v>
      </c>
      <c r="G103" s="8634" t="s">
        <v>2614</v>
      </c>
      <c r="H103" s="8634" t="s">
        <v>24</v>
      </c>
      <c r="I103" s="8634" t="s">
        <v>722</v>
      </c>
    </row>
    <row customHeight="1" ht="11.25">
      <c r="A104" s="8634" t="s">
        <v>2182</v>
      </c>
      <c r="B104" s="8634" t="s">
        <v>14</v>
      </c>
      <c r="C104" s="8634" t="s">
        <v>2615</v>
      </c>
      <c r="D104" s="8634" t="s">
        <v>2616</v>
      </c>
      <c r="E104" s="8634" t="s">
        <v>2617</v>
      </c>
      <c r="F104" s="8634" t="s">
        <v>2334</v>
      </c>
      <c r="G104" s="8634" t="s">
        <v>2618</v>
      </c>
      <c r="H104" s="8634" t="s">
        <v>24</v>
      </c>
      <c r="I104" s="8634" t="s">
        <v>722</v>
      </c>
    </row>
    <row customHeight="1" ht="11.25">
      <c r="A105" s="8634" t="s">
        <v>2182</v>
      </c>
      <c r="B105" s="8634" t="s">
        <v>14</v>
      </c>
      <c r="C105" s="8634" t="s">
        <v>2619</v>
      </c>
      <c r="D105" s="8634" t="s">
        <v>2620</v>
      </c>
      <c r="E105" s="8634" t="s">
        <v>2621</v>
      </c>
      <c r="F105" s="8634" t="s">
        <v>2213</v>
      </c>
      <c r="G105" s="8634" t="s">
        <v>2622</v>
      </c>
      <c r="H105" s="8634" t="s">
        <v>24</v>
      </c>
      <c r="I105" s="8634" t="s">
        <v>722</v>
      </c>
    </row>
    <row customHeight="1" ht="11.25">
      <c r="A106" s="8634" t="s">
        <v>2182</v>
      </c>
      <c r="B106" s="8634" t="s">
        <v>14</v>
      </c>
      <c r="C106" s="8634" t="s">
        <v>2623</v>
      </c>
      <c r="D106" s="8634" t="s">
        <v>2624</v>
      </c>
      <c r="E106" s="8634" t="s">
        <v>2625</v>
      </c>
      <c r="F106" s="8634" t="s">
        <v>2626</v>
      </c>
      <c r="G106" s="8634" t="s">
        <v>24</v>
      </c>
      <c r="H106" s="8634" t="s">
        <v>24</v>
      </c>
      <c r="I106" s="8634" t="s">
        <v>722</v>
      </c>
    </row>
    <row customHeight="1" ht="11.25">
      <c r="A107" s="8634" t="s">
        <v>2182</v>
      </c>
      <c r="B107" s="8634" t="s">
        <v>14</v>
      </c>
      <c r="C107" s="8634" t="s">
        <v>2627</v>
      </c>
      <c r="D107" s="8634" t="s">
        <v>2628</v>
      </c>
      <c r="E107" s="8634" t="s">
        <v>2629</v>
      </c>
      <c r="F107" s="8634" t="s">
        <v>2363</v>
      </c>
      <c r="G107" s="8634" t="s">
        <v>2630</v>
      </c>
      <c r="H107" s="8634" t="s">
        <v>24</v>
      </c>
      <c r="I107" s="8634" t="s">
        <v>722</v>
      </c>
    </row>
    <row customHeight="1" ht="11.25">
      <c r="A108" s="8634" t="s">
        <v>2182</v>
      </c>
      <c r="B108" s="8634" t="s">
        <v>14</v>
      </c>
      <c r="C108" s="8634" t="s">
        <v>2631</v>
      </c>
      <c r="D108" s="8634" t="s">
        <v>2632</v>
      </c>
      <c r="E108" s="8634" t="s">
        <v>2633</v>
      </c>
      <c r="F108" s="8634" t="s">
        <v>2492</v>
      </c>
      <c r="G108" s="8634" t="s">
        <v>2634</v>
      </c>
      <c r="H108" s="8634" t="s">
        <v>24</v>
      </c>
      <c r="I108" s="8634" t="s">
        <v>722</v>
      </c>
    </row>
    <row customHeight="1" ht="11.25">
      <c r="A109" s="8634" t="s">
        <v>2182</v>
      </c>
      <c r="B109" s="8634" t="s">
        <v>14</v>
      </c>
      <c r="C109" s="8634" t="s">
        <v>2635</v>
      </c>
      <c r="D109" s="8634" t="s">
        <v>2636</v>
      </c>
      <c r="E109" s="8634" t="s">
        <v>2637</v>
      </c>
      <c r="F109" s="8634" t="s">
        <v>2512</v>
      </c>
      <c r="G109" s="8634" t="s">
        <v>2638</v>
      </c>
      <c r="H109" s="8634" t="s">
        <v>2187</v>
      </c>
      <c r="I109" s="8634" t="s">
        <v>722</v>
      </c>
    </row>
    <row customHeight="1" ht="11.25">
      <c r="A110" s="8634" t="s">
        <v>2182</v>
      </c>
      <c r="B110" s="8634" t="s">
        <v>14</v>
      </c>
      <c r="C110" s="8634" t="s">
        <v>2639</v>
      </c>
      <c r="D110" s="8634" t="s">
        <v>2640</v>
      </c>
      <c r="E110" s="8634" t="s">
        <v>2641</v>
      </c>
      <c r="F110" s="8634" t="s">
        <v>2218</v>
      </c>
      <c r="G110" s="8634" t="s">
        <v>24</v>
      </c>
      <c r="H110" s="8634" t="s">
        <v>24</v>
      </c>
      <c r="I110" s="8634" t="s">
        <v>722</v>
      </c>
    </row>
    <row customHeight="1" ht="11.25">
      <c r="A111" s="8634" t="s">
        <v>2182</v>
      </c>
      <c r="B111" s="8634" t="s">
        <v>14</v>
      </c>
      <c r="C111" s="8634" t="s">
        <v>2642</v>
      </c>
      <c r="D111" s="8634" t="s">
        <v>2643</v>
      </c>
      <c r="E111" s="8634" t="s">
        <v>2644</v>
      </c>
      <c r="F111" s="8634" t="s">
        <v>2512</v>
      </c>
      <c r="G111" s="8634" t="s">
        <v>24</v>
      </c>
      <c r="H111" s="8634" t="s">
        <v>24</v>
      </c>
      <c r="I111" s="8634" t="s">
        <v>722</v>
      </c>
    </row>
    <row customHeight="1" ht="11.25">
      <c r="A112" s="8634" t="s">
        <v>2182</v>
      </c>
      <c r="B112" s="8634" t="s">
        <v>14</v>
      </c>
      <c r="C112" s="8634" t="s">
        <v>2645</v>
      </c>
      <c r="D112" s="8634" t="s">
        <v>2643</v>
      </c>
      <c r="E112" s="8634" t="s">
        <v>2646</v>
      </c>
      <c r="F112" s="8634" t="s">
        <v>2322</v>
      </c>
      <c r="G112" s="8634" t="s">
        <v>2647</v>
      </c>
      <c r="H112" s="8634" t="s">
        <v>24</v>
      </c>
      <c r="I112" s="8634" t="s">
        <v>722</v>
      </c>
    </row>
    <row customHeight="1" ht="11.25">
      <c r="A113" s="8634" t="s">
        <v>2182</v>
      </c>
      <c r="B113" s="8634" t="s">
        <v>14</v>
      </c>
      <c r="C113" s="8634" t="s">
        <v>2648</v>
      </c>
      <c r="D113" s="8634" t="s">
        <v>2649</v>
      </c>
      <c r="E113" s="8634" t="s">
        <v>2650</v>
      </c>
      <c r="F113" s="8634" t="s">
        <v>2651</v>
      </c>
      <c r="G113" s="8634" t="s">
        <v>24</v>
      </c>
      <c r="H113" s="8634" t="s">
        <v>24</v>
      </c>
      <c r="I113" s="8634" t="s">
        <v>722</v>
      </c>
    </row>
    <row customHeight="1" ht="11.25">
      <c r="A114" s="8634" t="s">
        <v>2182</v>
      </c>
      <c r="B114" s="8634" t="s">
        <v>14</v>
      </c>
      <c r="C114" s="8634" t="s">
        <v>2652</v>
      </c>
      <c r="D114" s="8634" t="s">
        <v>2653</v>
      </c>
      <c r="E114" s="8634" t="s">
        <v>2654</v>
      </c>
      <c r="F114" s="8634" t="s">
        <v>2223</v>
      </c>
      <c r="G114" s="8634" t="s">
        <v>2655</v>
      </c>
      <c r="H114" s="8634" t="s">
        <v>24</v>
      </c>
      <c r="I114" s="8634" t="s">
        <v>722</v>
      </c>
    </row>
    <row customHeight="1" ht="11.25">
      <c r="A115" s="8634" t="s">
        <v>2182</v>
      </c>
      <c r="B115" s="8634" t="s">
        <v>14</v>
      </c>
      <c r="C115" s="8634" t="s">
        <v>2656</v>
      </c>
      <c r="D115" s="8634" t="s">
        <v>2657</v>
      </c>
      <c r="E115" s="8634" t="s">
        <v>2658</v>
      </c>
      <c r="F115" s="8634" t="s">
        <v>2322</v>
      </c>
      <c r="G115" s="8634" t="s">
        <v>2659</v>
      </c>
      <c r="H115" s="8634" t="s">
        <v>24</v>
      </c>
      <c r="I115" s="8634" t="s">
        <v>722</v>
      </c>
    </row>
    <row customHeight="1" ht="11.25">
      <c r="A116" s="8634" t="s">
        <v>2182</v>
      </c>
      <c r="B116" s="8634" t="s">
        <v>14</v>
      </c>
      <c r="C116" s="8634" t="s">
        <v>2660</v>
      </c>
      <c r="D116" s="8634" t="s">
        <v>2661</v>
      </c>
      <c r="E116" s="8634" t="s">
        <v>2662</v>
      </c>
      <c r="F116" s="8634" t="s">
        <v>2600</v>
      </c>
      <c r="G116" s="8634" t="s">
        <v>2663</v>
      </c>
      <c r="H116" s="8634" t="s">
        <v>24</v>
      </c>
      <c r="I116" s="8634" t="s">
        <v>722</v>
      </c>
    </row>
    <row customHeight="1" ht="11.25">
      <c r="A117" s="8634" t="s">
        <v>2182</v>
      </c>
      <c r="B117" s="8634" t="s">
        <v>14</v>
      </c>
      <c r="C117" s="8634" t="s">
        <v>2664</v>
      </c>
      <c r="D117" s="8634" t="s">
        <v>2665</v>
      </c>
      <c r="E117" s="8634" t="s">
        <v>2666</v>
      </c>
      <c r="F117" s="8634" t="s">
        <v>2512</v>
      </c>
      <c r="G117" s="8634" t="s">
        <v>2667</v>
      </c>
      <c r="H117" s="8634" t="s">
        <v>24</v>
      </c>
      <c r="I117" s="8634" t="s">
        <v>722</v>
      </c>
    </row>
    <row customHeight="1" ht="11.25">
      <c r="A118" s="8634" t="s">
        <v>2182</v>
      </c>
      <c r="B118" s="8634" t="s">
        <v>14</v>
      </c>
      <c r="C118" s="8634" t="s">
        <v>2668</v>
      </c>
      <c r="D118" s="8634" t="s">
        <v>2669</v>
      </c>
      <c r="E118" s="8634" t="s">
        <v>2670</v>
      </c>
      <c r="F118" s="8634" t="s">
        <v>2671</v>
      </c>
      <c r="G118" s="8634" t="s">
        <v>2672</v>
      </c>
      <c r="H118" s="8634" t="s">
        <v>24</v>
      </c>
      <c r="I118" s="8634" t="s">
        <v>722</v>
      </c>
    </row>
    <row customHeight="1" ht="11.25">
      <c r="A119" s="8634" t="s">
        <v>2182</v>
      </c>
      <c r="B119" s="8634" t="s">
        <v>14</v>
      </c>
      <c r="C119" s="8634" t="s">
        <v>2673</v>
      </c>
      <c r="D119" s="8634" t="s">
        <v>2674</v>
      </c>
      <c r="E119" s="8634" t="s">
        <v>2675</v>
      </c>
      <c r="F119" s="8634" t="s">
        <v>2218</v>
      </c>
      <c r="G119" s="8634" t="s">
        <v>2676</v>
      </c>
      <c r="H119" s="8634" t="s">
        <v>24</v>
      </c>
      <c r="I119" s="8634" t="s">
        <v>722</v>
      </c>
    </row>
    <row customHeight="1" ht="11.25">
      <c r="A120" s="8634" t="s">
        <v>2182</v>
      </c>
      <c r="B120" s="8634" t="s">
        <v>14</v>
      </c>
      <c r="C120" s="8634" t="s">
        <v>2677</v>
      </c>
      <c r="D120" s="8634" t="s">
        <v>2678</v>
      </c>
      <c r="E120" s="8634" t="s">
        <v>2679</v>
      </c>
      <c r="F120" s="8634" t="s">
        <v>2563</v>
      </c>
      <c r="G120" s="8634" t="s">
        <v>2680</v>
      </c>
      <c r="H120" s="8634" t="s">
        <v>2681</v>
      </c>
      <c r="I120" s="8634" t="s">
        <v>722</v>
      </c>
    </row>
    <row customHeight="1" ht="11.25">
      <c r="A121" s="8634" t="s">
        <v>2182</v>
      </c>
      <c r="B121" s="8634" t="s">
        <v>14</v>
      </c>
      <c r="C121" s="8634" t="s">
        <v>2682</v>
      </c>
      <c r="D121" s="8634" t="s">
        <v>2683</v>
      </c>
      <c r="E121" s="8634" t="s">
        <v>2684</v>
      </c>
      <c r="F121" s="8634" t="s">
        <v>2330</v>
      </c>
      <c r="G121" s="8634" t="s">
        <v>24</v>
      </c>
      <c r="H121" s="8634" t="s">
        <v>24</v>
      </c>
      <c r="I121" s="8634" t="s">
        <v>722</v>
      </c>
    </row>
    <row customHeight="1" ht="11.25">
      <c r="A122" s="8634" t="s">
        <v>2182</v>
      </c>
      <c r="B122" s="8634" t="s">
        <v>14</v>
      </c>
      <c r="C122" s="8634" t="s">
        <v>2685</v>
      </c>
      <c r="D122" s="8634" t="s">
        <v>2686</v>
      </c>
      <c r="E122" s="8634" t="s">
        <v>2687</v>
      </c>
      <c r="F122" s="8634" t="s">
        <v>2688</v>
      </c>
      <c r="G122" s="8634" t="s">
        <v>24</v>
      </c>
      <c r="H122" s="8634" t="s">
        <v>2400</v>
      </c>
      <c r="I122" s="8634" t="s">
        <v>722</v>
      </c>
    </row>
    <row customHeight="1" ht="11.25">
      <c r="A123" s="8634" t="s">
        <v>2182</v>
      </c>
      <c r="B123" s="8634" t="s">
        <v>14</v>
      </c>
      <c r="C123" s="8634" t="s">
        <v>2689</v>
      </c>
      <c r="D123" s="8634" t="s">
        <v>2690</v>
      </c>
      <c r="E123" s="8634" t="s">
        <v>2691</v>
      </c>
      <c r="F123" s="8634" t="s">
        <v>2269</v>
      </c>
      <c r="G123" s="8634" t="s">
        <v>2692</v>
      </c>
      <c r="H123" s="8634" t="s">
        <v>24</v>
      </c>
      <c r="I123" s="8634" t="s">
        <v>722</v>
      </c>
    </row>
    <row customHeight="1" ht="11.25">
      <c r="A124" s="8634" t="s">
        <v>2182</v>
      </c>
      <c r="B124" s="8634" t="s">
        <v>14</v>
      </c>
      <c r="C124" s="8634" t="s">
        <v>2693</v>
      </c>
      <c r="D124" s="8634" t="s">
        <v>2694</v>
      </c>
      <c r="E124" s="8634" t="s">
        <v>2695</v>
      </c>
      <c r="F124" s="8634" t="s">
        <v>2696</v>
      </c>
      <c r="G124" s="8634" t="s">
        <v>2555</v>
      </c>
      <c r="H124" s="8634" t="s">
        <v>2697</v>
      </c>
      <c r="I124" s="8634" t="s">
        <v>722</v>
      </c>
    </row>
    <row customHeight="1" ht="11.25">
      <c r="A125" s="8634" t="s">
        <v>2182</v>
      </c>
      <c r="B125" s="8634" t="s">
        <v>14</v>
      </c>
      <c r="C125" s="8634" t="s">
        <v>2698</v>
      </c>
      <c r="D125" s="8634" t="s">
        <v>2699</v>
      </c>
      <c r="E125" s="8634" t="s">
        <v>2700</v>
      </c>
      <c r="F125" s="8634" t="s">
        <v>2563</v>
      </c>
      <c r="G125" s="8634" t="s">
        <v>2701</v>
      </c>
      <c r="H125" s="8634" t="s">
        <v>24</v>
      </c>
      <c r="I125" s="8634" t="s">
        <v>722</v>
      </c>
    </row>
    <row customHeight="1" ht="11.25">
      <c r="A126" s="8634" t="s">
        <v>2182</v>
      </c>
      <c r="B126" s="8634" t="s">
        <v>14</v>
      </c>
      <c r="C126" s="8634" t="s">
        <v>2702</v>
      </c>
      <c r="D126" s="8634" t="s">
        <v>2703</v>
      </c>
      <c r="E126" s="8634" t="s">
        <v>2704</v>
      </c>
      <c r="F126" s="8634" t="s">
        <v>2705</v>
      </c>
      <c r="G126" s="8634" t="s">
        <v>2706</v>
      </c>
      <c r="H126" s="8634" t="s">
        <v>24</v>
      </c>
      <c r="I126" s="8634" t="s">
        <v>722</v>
      </c>
    </row>
    <row customHeight="1" ht="11.25">
      <c r="A127" s="8634" t="s">
        <v>2182</v>
      </c>
      <c r="B127" s="8634" t="s">
        <v>14</v>
      </c>
      <c r="C127" s="8634" t="s">
        <v>2707</v>
      </c>
      <c r="D127" s="8634" t="s">
        <v>2708</v>
      </c>
      <c r="E127" s="8634" t="s">
        <v>2709</v>
      </c>
      <c r="F127" s="8634" t="s">
        <v>2330</v>
      </c>
      <c r="G127" s="8634" t="s">
        <v>2710</v>
      </c>
      <c r="H127" s="8634" t="s">
        <v>24</v>
      </c>
      <c r="I127" s="8634" t="s">
        <v>722</v>
      </c>
    </row>
    <row customHeight="1" ht="11.25">
      <c r="A128" s="8634" t="s">
        <v>2182</v>
      </c>
      <c r="B128" s="8634" t="s">
        <v>14</v>
      </c>
      <c r="C128" s="8634" t="s">
        <v>2711</v>
      </c>
      <c r="D128" s="8634" t="s">
        <v>2712</v>
      </c>
      <c r="E128" s="8634" t="s">
        <v>2713</v>
      </c>
      <c r="F128" s="8634" t="s">
        <v>2213</v>
      </c>
      <c r="G128" s="8634" t="s">
        <v>2714</v>
      </c>
      <c r="H128" s="8634" t="s">
        <v>24</v>
      </c>
      <c r="I128" s="8634" t="s">
        <v>722</v>
      </c>
    </row>
    <row customHeight="1" ht="11.25">
      <c r="A129" s="8634" t="s">
        <v>2182</v>
      </c>
      <c r="B129" s="8634" t="s">
        <v>14</v>
      </c>
      <c r="C129" s="8634" t="s">
        <v>2715</v>
      </c>
      <c r="D129" s="8634" t="s">
        <v>2716</v>
      </c>
      <c r="E129" s="8634" t="s">
        <v>2717</v>
      </c>
      <c r="F129" s="8634" t="s">
        <v>2363</v>
      </c>
      <c r="G129" s="8634" t="s">
        <v>2622</v>
      </c>
      <c r="H129" s="8634" t="s">
        <v>24</v>
      </c>
      <c r="I129" s="8634" t="s">
        <v>722</v>
      </c>
    </row>
    <row customHeight="1" ht="11.25">
      <c r="A130" s="8634" t="s">
        <v>2182</v>
      </c>
      <c r="B130" s="8634" t="s">
        <v>14</v>
      </c>
      <c r="C130" s="8634" t="s">
        <v>2718</v>
      </c>
      <c r="D130" s="8634" t="s">
        <v>2719</v>
      </c>
      <c r="E130" s="8634" t="s">
        <v>2720</v>
      </c>
      <c r="F130" s="8634" t="s">
        <v>2721</v>
      </c>
      <c r="G130" s="8634" t="s">
        <v>24</v>
      </c>
      <c r="H130" s="8634" t="s">
        <v>24</v>
      </c>
      <c r="I130" s="8634" t="s">
        <v>722</v>
      </c>
    </row>
    <row customHeight="1" ht="11.25">
      <c r="A131" s="8634" t="s">
        <v>2182</v>
      </c>
      <c r="B131" s="8634" t="s">
        <v>14</v>
      </c>
      <c r="C131" s="8634" t="s">
        <v>2722</v>
      </c>
      <c r="D131" s="8634" t="s">
        <v>2723</v>
      </c>
      <c r="E131" s="8634" t="s">
        <v>2724</v>
      </c>
      <c r="F131" s="8634" t="s">
        <v>2460</v>
      </c>
      <c r="G131" s="8634" t="s">
        <v>2725</v>
      </c>
      <c r="H131" s="8634" t="s">
        <v>24</v>
      </c>
      <c r="I131" s="8634" t="s">
        <v>722</v>
      </c>
    </row>
    <row customHeight="1" ht="11.25">
      <c r="A132" s="8634" t="s">
        <v>2182</v>
      </c>
      <c r="B132" s="8634" t="s">
        <v>14</v>
      </c>
      <c r="C132" s="8634" t="s">
        <v>2726</v>
      </c>
      <c r="D132" s="8634" t="s">
        <v>2723</v>
      </c>
      <c r="E132" s="8634" t="s">
        <v>2724</v>
      </c>
      <c r="F132" s="8634" t="s">
        <v>2727</v>
      </c>
      <c r="G132" s="8634" t="s">
        <v>2725</v>
      </c>
      <c r="H132" s="8634" t="s">
        <v>24</v>
      </c>
      <c r="I132" s="8634" t="s">
        <v>722</v>
      </c>
    </row>
    <row customHeight="1" ht="11.25">
      <c r="A133" s="8634" t="s">
        <v>2182</v>
      </c>
      <c r="B133" s="8634" t="s">
        <v>14</v>
      </c>
      <c r="C133" s="8634" t="s">
        <v>2728</v>
      </c>
      <c r="D133" s="8634" t="s">
        <v>2729</v>
      </c>
      <c r="E133" s="8634" t="s">
        <v>2730</v>
      </c>
      <c r="F133" s="8634" t="s">
        <v>2600</v>
      </c>
      <c r="G133" s="8634" t="s">
        <v>2731</v>
      </c>
      <c r="H133" s="8634" t="s">
        <v>24</v>
      </c>
      <c r="I133" s="8634" t="s">
        <v>722</v>
      </c>
    </row>
    <row customHeight="1" ht="11.25">
      <c r="A134" s="8634" t="s">
        <v>2182</v>
      </c>
      <c r="B134" s="8634" t="s">
        <v>14</v>
      </c>
      <c r="C134" s="8634" t="s">
        <v>2732</v>
      </c>
      <c r="D134" s="8634" t="s">
        <v>2733</v>
      </c>
      <c r="E134" s="8634" t="s">
        <v>2734</v>
      </c>
      <c r="F134" s="8634" t="s">
        <v>2735</v>
      </c>
      <c r="G134" s="8634" t="s">
        <v>24</v>
      </c>
      <c r="H134" s="8634" t="s">
        <v>24</v>
      </c>
      <c r="I134" s="8634" t="s">
        <v>722</v>
      </c>
    </row>
    <row customHeight="1" ht="11.25">
      <c r="A135" s="8634" t="s">
        <v>2182</v>
      </c>
      <c r="B135" s="8634" t="s">
        <v>14</v>
      </c>
      <c r="C135" s="8634" t="s">
        <v>2736</v>
      </c>
      <c r="D135" s="8634" t="s">
        <v>2737</v>
      </c>
      <c r="E135" s="8634" t="s">
        <v>2738</v>
      </c>
      <c r="F135" s="8634" t="s">
        <v>2334</v>
      </c>
      <c r="G135" s="8634" t="s">
        <v>24</v>
      </c>
      <c r="H135" s="8634" t="s">
        <v>2187</v>
      </c>
      <c r="I135" s="8634" t="s">
        <v>722</v>
      </c>
    </row>
    <row customHeight="1" ht="11.25">
      <c r="A136" s="8634" t="s">
        <v>2182</v>
      </c>
      <c r="B136" s="8634" t="s">
        <v>14</v>
      </c>
      <c r="C136" s="8634" t="s">
        <v>2739</v>
      </c>
      <c r="D136" s="8634" t="s">
        <v>2740</v>
      </c>
      <c r="E136" s="8634" t="s">
        <v>2741</v>
      </c>
      <c r="F136" s="8634" t="s">
        <v>2742</v>
      </c>
      <c r="G136" s="8634" t="s">
        <v>2743</v>
      </c>
      <c r="H136" s="8634" t="s">
        <v>24</v>
      </c>
      <c r="I136" s="8634" t="s">
        <v>722</v>
      </c>
    </row>
    <row customHeight="1" ht="11.25">
      <c r="A137" s="8634" t="s">
        <v>2182</v>
      </c>
      <c r="B137" s="8634" t="s">
        <v>14</v>
      </c>
      <c r="C137" s="8634" t="s">
        <v>2744</v>
      </c>
      <c r="D137" s="8634" t="s">
        <v>2745</v>
      </c>
      <c r="E137" s="8634" t="s">
        <v>2746</v>
      </c>
      <c r="F137" s="8634" t="s">
        <v>2747</v>
      </c>
      <c r="G137" s="8634" t="s">
        <v>24</v>
      </c>
      <c r="H137" s="8634" t="s">
        <v>24</v>
      </c>
      <c r="I137" s="8634" t="s">
        <v>722</v>
      </c>
    </row>
    <row customHeight="1" ht="11.25">
      <c r="A138" s="8634" t="s">
        <v>2182</v>
      </c>
      <c r="B138" s="8634" t="s">
        <v>14</v>
      </c>
      <c r="C138" s="8634" t="s">
        <v>2748</v>
      </c>
      <c r="D138" s="8634" t="s">
        <v>2749</v>
      </c>
      <c r="E138" s="8634" t="s">
        <v>2750</v>
      </c>
      <c r="F138" s="8634" t="s">
        <v>2751</v>
      </c>
      <c r="G138" s="8634" t="s">
        <v>2752</v>
      </c>
      <c r="H138" s="8634" t="s">
        <v>24</v>
      </c>
      <c r="I138" s="8634" t="s">
        <v>722</v>
      </c>
    </row>
    <row customHeight="1" ht="11.25">
      <c r="A139" s="8634" t="s">
        <v>2182</v>
      </c>
      <c r="B139" s="8634" t="s">
        <v>14</v>
      </c>
      <c r="C139" s="8634" t="s">
        <v>2753</v>
      </c>
      <c r="D139" s="8634" t="s">
        <v>2754</v>
      </c>
      <c r="E139" s="8634" t="s">
        <v>2755</v>
      </c>
      <c r="F139" s="8634" t="s">
        <v>2756</v>
      </c>
      <c r="G139" s="8634" t="s">
        <v>24</v>
      </c>
      <c r="H139" s="8634" t="s">
        <v>2187</v>
      </c>
      <c r="I139" s="8634" t="s">
        <v>722</v>
      </c>
    </row>
    <row customHeight="1" ht="11.25">
      <c r="A140" s="8634" t="s">
        <v>2182</v>
      </c>
      <c r="B140" s="8634" t="s">
        <v>14</v>
      </c>
      <c r="C140" s="8634" t="s">
        <v>2757</v>
      </c>
      <c r="D140" s="8634" t="s">
        <v>2758</v>
      </c>
      <c r="E140" s="8634" t="s">
        <v>2759</v>
      </c>
      <c r="F140" s="8634" t="s">
        <v>2264</v>
      </c>
      <c r="G140" s="8634" t="s">
        <v>24</v>
      </c>
      <c r="H140" s="8634" t="s">
        <v>2187</v>
      </c>
      <c r="I140" s="8634" t="s">
        <v>722</v>
      </c>
    </row>
    <row customHeight="1" ht="11.25">
      <c r="A141" s="8634" t="s">
        <v>2182</v>
      </c>
      <c r="B141" s="8634" t="s">
        <v>14</v>
      </c>
      <c r="C141" s="8634" t="s">
        <v>2760</v>
      </c>
      <c r="D141" s="8634" t="s">
        <v>2761</v>
      </c>
      <c r="E141" s="8634" t="s">
        <v>2762</v>
      </c>
      <c r="F141" s="8634" t="s">
        <v>2300</v>
      </c>
      <c r="G141" s="8634" t="s">
        <v>24</v>
      </c>
      <c r="H141" s="8634" t="s">
        <v>2187</v>
      </c>
      <c r="I141" s="8634" t="s">
        <v>722</v>
      </c>
    </row>
    <row customHeight="1" ht="11.25">
      <c r="A142" s="8634" t="s">
        <v>2182</v>
      </c>
      <c r="B142" s="8634" t="s">
        <v>14</v>
      </c>
      <c r="C142" s="8634" t="s">
        <v>2763</v>
      </c>
      <c r="D142" s="8634" t="s">
        <v>2764</v>
      </c>
      <c r="E142" s="8634" t="s">
        <v>2765</v>
      </c>
      <c r="F142" s="8634" t="s">
        <v>2213</v>
      </c>
      <c r="G142" s="8634" t="s">
        <v>24</v>
      </c>
      <c r="H142" s="8634" t="s">
        <v>2187</v>
      </c>
      <c r="I142" s="8634" t="s">
        <v>722</v>
      </c>
    </row>
    <row customHeight="1" ht="11.25">
      <c r="A143" s="8634" t="s">
        <v>2182</v>
      </c>
      <c r="B143" s="8634" t="s">
        <v>14</v>
      </c>
      <c r="C143" s="8634" t="s">
        <v>2766</v>
      </c>
      <c r="D143" s="8634" t="s">
        <v>2767</v>
      </c>
      <c r="E143" s="8634" t="s">
        <v>2768</v>
      </c>
      <c r="F143" s="8634" t="s">
        <v>2233</v>
      </c>
      <c r="G143" s="8634" t="s">
        <v>24</v>
      </c>
      <c r="H143" s="8634" t="s">
        <v>2187</v>
      </c>
      <c r="I143" s="8634" t="s">
        <v>722</v>
      </c>
    </row>
    <row customHeight="1" ht="11.25">
      <c r="A144" s="8634" t="s">
        <v>2182</v>
      </c>
      <c r="B144" s="8634" t="s">
        <v>14</v>
      </c>
      <c r="C144" s="8634" t="s">
        <v>2769</v>
      </c>
      <c r="D144" s="8634" t="s">
        <v>2770</v>
      </c>
      <c r="E144" s="8634" t="s">
        <v>2771</v>
      </c>
      <c r="F144" s="8634" t="s">
        <v>2772</v>
      </c>
      <c r="G144" s="8634" t="s">
        <v>24</v>
      </c>
      <c r="H144" s="8634" t="s">
        <v>2773</v>
      </c>
      <c r="I144" s="8634" t="s">
        <v>722</v>
      </c>
    </row>
    <row customHeight="1" ht="11.25">
      <c r="A145" s="8634" t="s">
        <v>2182</v>
      </c>
      <c r="B145" s="8634" t="s">
        <v>14</v>
      </c>
      <c r="C145" s="8634" t="s">
        <v>2774</v>
      </c>
      <c r="D145" s="8634" t="s">
        <v>2770</v>
      </c>
      <c r="E145" s="8634" t="s">
        <v>2775</v>
      </c>
      <c r="F145" s="8634" t="s">
        <v>2186</v>
      </c>
      <c r="G145" s="8634" t="s">
        <v>24</v>
      </c>
      <c r="H145" s="8634" t="s">
        <v>2187</v>
      </c>
      <c r="I145" s="8634" t="s">
        <v>722</v>
      </c>
    </row>
    <row customHeight="1" ht="11.25">
      <c r="A146" s="8634" t="s">
        <v>2182</v>
      </c>
      <c r="B146" s="8634" t="s">
        <v>14</v>
      </c>
      <c r="C146" s="8634" t="s">
        <v>2776</v>
      </c>
      <c r="D146" s="8634" t="s">
        <v>2777</v>
      </c>
      <c r="E146" s="8634" t="s">
        <v>2778</v>
      </c>
      <c r="F146" s="8634" t="s">
        <v>2567</v>
      </c>
      <c r="G146" s="8634" t="s">
        <v>24</v>
      </c>
      <c r="H146" s="8634" t="s">
        <v>2187</v>
      </c>
      <c r="I146" s="8634" t="s">
        <v>722</v>
      </c>
    </row>
    <row customHeight="1" ht="11.25">
      <c r="A147" s="8634" t="s">
        <v>2182</v>
      </c>
      <c r="B147" s="8634" t="s">
        <v>14</v>
      </c>
      <c r="C147" s="8634" t="s">
        <v>2779</v>
      </c>
      <c r="D147" s="8634" t="s">
        <v>2780</v>
      </c>
      <c r="E147" s="8634" t="s">
        <v>2781</v>
      </c>
      <c r="F147" s="8634" t="s">
        <v>2213</v>
      </c>
      <c r="G147" s="8634" t="s">
        <v>24</v>
      </c>
      <c r="H147" s="8634" t="s">
        <v>2187</v>
      </c>
      <c r="I147" s="8634" t="s">
        <v>722</v>
      </c>
    </row>
    <row customHeight="1" ht="11.25">
      <c r="A148" s="8634" t="s">
        <v>2182</v>
      </c>
      <c r="B148" s="8634" t="s">
        <v>14</v>
      </c>
      <c r="C148" s="8634" t="s">
        <v>2782</v>
      </c>
      <c r="D148" s="8634" t="s">
        <v>2783</v>
      </c>
      <c r="E148" s="8634" t="s">
        <v>2784</v>
      </c>
      <c r="F148" s="8634" t="s">
        <v>2322</v>
      </c>
      <c r="G148" s="8634" t="s">
        <v>24</v>
      </c>
      <c r="H148" s="8634" t="s">
        <v>2187</v>
      </c>
      <c r="I148" s="8634" t="s">
        <v>722</v>
      </c>
    </row>
    <row customHeight="1" ht="11.25">
      <c r="A149" s="8634" t="s">
        <v>2182</v>
      </c>
      <c r="B149" s="8634" t="s">
        <v>14</v>
      </c>
      <c r="C149" s="8634" t="s">
        <v>2785</v>
      </c>
      <c r="D149" s="8634" t="s">
        <v>2786</v>
      </c>
      <c r="E149" s="8634" t="s">
        <v>2787</v>
      </c>
      <c r="F149" s="8634" t="s">
        <v>2788</v>
      </c>
      <c r="G149" s="8634" t="s">
        <v>24</v>
      </c>
      <c r="H149" s="8634" t="s">
        <v>2187</v>
      </c>
      <c r="I149" s="8634" t="s">
        <v>722</v>
      </c>
    </row>
    <row customHeight="1" ht="11.25">
      <c r="A150" s="8634" t="s">
        <v>2182</v>
      </c>
      <c r="B150" s="8634" t="s">
        <v>14</v>
      </c>
      <c r="C150" s="8634" t="s">
        <v>2789</v>
      </c>
      <c r="D150" s="8634" t="s">
        <v>2790</v>
      </c>
      <c r="E150" s="8634" t="s">
        <v>2791</v>
      </c>
      <c r="F150" s="8634" t="s">
        <v>2233</v>
      </c>
      <c r="G150" s="8634" t="s">
        <v>2792</v>
      </c>
      <c r="H150" s="8634" t="s">
        <v>24</v>
      </c>
      <c r="I150" s="8634" t="s">
        <v>722</v>
      </c>
    </row>
    <row customHeight="1" ht="11.25">
      <c r="A151" s="8634" t="s">
        <v>2182</v>
      </c>
      <c r="B151" s="8634" t="s">
        <v>14</v>
      </c>
      <c r="C151" s="8634" t="s">
        <v>2793</v>
      </c>
      <c r="D151" s="8634" t="s">
        <v>2794</v>
      </c>
      <c r="E151" s="8634" t="s">
        <v>2795</v>
      </c>
      <c r="F151" s="8634" t="s">
        <v>2512</v>
      </c>
      <c r="G151" s="8634" t="s">
        <v>2796</v>
      </c>
      <c r="H151" s="8634" t="s">
        <v>24</v>
      </c>
      <c r="I151" s="8634" t="s">
        <v>722</v>
      </c>
    </row>
    <row customHeight="1" ht="11.25">
      <c r="A152" s="8634" t="s">
        <v>2182</v>
      </c>
      <c r="B152" s="8634" t="s">
        <v>14</v>
      </c>
      <c r="C152" s="8634" t="s">
        <v>2797</v>
      </c>
      <c r="D152" s="8634" t="s">
        <v>2798</v>
      </c>
      <c r="E152" s="8634" t="s">
        <v>2799</v>
      </c>
      <c r="F152" s="8634" t="s">
        <v>2213</v>
      </c>
      <c r="G152" s="8634" t="s">
        <v>24</v>
      </c>
      <c r="H152" s="8634" t="s">
        <v>2187</v>
      </c>
      <c r="I152" s="8634" t="s">
        <v>722</v>
      </c>
    </row>
    <row customHeight="1" ht="11.25">
      <c r="A153" s="8634" t="s">
        <v>2182</v>
      </c>
      <c r="B153" s="8634" t="s">
        <v>14</v>
      </c>
      <c r="C153" s="8634" t="s">
        <v>2800</v>
      </c>
      <c r="D153" s="8634" t="s">
        <v>2801</v>
      </c>
      <c r="E153" s="8634" t="s">
        <v>2802</v>
      </c>
      <c r="F153" s="8634" t="s">
        <v>2567</v>
      </c>
      <c r="G153" s="8634" t="s">
        <v>24</v>
      </c>
      <c r="H153" s="8634" t="s">
        <v>2187</v>
      </c>
      <c r="I153" s="8634" t="s">
        <v>722</v>
      </c>
    </row>
    <row customHeight="1" ht="11.25">
      <c r="A154" s="8634" t="s">
        <v>2182</v>
      </c>
      <c r="B154" s="8634" t="s">
        <v>14</v>
      </c>
      <c r="C154" s="8634" t="s">
        <v>2803</v>
      </c>
      <c r="D154" s="8634" t="s">
        <v>2804</v>
      </c>
      <c r="E154" s="8634" t="s">
        <v>2805</v>
      </c>
      <c r="F154" s="8634" t="s">
        <v>2233</v>
      </c>
      <c r="G154" s="8634" t="s">
        <v>24</v>
      </c>
      <c r="H154" s="8634" t="s">
        <v>2187</v>
      </c>
      <c r="I154" s="8634" t="s">
        <v>722</v>
      </c>
    </row>
    <row customHeight="1" ht="11.25">
      <c r="A155" s="8634" t="s">
        <v>2182</v>
      </c>
      <c r="B155" s="8634" t="s">
        <v>14</v>
      </c>
      <c r="C155" s="8634" t="s">
        <v>2806</v>
      </c>
      <c r="D155" s="8634" t="s">
        <v>2807</v>
      </c>
      <c r="E155" s="8634" t="s">
        <v>2808</v>
      </c>
      <c r="F155" s="8634" t="s">
        <v>2339</v>
      </c>
      <c r="G155" s="8634" t="s">
        <v>24</v>
      </c>
      <c r="H155" s="8634" t="s">
        <v>2187</v>
      </c>
      <c r="I155" s="8634" t="s">
        <v>722</v>
      </c>
    </row>
    <row customHeight="1" ht="11.25">
      <c r="A156" s="8634" t="s">
        <v>2182</v>
      </c>
      <c r="B156" s="8634" t="s">
        <v>14</v>
      </c>
      <c r="C156" s="8634" t="s">
        <v>2809</v>
      </c>
      <c r="D156" s="8634" t="s">
        <v>2810</v>
      </c>
      <c r="E156" s="8634" t="s">
        <v>2811</v>
      </c>
      <c r="F156" s="8634" t="s">
        <v>2213</v>
      </c>
      <c r="G156" s="8634" t="s">
        <v>24</v>
      </c>
      <c r="H156" s="8634" t="s">
        <v>2187</v>
      </c>
      <c r="I156" s="8634" t="s">
        <v>722</v>
      </c>
    </row>
    <row customHeight="1" ht="11.25">
      <c r="A157" s="8634" t="s">
        <v>2182</v>
      </c>
      <c r="B157" s="8634" t="s">
        <v>14</v>
      </c>
      <c r="C157" s="8634" t="s">
        <v>2812</v>
      </c>
      <c r="D157" s="8634" t="s">
        <v>2813</v>
      </c>
      <c r="E157" s="8634" t="s">
        <v>2814</v>
      </c>
      <c r="F157" s="8634" t="s">
        <v>2512</v>
      </c>
      <c r="G157" s="8634" t="s">
        <v>2815</v>
      </c>
      <c r="H157" s="8634" t="s">
        <v>24</v>
      </c>
      <c r="I157" s="8634" t="s">
        <v>722</v>
      </c>
    </row>
    <row customHeight="1" ht="11.25">
      <c r="A158" s="8634" t="s">
        <v>2182</v>
      </c>
      <c r="B158" s="8634" t="s">
        <v>14</v>
      </c>
      <c r="C158" s="8634" t="s">
        <v>2816</v>
      </c>
      <c r="D158" s="8634" t="s">
        <v>2817</v>
      </c>
      <c r="E158" s="8634" t="s">
        <v>2818</v>
      </c>
      <c r="F158" s="8634" t="s">
        <v>2460</v>
      </c>
      <c r="G158" s="8634" t="s">
        <v>2819</v>
      </c>
      <c r="H158" s="8634" t="s">
        <v>24</v>
      </c>
      <c r="I158" s="8634" t="s">
        <v>722</v>
      </c>
    </row>
    <row customHeight="1" ht="11.25">
      <c r="A159" s="8634" t="s">
        <v>2182</v>
      </c>
      <c r="B159" s="8634" t="s">
        <v>14</v>
      </c>
      <c r="C159" s="8634" t="s">
        <v>2820</v>
      </c>
      <c r="D159" s="8634" t="s">
        <v>2821</v>
      </c>
      <c r="E159" s="8634" t="s">
        <v>2822</v>
      </c>
      <c r="F159" s="8634" t="s">
        <v>2823</v>
      </c>
      <c r="G159" s="8634" t="s">
        <v>2824</v>
      </c>
      <c r="H159" s="8634" t="s">
        <v>24</v>
      </c>
      <c r="I159" s="8634" t="s">
        <v>722</v>
      </c>
    </row>
    <row customHeight="1" ht="11.25">
      <c r="A160" s="8634" t="s">
        <v>2182</v>
      </c>
      <c r="B160" s="8634" t="s">
        <v>14</v>
      </c>
      <c r="C160" s="8634" t="s">
        <v>2825</v>
      </c>
      <c r="D160" s="8634" t="s">
        <v>2826</v>
      </c>
      <c r="E160" s="8634" t="s">
        <v>2827</v>
      </c>
      <c r="F160" s="8634" t="s">
        <v>2354</v>
      </c>
      <c r="G160" s="8634" t="s">
        <v>2828</v>
      </c>
      <c r="H160" s="8634" t="s">
        <v>24</v>
      </c>
      <c r="I160" s="8634" t="s">
        <v>722</v>
      </c>
    </row>
    <row customHeight="1" ht="11.25">
      <c r="A161" s="8634" t="s">
        <v>2182</v>
      </c>
      <c r="B161" s="8634" t="s">
        <v>14</v>
      </c>
      <c r="C161" s="8634" t="s">
        <v>2829</v>
      </c>
      <c r="D161" s="8634" t="s">
        <v>2830</v>
      </c>
      <c r="E161" s="8634" t="s">
        <v>2831</v>
      </c>
      <c r="F161" s="8634" t="s">
        <v>2832</v>
      </c>
      <c r="G161" s="8634" t="s">
        <v>2833</v>
      </c>
      <c r="H161" s="8634" t="s">
        <v>2834</v>
      </c>
      <c r="I161" s="8634" t="s">
        <v>722</v>
      </c>
    </row>
    <row customHeight="1" ht="11.25">
      <c r="A162" s="8634" t="s">
        <v>2182</v>
      </c>
      <c r="B162" s="8634" t="s">
        <v>14</v>
      </c>
      <c r="C162" s="8634" t="s">
        <v>2835</v>
      </c>
      <c r="D162" s="8634" t="s">
        <v>2836</v>
      </c>
      <c r="E162" s="8634" t="s">
        <v>2837</v>
      </c>
      <c r="F162" s="8634" t="s">
        <v>2349</v>
      </c>
      <c r="G162" s="8634" t="s">
        <v>2838</v>
      </c>
      <c r="H162" s="8634" t="s">
        <v>24</v>
      </c>
      <c r="I162" s="8634" t="s">
        <v>722</v>
      </c>
    </row>
    <row customHeight="1" ht="11.25">
      <c r="A163" s="8634" t="s">
        <v>2182</v>
      </c>
      <c r="B163" s="8634" t="s">
        <v>14</v>
      </c>
      <c r="C163" s="8634" t="s">
        <v>2839</v>
      </c>
      <c r="D163" s="8634" t="s">
        <v>2840</v>
      </c>
      <c r="E163" s="8634" t="s">
        <v>2841</v>
      </c>
      <c r="F163" s="8634" t="s">
        <v>2349</v>
      </c>
      <c r="G163" s="8634" t="s">
        <v>24</v>
      </c>
      <c r="H163" s="8634" t="s">
        <v>2842</v>
      </c>
      <c r="I163" s="8634" t="s">
        <v>722</v>
      </c>
    </row>
    <row customHeight="1" ht="11.25">
      <c r="A164" s="8634" t="s">
        <v>2182</v>
      </c>
      <c r="B164" s="8634" t="s">
        <v>14</v>
      </c>
      <c r="C164" s="8634" t="s">
        <v>2843</v>
      </c>
      <c r="D164" s="8634" t="s">
        <v>2844</v>
      </c>
      <c r="E164" s="8634" t="s">
        <v>2845</v>
      </c>
      <c r="F164" s="8634" t="s">
        <v>2300</v>
      </c>
      <c r="G164" s="8634" t="s">
        <v>2846</v>
      </c>
      <c r="H164" s="8634" t="s">
        <v>24</v>
      </c>
      <c r="I164" s="8634" t="s">
        <v>722</v>
      </c>
    </row>
    <row customHeight="1" ht="11.25">
      <c r="A165" s="8634" t="s">
        <v>2182</v>
      </c>
      <c r="B165" s="8634" t="s">
        <v>14</v>
      </c>
      <c r="C165" s="8634" t="s">
        <v>2847</v>
      </c>
      <c r="D165" s="8634" t="s">
        <v>2848</v>
      </c>
      <c r="E165" s="8634" t="s">
        <v>2849</v>
      </c>
      <c r="F165" s="8634" t="s">
        <v>2460</v>
      </c>
      <c r="G165" s="8634" t="s">
        <v>2850</v>
      </c>
      <c r="H165" s="8634" t="s">
        <v>24</v>
      </c>
      <c r="I165" s="8634" t="s">
        <v>722</v>
      </c>
    </row>
    <row customHeight="1" ht="11.25">
      <c r="A166" s="8634" t="s">
        <v>2182</v>
      </c>
      <c r="B166" s="8634" t="s">
        <v>14</v>
      </c>
      <c r="C166" s="8634" t="s">
        <v>2851</v>
      </c>
      <c r="D166" s="8634" t="s">
        <v>2852</v>
      </c>
      <c r="E166" s="8634" t="s">
        <v>2853</v>
      </c>
      <c r="F166" s="8634" t="s">
        <v>2854</v>
      </c>
      <c r="G166" s="8634" t="s">
        <v>24</v>
      </c>
      <c r="H166" s="8634" t="s">
        <v>24</v>
      </c>
      <c r="I166" s="8634" t="s">
        <v>722</v>
      </c>
    </row>
    <row customHeight="1" ht="11.25">
      <c r="A167" s="8634" t="s">
        <v>2182</v>
      </c>
      <c r="B167" s="8634" t="s">
        <v>14</v>
      </c>
      <c r="C167" s="8634" t="s">
        <v>2855</v>
      </c>
      <c r="D167" s="8634" t="s">
        <v>2856</v>
      </c>
      <c r="E167" s="8634" t="s">
        <v>2857</v>
      </c>
      <c r="F167" s="8634" t="s">
        <v>2721</v>
      </c>
      <c r="G167" s="8634" t="s">
        <v>2858</v>
      </c>
      <c r="H167" s="8634" t="s">
        <v>2187</v>
      </c>
      <c r="I167" s="8634" t="s">
        <v>722</v>
      </c>
    </row>
    <row customHeight="1" ht="11.25">
      <c r="A168" s="8634" t="s">
        <v>2182</v>
      </c>
      <c r="B168" s="8634" t="s">
        <v>14</v>
      </c>
      <c r="C168" s="8634" t="s">
        <v>2859</v>
      </c>
      <c r="D168" s="8634" t="s">
        <v>2856</v>
      </c>
      <c r="E168" s="8634" t="s">
        <v>2860</v>
      </c>
      <c r="F168" s="8634" t="s">
        <v>2721</v>
      </c>
      <c r="G168" s="8634" t="s">
        <v>2861</v>
      </c>
      <c r="H168" s="8634" t="s">
        <v>24</v>
      </c>
      <c r="I168" s="8634" t="s">
        <v>722</v>
      </c>
    </row>
    <row customHeight="1" ht="11.25">
      <c r="A169" s="8634" t="s">
        <v>2182</v>
      </c>
      <c r="B169" s="8634" t="s">
        <v>14</v>
      </c>
      <c r="C169" s="8634" t="s">
        <v>2862</v>
      </c>
      <c r="D169" s="8634" t="s">
        <v>2863</v>
      </c>
      <c r="E169" s="8634" t="s">
        <v>2864</v>
      </c>
      <c r="F169" s="8634" t="s">
        <v>2339</v>
      </c>
      <c r="G169" s="8634" t="s">
        <v>2865</v>
      </c>
      <c r="H169" s="8634" t="s">
        <v>2866</v>
      </c>
      <c r="I169" s="8634" t="s">
        <v>722</v>
      </c>
    </row>
    <row customHeight="1" ht="11.25">
      <c r="A170" s="8634" t="s">
        <v>2182</v>
      </c>
      <c r="B170" s="8634" t="s">
        <v>14</v>
      </c>
      <c r="C170" s="8634" t="s">
        <v>2867</v>
      </c>
      <c r="D170" s="8634" t="s">
        <v>2868</v>
      </c>
      <c r="E170" s="8634" t="s">
        <v>2869</v>
      </c>
      <c r="F170" s="8634" t="s">
        <v>2854</v>
      </c>
      <c r="G170" s="8634" t="s">
        <v>24</v>
      </c>
      <c r="H170" s="8634" t="s">
        <v>2870</v>
      </c>
      <c r="I170" s="8634" t="s">
        <v>722</v>
      </c>
    </row>
    <row customHeight="1" ht="11.25">
      <c r="A171" s="8634" t="s">
        <v>2182</v>
      </c>
      <c r="B171" s="8634" t="s">
        <v>14</v>
      </c>
      <c r="C171" s="8634" t="s">
        <v>2871</v>
      </c>
      <c r="D171" s="8634" t="s">
        <v>2872</v>
      </c>
      <c r="E171" s="8634" t="s">
        <v>2873</v>
      </c>
      <c r="F171" s="8634" t="s">
        <v>2389</v>
      </c>
      <c r="G171" s="8634" t="s">
        <v>2874</v>
      </c>
      <c r="H171" s="8634" t="s">
        <v>24</v>
      </c>
      <c r="I171" s="8634" t="s">
        <v>722</v>
      </c>
    </row>
    <row customHeight="1" ht="11.25">
      <c r="A172" s="8634" t="s">
        <v>2182</v>
      </c>
      <c r="B172" s="8634" t="s">
        <v>14</v>
      </c>
      <c r="C172" s="8634" t="s">
        <v>2875</v>
      </c>
      <c r="D172" s="8634" t="s">
        <v>2876</v>
      </c>
      <c r="E172" s="8634" t="s">
        <v>2877</v>
      </c>
      <c r="F172" s="8634" t="s">
        <v>2349</v>
      </c>
      <c r="G172" s="8634" t="s">
        <v>24</v>
      </c>
      <c r="H172" s="8634" t="s">
        <v>2878</v>
      </c>
      <c r="I172" s="8634" t="s">
        <v>722</v>
      </c>
    </row>
    <row customHeight="1" ht="11.25">
      <c r="A173" s="8634" t="s">
        <v>2182</v>
      </c>
      <c r="B173" s="8634" t="s">
        <v>14</v>
      </c>
      <c r="C173" s="8634" t="s">
        <v>2879</v>
      </c>
      <c r="D173" s="8634" t="s">
        <v>2880</v>
      </c>
      <c r="E173" s="8634" t="s">
        <v>2881</v>
      </c>
      <c r="F173" s="8634" t="s">
        <v>2349</v>
      </c>
      <c r="G173" s="8634" t="s">
        <v>24</v>
      </c>
      <c r="H173" s="8634" t="s">
        <v>2882</v>
      </c>
      <c r="I173" s="8634" t="s">
        <v>722</v>
      </c>
    </row>
    <row customHeight="1" ht="11.25">
      <c r="A174" s="8634" t="s">
        <v>2182</v>
      </c>
      <c r="B174" s="8634" t="s">
        <v>14</v>
      </c>
      <c r="C174" s="8634" t="s">
        <v>2883</v>
      </c>
      <c r="D174" s="8634" t="s">
        <v>2884</v>
      </c>
      <c r="E174" s="8634" t="s">
        <v>2885</v>
      </c>
      <c r="F174" s="8634" t="s">
        <v>2349</v>
      </c>
      <c r="G174" s="8634" t="s">
        <v>2886</v>
      </c>
      <c r="H174" s="8634" t="s">
        <v>24</v>
      </c>
      <c r="I174" s="8634" t="s">
        <v>722</v>
      </c>
    </row>
    <row customHeight="1" ht="11.25">
      <c r="A175" s="8634" t="s">
        <v>2182</v>
      </c>
      <c r="B175" s="8634" t="s">
        <v>14</v>
      </c>
      <c r="C175" s="8634" t="s">
        <v>2887</v>
      </c>
      <c r="D175" s="8634" t="s">
        <v>2888</v>
      </c>
      <c r="E175" s="8634" t="s">
        <v>2889</v>
      </c>
      <c r="F175" s="8634" t="s">
        <v>2890</v>
      </c>
      <c r="G175" s="8634" t="s">
        <v>2891</v>
      </c>
      <c r="H175" s="8634" t="s">
        <v>24</v>
      </c>
      <c r="I175" s="8634" t="s">
        <v>722</v>
      </c>
    </row>
    <row customHeight="1" ht="11.25">
      <c r="A176" s="8634" t="s">
        <v>2182</v>
      </c>
      <c r="B176" s="8634" t="s">
        <v>14</v>
      </c>
      <c r="C176" s="8634" t="s">
        <v>2892</v>
      </c>
      <c r="D176" s="8634" t="s">
        <v>2893</v>
      </c>
      <c r="E176" s="8634" t="s">
        <v>2894</v>
      </c>
      <c r="F176" s="8634" t="s">
        <v>2563</v>
      </c>
      <c r="G176" s="8634" t="s">
        <v>2895</v>
      </c>
      <c r="H176" s="8634" t="s">
        <v>24</v>
      </c>
      <c r="I176" s="8634" t="s">
        <v>722</v>
      </c>
    </row>
    <row customHeight="1" ht="11.25">
      <c r="A177" s="8634" t="s">
        <v>2182</v>
      </c>
      <c r="B177" s="8634" t="s">
        <v>14</v>
      </c>
      <c r="C177" s="8634" t="s">
        <v>2896</v>
      </c>
      <c r="D177" s="8634" t="s">
        <v>2897</v>
      </c>
      <c r="E177" s="8634" t="s">
        <v>2898</v>
      </c>
      <c r="F177" s="8634" t="s">
        <v>2899</v>
      </c>
      <c r="G177" s="8634" t="s">
        <v>24</v>
      </c>
      <c r="H177" s="8634" t="s">
        <v>2187</v>
      </c>
      <c r="I177" s="8634" t="s">
        <v>722</v>
      </c>
    </row>
    <row customHeight="1" ht="11.25">
      <c r="A178" s="8634" t="s">
        <v>2182</v>
      </c>
      <c r="B178" s="8634" t="s">
        <v>14</v>
      </c>
      <c r="C178" s="8634" t="s">
        <v>2900</v>
      </c>
      <c r="D178" s="8634" t="s">
        <v>2901</v>
      </c>
      <c r="E178" s="8634" t="s">
        <v>2902</v>
      </c>
      <c r="F178" s="8634" t="s">
        <v>2626</v>
      </c>
      <c r="G178" s="8634" t="s">
        <v>2903</v>
      </c>
      <c r="H178" s="8634" t="s">
        <v>24</v>
      </c>
      <c r="I178" s="8634" t="s">
        <v>722</v>
      </c>
    </row>
    <row customHeight="1" ht="11.25">
      <c r="A179" s="8634" t="s">
        <v>2182</v>
      </c>
      <c r="B179" s="8634" t="s">
        <v>14</v>
      </c>
      <c r="C179" s="8634" t="s">
        <v>2904</v>
      </c>
      <c r="D179" s="8634" t="s">
        <v>2905</v>
      </c>
      <c r="E179" s="8634" t="s">
        <v>2906</v>
      </c>
      <c r="F179" s="8634" t="s">
        <v>2245</v>
      </c>
      <c r="G179" s="8634" t="s">
        <v>2907</v>
      </c>
      <c r="H179" s="8634" t="s">
        <v>24</v>
      </c>
      <c r="I179" s="8634" t="s">
        <v>722</v>
      </c>
    </row>
    <row customHeight="1" ht="11.25">
      <c r="A180" s="8634" t="s">
        <v>2182</v>
      </c>
      <c r="B180" s="8634" t="s">
        <v>14</v>
      </c>
      <c r="C180" s="8634" t="s">
        <v>2908</v>
      </c>
      <c r="D180" s="8634" t="s">
        <v>2909</v>
      </c>
      <c r="E180" s="8634" t="s">
        <v>2910</v>
      </c>
      <c r="F180" s="8634" t="s">
        <v>2705</v>
      </c>
      <c r="G180" s="8634" t="s">
        <v>24</v>
      </c>
      <c r="H180" s="8634" t="s">
        <v>24</v>
      </c>
      <c r="I180" s="8634" t="s">
        <v>722</v>
      </c>
    </row>
    <row customHeight="1" ht="11.25">
      <c r="A181" s="8634" t="s">
        <v>2182</v>
      </c>
      <c r="B181" s="8634" t="s">
        <v>14</v>
      </c>
      <c r="C181" s="8634" t="s">
        <v>2911</v>
      </c>
      <c r="D181" s="8634" t="s">
        <v>2912</v>
      </c>
      <c r="E181" s="8634" t="s">
        <v>2913</v>
      </c>
      <c r="F181" s="8634" t="s">
        <v>2626</v>
      </c>
      <c r="G181" s="8634" t="s">
        <v>2914</v>
      </c>
      <c r="H181" s="8634" t="s">
        <v>2915</v>
      </c>
      <c r="I181" s="8634" t="s">
        <v>722</v>
      </c>
    </row>
    <row customHeight="1" ht="11.25">
      <c r="A182" s="8634" t="s">
        <v>2182</v>
      </c>
      <c r="B182" s="8634" t="s">
        <v>14</v>
      </c>
      <c r="C182" s="8634" t="s">
        <v>2916</v>
      </c>
      <c r="D182" s="8634" t="s">
        <v>2917</v>
      </c>
      <c r="E182" s="8634" t="s">
        <v>2898</v>
      </c>
      <c r="F182" s="8634" t="s">
        <v>2567</v>
      </c>
      <c r="G182" s="8634" t="s">
        <v>2918</v>
      </c>
      <c r="H182" s="8634" t="s">
        <v>24</v>
      </c>
      <c r="I182" s="8634" t="s">
        <v>722</v>
      </c>
    </row>
    <row customHeight="1" ht="11.25">
      <c r="A183" s="8634" t="s">
        <v>2182</v>
      </c>
      <c r="B183" s="8634" t="s">
        <v>14</v>
      </c>
      <c r="C183" s="8634" t="s">
        <v>2919</v>
      </c>
      <c r="D183" s="8634" t="s">
        <v>2920</v>
      </c>
      <c r="E183" s="8634" t="s">
        <v>2921</v>
      </c>
      <c r="F183" s="8634" t="s">
        <v>2626</v>
      </c>
      <c r="G183" s="8634" t="s">
        <v>2922</v>
      </c>
      <c r="H183" s="8634" t="s">
        <v>24</v>
      </c>
      <c r="I183" s="8634" t="s">
        <v>722</v>
      </c>
    </row>
    <row customHeight="1" ht="11.25">
      <c r="A184" s="8634" t="s">
        <v>2182</v>
      </c>
      <c r="B184" s="8634" t="s">
        <v>14</v>
      </c>
      <c r="C184" s="8634" t="s">
        <v>2923</v>
      </c>
      <c r="D184" s="8634" t="s">
        <v>2924</v>
      </c>
      <c r="E184" s="8634" t="s">
        <v>2925</v>
      </c>
      <c r="F184" s="8634" t="s">
        <v>2344</v>
      </c>
      <c r="G184" s="8634" t="s">
        <v>2926</v>
      </c>
      <c r="H184" s="8634" t="s">
        <v>24</v>
      </c>
      <c r="I184" s="8634" t="s">
        <v>722</v>
      </c>
    </row>
    <row customHeight="1" ht="11.25">
      <c r="A185" s="8634" t="s">
        <v>2182</v>
      </c>
      <c r="B185" s="8634" t="s">
        <v>14</v>
      </c>
      <c r="C185" s="8634" t="s">
        <v>2927</v>
      </c>
      <c r="D185" s="8634" t="s">
        <v>2928</v>
      </c>
      <c r="E185" s="8634" t="s">
        <v>2929</v>
      </c>
      <c r="F185" s="8634" t="s">
        <v>2394</v>
      </c>
      <c r="G185" s="8634" t="s">
        <v>24</v>
      </c>
      <c r="H185" s="8634" t="s">
        <v>24</v>
      </c>
      <c r="I185" s="8634" t="s">
        <v>722</v>
      </c>
    </row>
    <row customHeight="1" ht="11.25">
      <c r="A186" s="8634" t="s">
        <v>2182</v>
      </c>
      <c r="B186" s="8634" t="s">
        <v>14</v>
      </c>
      <c r="C186" s="8634" t="s">
        <v>2930</v>
      </c>
      <c r="D186" s="8634" t="s">
        <v>2931</v>
      </c>
      <c r="E186" s="8634" t="s">
        <v>2932</v>
      </c>
      <c r="F186" s="8634" t="s">
        <v>2394</v>
      </c>
      <c r="G186" s="8634" t="s">
        <v>24</v>
      </c>
      <c r="H186" s="8634" t="s">
        <v>24</v>
      </c>
      <c r="I186" s="8634" t="s">
        <v>722</v>
      </c>
    </row>
    <row customHeight="1" ht="11.25">
      <c r="A187" s="8634" t="s">
        <v>2182</v>
      </c>
      <c r="B187" s="8634" t="s">
        <v>14</v>
      </c>
      <c r="C187" s="8634" t="s">
        <v>2933</v>
      </c>
      <c r="D187" s="8634" t="s">
        <v>2934</v>
      </c>
      <c r="E187" s="8634" t="s">
        <v>2935</v>
      </c>
      <c r="F187" s="8634" t="s">
        <v>2354</v>
      </c>
      <c r="G187" s="8634" t="s">
        <v>2936</v>
      </c>
      <c r="H187" s="8634" t="s">
        <v>2937</v>
      </c>
      <c r="I187" s="8634" t="s">
        <v>722</v>
      </c>
    </row>
    <row customHeight="1" ht="11.25">
      <c r="A188" s="8634" t="s">
        <v>2182</v>
      </c>
      <c r="B188" s="8634" t="s">
        <v>14</v>
      </c>
      <c r="C188" s="8634" t="s">
        <v>2938</v>
      </c>
      <c r="D188" s="8634" t="s">
        <v>2939</v>
      </c>
      <c r="E188" s="8634" t="s">
        <v>2940</v>
      </c>
      <c r="F188" s="8634" t="s">
        <v>2218</v>
      </c>
      <c r="G188" s="8634" t="s">
        <v>24</v>
      </c>
      <c r="H188" s="8634" t="s">
        <v>24</v>
      </c>
      <c r="I188" s="8634" t="s">
        <v>722</v>
      </c>
    </row>
    <row customHeight="1" ht="11.25">
      <c r="A189" s="8634" t="s">
        <v>2182</v>
      </c>
      <c r="B189" s="8634" t="s">
        <v>14</v>
      </c>
      <c r="C189" s="8634" t="s">
        <v>2941</v>
      </c>
      <c r="D189" s="8634" t="s">
        <v>2942</v>
      </c>
      <c r="E189" s="8634" t="s">
        <v>2943</v>
      </c>
      <c r="F189" s="8634" t="s">
        <v>2890</v>
      </c>
      <c r="G189" s="8634" t="s">
        <v>2944</v>
      </c>
      <c r="H189" s="8634" t="s">
        <v>24</v>
      </c>
      <c r="I189" s="8634" t="s">
        <v>722</v>
      </c>
    </row>
    <row customHeight="1" ht="11.25">
      <c r="A190" s="8634" t="s">
        <v>2182</v>
      </c>
      <c r="B190" s="8634" t="s">
        <v>14</v>
      </c>
      <c r="C190" s="8634" t="s">
        <v>2945</v>
      </c>
      <c r="D190" s="8634" t="s">
        <v>2946</v>
      </c>
      <c r="E190" s="8634" t="s">
        <v>2947</v>
      </c>
      <c r="F190" s="8634" t="s">
        <v>2948</v>
      </c>
      <c r="G190" s="8634" t="s">
        <v>2949</v>
      </c>
      <c r="H190" s="8634" t="s">
        <v>2187</v>
      </c>
      <c r="I190" s="8634" t="s">
        <v>722</v>
      </c>
    </row>
    <row customHeight="1" ht="11.25">
      <c r="A191" s="8634" t="s">
        <v>2182</v>
      </c>
      <c r="B191" s="8634" t="s">
        <v>14</v>
      </c>
      <c r="C191" s="8634" t="s">
        <v>2950</v>
      </c>
      <c r="D191" s="8634" t="s">
        <v>2951</v>
      </c>
      <c r="E191" s="8634" t="s">
        <v>2952</v>
      </c>
      <c r="F191" s="8634" t="s">
        <v>2389</v>
      </c>
      <c r="G191" s="8634" t="s">
        <v>2953</v>
      </c>
      <c r="H191" s="8634" t="s">
        <v>24</v>
      </c>
      <c r="I191" s="8634" t="s">
        <v>722</v>
      </c>
    </row>
    <row customHeight="1" ht="11.25">
      <c r="A192" s="8634" t="s">
        <v>2182</v>
      </c>
      <c r="B192" s="8634" t="s">
        <v>14</v>
      </c>
      <c r="C192" s="8634" t="s">
        <v>2954</v>
      </c>
      <c r="D192" s="8634" t="s">
        <v>2955</v>
      </c>
      <c r="E192" s="8634" t="s">
        <v>2956</v>
      </c>
      <c r="F192" s="8634" t="s">
        <v>2339</v>
      </c>
      <c r="G192" s="8634" t="s">
        <v>2345</v>
      </c>
      <c r="H192" s="8634" t="s">
        <v>24</v>
      </c>
      <c r="I192" s="8634" t="s">
        <v>722</v>
      </c>
    </row>
    <row customHeight="1" ht="11.25">
      <c r="A193" s="8634" t="s">
        <v>2182</v>
      </c>
      <c r="B193" s="8634" t="s">
        <v>14</v>
      </c>
      <c r="C193" s="8634" t="s">
        <v>2957</v>
      </c>
      <c r="D193" s="8634" t="s">
        <v>2958</v>
      </c>
      <c r="E193" s="8634" t="s">
        <v>2959</v>
      </c>
      <c r="F193" s="8634" t="s">
        <v>2721</v>
      </c>
      <c r="G193" s="8634" t="s">
        <v>2960</v>
      </c>
      <c r="H193" s="8634" t="s">
        <v>2187</v>
      </c>
      <c r="I193" s="8634" t="s">
        <v>722</v>
      </c>
    </row>
    <row customHeight="1" ht="11.25">
      <c r="A194" s="8634" t="s">
        <v>2182</v>
      </c>
      <c r="B194" s="8634" t="s">
        <v>14</v>
      </c>
      <c r="C194" s="8634" t="s">
        <v>2961</v>
      </c>
      <c r="D194" s="8634" t="s">
        <v>2962</v>
      </c>
      <c r="E194" s="8634" t="s">
        <v>2963</v>
      </c>
      <c r="F194" s="8634" t="s">
        <v>2964</v>
      </c>
      <c r="G194" s="8634" t="s">
        <v>2965</v>
      </c>
      <c r="H194" s="8634" t="s">
        <v>24</v>
      </c>
      <c r="I194" s="8634" t="s">
        <v>722</v>
      </c>
    </row>
    <row customHeight="1" ht="11.25">
      <c r="A195" s="8634" t="s">
        <v>2182</v>
      </c>
      <c r="B195" s="8634" t="s">
        <v>14</v>
      </c>
      <c r="C195" s="8634" t="s">
        <v>2966</v>
      </c>
      <c r="D195" s="8634" t="s">
        <v>2967</v>
      </c>
      <c r="E195" s="8634" t="s">
        <v>2968</v>
      </c>
      <c r="F195" s="8634" t="s">
        <v>2411</v>
      </c>
      <c r="G195" s="8634" t="s">
        <v>24</v>
      </c>
      <c r="H195" s="8634" t="s">
        <v>24</v>
      </c>
      <c r="I195" s="8634" t="s">
        <v>722</v>
      </c>
    </row>
    <row customHeight="1" ht="11.25">
      <c r="A196" s="8634" t="s">
        <v>2182</v>
      </c>
      <c r="B196" s="8634" t="s">
        <v>14</v>
      </c>
      <c r="C196" s="8634" t="s">
        <v>2969</v>
      </c>
      <c r="D196" s="8634" t="s">
        <v>2970</v>
      </c>
      <c r="E196" s="8634" t="s">
        <v>2971</v>
      </c>
      <c r="F196" s="8634" t="s">
        <v>2376</v>
      </c>
      <c r="G196" s="8634" t="s">
        <v>2972</v>
      </c>
      <c r="H196" s="8634" t="s">
        <v>24</v>
      </c>
      <c r="I196" s="8634" t="s">
        <v>722</v>
      </c>
    </row>
    <row customHeight="1" ht="11.25">
      <c r="A197" s="8634" t="s">
        <v>2182</v>
      </c>
      <c r="B197" s="8634" t="s">
        <v>14</v>
      </c>
      <c r="C197" s="8634" t="s">
        <v>2973</v>
      </c>
      <c r="D197" s="8634" t="s">
        <v>2974</v>
      </c>
      <c r="E197" s="8634" t="s">
        <v>2975</v>
      </c>
      <c r="F197" s="8634" t="s">
        <v>2976</v>
      </c>
      <c r="G197" s="8634" t="s">
        <v>2977</v>
      </c>
      <c r="H197" s="8634" t="s">
        <v>24</v>
      </c>
      <c r="I197" s="8634" t="s">
        <v>722</v>
      </c>
    </row>
    <row customHeight="1" ht="11.25">
      <c r="A198" s="8634" t="s">
        <v>2182</v>
      </c>
      <c r="B198" s="8634" t="s">
        <v>14</v>
      </c>
      <c r="C198" s="8634" t="s">
        <v>2978</v>
      </c>
      <c r="D198" s="8634" t="s">
        <v>2979</v>
      </c>
      <c r="E198" s="8634" t="s">
        <v>2980</v>
      </c>
      <c r="F198" s="8634" t="s">
        <v>2354</v>
      </c>
      <c r="G198" s="8634" t="s">
        <v>24</v>
      </c>
      <c r="H198" s="8634" t="s">
        <v>2981</v>
      </c>
      <c r="I198" s="8634" t="s">
        <v>722</v>
      </c>
    </row>
    <row customHeight="1" ht="11.25">
      <c r="A199" s="8634" t="s">
        <v>2182</v>
      </c>
      <c r="B199" s="8634" t="s">
        <v>14</v>
      </c>
      <c r="C199" s="8634" t="s">
        <v>2982</v>
      </c>
      <c r="D199" s="8634" t="s">
        <v>2983</v>
      </c>
      <c r="E199" s="8634" t="s">
        <v>2984</v>
      </c>
      <c r="F199" s="8634" t="s">
        <v>2213</v>
      </c>
      <c r="G199" s="8634" t="s">
        <v>24</v>
      </c>
      <c r="H199" s="8634" t="s">
        <v>2187</v>
      </c>
      <c r="I199" s="8634" t="s">
        <v>722</v>
      </c>
    </row>
    <row customHeight="1" ht="11.25">
      <c r="A200" s="8634" t="s">
        <v>2182</v>
      </c>
      <c r="B200" s="8634" t="s">
        <v>14</v>
      </c>
      <c r="C200" s="8634" t="s">
        <v>2985</v>
      </c>
      <c r="D200" s="8634" t="s">
        <v>2986</v>
      </c>
      <c r="E200" s="8634" t="s">
        <v>2987</v>
      </c>
      <c r="F200" s="8634" t="s">
        <v>2988</v>
      </c>
      <c r="G200" s="8634" t="s">
        <v>24</v>
      </c>
      <c r="H200" s="8634" t="s">
        <v>2989</v>
      </c>
      <c r="I200" s="8634" t="s">
        <v>722</v>
      </c>
    </row>
    <row customHeight="1" ht="11.25">
      <c r="A201" s="8634" t="s">
        <v>2182</v>
      </c>
      <c r="B201" s="8634" t="s">
        <v>14</v>
      </c>
      <c r="C201" s="8634" t="s">
        <v>2990</v>
      </c>
      <c r="D201" s="8634" t="s">
        <v>2991</v>
      </c>
      <c r="E201" s="8634" t="s">
        <v>2992</v>
      </c>
      <c r="F201" s="8634" t="s">
        <v>2322</v>
      </c>
      <c r="G201" s="8634" t="s">
        <v>24</v>
      </c>
      <c r="H201" s="8634" t="s">
        <v>2993</v>
      </c>
      <c r="I201" s="8634" t="s">
        <v>722</v>
      </c>
    </row>
    <row customHeight="1" ht="11.25">
      <c r="A202" s="8634" t="s">
        <v>2182</v>
      </c>
      <c r="B202" s="8634" t="s">
        <v>14</v>
      </c>
      <c r="C202" s="8634" t="s">
        <v>2994</v>
      </c>
      <c r="D202" s="8634" t="s">
        <v>2995</v>
      </c>
      <c r="E202" s="8634" t="s">
        <v>2996</v>
      </c>
      <c r="F202" s="8634" t="s">
        <v>2233</v>
      </c>
      <c r="G202" s="8634" t="s">
        <v>24</v>
      </c>
      <c r="H202" s="8634" t="s">
        <v>2187</v>
      </c>
      <c r="I202" s="8634" t="s">
        <v>722</v>
      </c>
    </row>
    <row customHeight="1" ht="11.25">
      <c r="A203" s="8634" t="s">
        <v>2182</v>
      </c>
      <c r="B203" s="8634" t="s">
        <v>14</v>
      </c>
      <c r="C203" s="8634" t="s">
        <v>2997</v>
      </c>
      <c r="D203" s="8634" t="s">
        <v>2998</v>
      </c>
      <c r="E203" s="8634" t="s">
        <v>2999</v>
      </c>
      <c r="F203" s="8634" t="s">
        <v>2322</v>
      </c>
      <c r="G203" s="8634" t="s">
        <v>24</v>
      </c>
      <c r="H203" s="8634" t="s">
        <v>3000</v>
      </c>
      <c r="I203" s="8634" t="s">
        <v>722</v>
      </c>
    </row>
    <row customHeight="1" ht="11.25">
      <c r="A204" s="8634" t="s">
        <v>2182</v>
      </c>
      <c r="B204" s="8634" t="s">
        <v>14</v>
      </c>
      <c r="C204" s="8634" t="s">
        <v>3001</v>
      </c>
      <c r="D204" s="8634" t="s">
        <v>3002</v>
      </c>
      <c r="E204" s="8634" t="s">
        <v>3003</v>
      </c>
      <c r="F204" s="8634" t="s">
        <v>2269</v>
      </c>
      <c r="G204" s="8634" t="s">
        <v>24</v>
      </c>
      <c r="H204" s="8634" t="s">
        <v>2187</v>
      </c>
      <c r="I204" s="8634" t="s">
        <v>722</v>
      </c>
    </row>
    <row customHeight="1" ht="11.25">
      <c r="A205" s="8634" t="s">
        <v>2182</v>
      </c>
      <c r="B205" s="8634" t="s">
        <v>14</v>
      </c>
      <c r="C205" s="8634" t="s">
        <v>3004</v>
      </c>
      <c r="D205" s="8634" t="s">
        <v>3005</v>
      </c>
      <c r="E205" s="8634" t="s">
        <v>3006</v>
      </c>
      <c r="F205" s="8634" t="s">
        <v>3007</v>
      </c>
      <c r="G205" s="8634" t="s">
        <v>24</v>
      </c>
      <c r="H205" s="8634" t="s">
        <v>2187</v>
      </c>
      <c r="I205" s="8634" t="s">
        <v>722</v>
      </c>
    </row>
    <row customHeight="1" ht="11.25">
      <c r="A206" s="8634" t="s">
        <v>2182</v>
      </c>
      <c r="B206" s="8634" t="s">
        <v>14</v>
      </c>
      <c r="C206" s="8634" t="s">
        <v>3008</v>
      </c>
      <c r="D206" s="8634" t="s">
        <v>3009</v>
      </c>
      <c r="E206" s="8634" t="s">
        <v>3010</v>
      </c>
      <c r="F206" s="8634" t="s">
        <v>3011</v>
      </c>
      <c r="G206" s="8634" t="s">
        <v>3012</v>
      </c>
      <c r="H206" s="8634" t="s">
        <v>24</v>
      </c>
      <c r="I206" s="8634" t="s">
        <v>722</v>
      </c>
    </row>
    <row customHeight="1" ht="11.25">
      <c r="A207" s="8634" t="s">
        <v>2182</v>
      </c>
      <c r="B207" s="8634" t="s">
        <v>14</v>
      </c>
      <c r="C207" s="8634" t="s">
        <v>3013</v>
      </c>
      <c r="D207" s="8634" t="s">
        <v>3014</v>
      </c>
      <c r="E207" s="8634" t="s">
        <v>3015</v>
      </c>
      <c r="F207" s="8634" t="s">
        <v>2334</v>
      </c>
      <c r="G207" s="8634" t="s">
        <v>3016</v>
      </c>
      <c r="H207" s="8634" t="s">
        <v>3017</v>
      </c>
      <c r="I207" s="8634" t="s">
        <v>722</v>
      </c>
    </row>
    <row customHeight="1" ht="11.25">
      <c r="A208" s="8634" t="s">
        <v>2182</v>
      </c>
      <c r="B208" s="8634" t="s">
        <v>14</v>
      </c>
      <c r="C208" s="8634" t="s">
        <v>3018</v>
      </c>
      <c r="D208" s="8634" t="s">
        <v>3019</v>
      </c>
      <c r="E208" s="8634" t="s">
        <v>3020</v>
      </c>
      <c r="F208" s="8634" t="s">
        <v>2389</v>
      </c>
      <c r="G208" s="8634" t="s">
        <v>3021</v>
      </c>
      <c r="H208" s="8634" t="s">
        <v>24</v>
      </c>
      <c r="I208" s="8634" t="s">
        <v>722</v>
      </c>
    </row>
    <row customHeight="1" ht="11.25">
      <c r="A209" s="8634" t="s">
        <v>2182</v>
      </c>
      <c r="B209" s="8634" t="s">
        <v>14</v>
      </c>
      <c r="C209" s="8634" t="s">
        <v>3022</v>
      </c>
      <c r="D209" s="8634" t="s">
        <v>3023</v>
      </c>
      <c r="E209" s="8634" t="s">
        <v>3024</v>
      </c>
      <c r="F209" s="8634" t="s">
        <v>2854</v>
      </c>
      <c r="G209" s="8634" t="s">
        <v>3025</v>
      </c>
      <c r="H209" s="8634" t="s">
        <v>24</v>
      </c>
      <c r="I209" s="8634" t="s">
        <v>722</v>
      </c>
    </row>
    <row customHeight="1" ht="11.25">
      <c r="A210" s="8634" t="s">
        <v>2182</v>
      </c>
      <c r="B210" s="8634" t="s">
        <v>14</v>
      </c>
      <c r="C210" s="8634" t="s">
        <v>3026</v>
      </c>
      <c r="D210" s="8634" t="s">
        <v>3027</v>
      </c>
      <c r="E210" s="8634" t="s">
        <v>2746</v>
      </c>
      <c r="F210" s="8634" t="s">
        <v>3028</v>
      </c>
      <c r="G210" s="8634" t="s">
        <v>24</v>
      </c>
      <c r="H210" s="8634" t="s">
        <v>24</v>
      </c>
      <c r="I210" s="8634" t="s">
        <v>722</v>
      </c>
    </row>
    <row customHeight="1" ht="11.25">
      <c r="A211" s="8634" t="s">
        <v>2182</v>
      </c>
      <c r="B211" s="8634" t="s">
        <v>14</v>
      </c>
      <c r="C211" s="8634" t="s">
        <v>3029</v>
      </c>
      <c r="D211" s="8634" t="s">
        <v>3030</v>
      </c>
      <c r="E211" s="8634" t="s">
        <v>3031</v>
      </c>
      <c r="F211" s="8634" t="s">
        <v>2344</v>
      </c>
      <c r="G211" s="8634" t="s">
        <v>3032</v>
      </c>
      <c r="H211" s="8634" t="s">
        <v>24</v>
      </c>
      <c r="I211" s="8634" t="s">
        <v>722</v>
      </c>
    </row>
    <row customHeight="1" ht="11.25">
      <c r="A212" s="8634" t="s">
        <v>2182</v>
      </c>
      <c r="B212" s="8634" t="s">
        <v>14</v>
      </c>
      <c r="C212" s="8634" t="s">
        <v>3033</v>
      </c>
      <c r="D212" s="8634" t="s">
        <v>3034</v>
      </c>
      <c r="E212" s="8634" t="s">
        <v>3035</v>
      </c>
      <c r="F212" s="8634" t="s">
        <v>2398</v>
      </c>
      <c r="G212" s="8634" t="s">
        <v>3036</v>
      </c>
      <c r="H212" s="8634" t="s">
        <v>24</v>
      </c>
      <c r="I212" s="8634" t="s">
        <v>722</v>
      </c>
    </row>
    <row customHeight="1" ht="11.25">
      <c r="A213" s="8634" t="s">
        <v>2182</v>
      </c>
      <c r="B213" s="8634" t="s">
        <v>14</v>
      </c>
      <c r="C213" s="8634" t="s">
        <v>3037</v>
      </c>
      <c r="D213" s="8634" t="s">
        <v>3038</v>
      </c>
      <c r="E213" s="8634" t="s">
        <v>3039</v>
      </c>
      <c r="F213" s="8634" t="s">
        <v>3040</v>
      </c>
      <c r="G213" s="8634" t="s">
        <v>3041</v>
      </c>
      <c r="H213" s="8634" t="s">
        <v>24</v>
      </c>
      <c r="I213" s="8634" t="s">
        <v>722</v>
      </c>
    </row>
    <row customHeight="1" ht="11.25">
      <c r="A214" s="8634" t="s">
        <v>2182</v>
      </c>
      <c r="B214" s="8634" t="s">
        <v>14</v>
      </c>
      <c r="C214" s="8634" t="s">
        <v>3042</v>
      </c>
      <c r="D214" s="8634" t="s">
        <v>3043</v>
      </c>
      <c r="E214" s="8634" t="s">
        <v>3039</v>
      </c>
      <c r="F214" s="8634" t="s">
        <v>2376</v>
      </c>
      <c r="G214" s="8634" t="s">
        <v>24</v>
      </c>
      <c r="H214" s="8634" t="s">
        <v>24</v>
      </c>
      <c r="I214" s="8634" t="s">
        <v>722</v>
      </c>
    </row>
    <row customHeight="1" ht="11.25">
      <c r="A215" s="8634" t="s">
        <v>2182</v>
      </c>
      <c r="B215" s="8634" t="s">
        <v>14</v>
      </c>
      <c r="C215" s="8634" t="s">
        <v>3044</v>
      </c>
      <c r="D215" s="8634" t="s">
        <v>3045</v>
      </c>
      <c r="E215" s="8634" t="s">
        <v>2194</v>
      </c>
      <c r="F215" s="8634" t="s">
        <v>3046</v>
      </c>
      <c r="G215" s="8634" t="s">
        <v>24</v>
      </c>
      <c r="H215" s="8634" t="s">
        <v>2697</v>
      </c>
      <c r="I215" s="8634" t="s">
        <v>722</v>
      </c>
    </row>
    <row customHeight="1" ht="11.25">
      <c r="A216" s="8634" t="s">
        <v>2182</v>
      </c>
      <c r="B216" s="8634" t="s">
        <v>14</v>
      </c>
      <c r="C216" s="8634" t="s">
        <v>3047</v>
      </c>
      <c r="D216" s="8634" t="s">
        <v>3048</v>
      </c>
      <c r="E216" s="8634" t="s">
        <v>3049</v>
      </c>
      <c r="F216" s="8634" t="s">
        <v>3050</v>
      </c>
      <c r="G216" s="8634" t="s">
        <v>3051</v>
      </c>
      <c r="H216" s="8634" t="s">
        <v>24</v>
      </c>
      <c r="I216" s="8634" t="s">
        <v>722</v>
      </c>
    </row>
    <row customHeight="1" ht="11.25">
      <c r="A217" s="8634" t="s">
        <v>2182</v>
      </c>
      <c r="B217" s="8634" t="s">
        <v>14</v>
      </c>
      <c r="C217" s="8634" t="s">
        <v>3052</v>
      </c>
      <c r="D217" s="8634" t="s">
        <v>3053</v>
      </c>
      <c r="E217" s="8634" t="s">
        <v>3054</v>
      </c>
      <c r="F217" s="8634" t="s">
        <v>2613</v>
      </c>
      <c r="G217" s="8634" t="s">
        <v>24</v>
      </c>
      <c r="H217" s="8634" t="s">
        <v>2187</v>
      </c>
      <c r="I217" s="8634" t="s">
        <v>722</v>
      </c>
    </row>
    <row customHeight="1" ht="11.25">
      <c r="A218" s="8634" t="s">
        <v>2182</v>
      </c>
      <c r="B218" s="8634" t="s">
        <v>14</v>
      </c>
      <c r="C218" s="8634" t="s">
        <v>3055</v>
      </c>
      <c r="D218" s="8634" t="s">
        <v>3056</v>
      </c>
      <c r="E218" s="8634" t="s">
        <v>3057</v>
      </c>
      <c r="F218" s="8634" t="s">
        <v>2394</v>
      </c>
      <c r="G218" s="8634" t="s">
        <v>24</v>
      </c>
      <c r="H218" s="8634" t="s">
        <v>24</v>
      </c>
      <c r="I218" s="8634" t="s">
        <v>722</v>
      </c>
    </row>
    <row customHeight="1" ht="11.25">
      <c r="A219" s="8634" t="s">
        <v>2182</v>
      </c>
      <c r="B219" s="8634" t="s">
        <v>14</v>
      </c>
      <c r="C219" s="8634" t="s">
        <v>3058</v>
      </c>
      <c r="D219" s="8634" t="s">
        <v>3059</v>
      </c>
      <c r="E219" s="8634" t="s">
        <v>3060</v>
      </c>
      <c r="F219" s="8634" t="s">
        <v>2613</v>
      </c>
      <c r="G219" s="8634" t="s">
        <v>3061</v>
      </c>
      <c r="H219" s="8634" t="s">
        <v>2187</v>
      </c>
      <c r="I219" s="8634" t="s">
        <v>722</v>
      </c>
    </row>
    <row customHeight="1" ht="11.25">
      <c r="A220" s="8634" t="s">
        <v>2182</v>
      </c>
      <c r="B220" s="8634" t="s">
        <v>14</v>
      </c>
      <c r="C220" s="8634" t="s">
        <v>3062</v>
      </c>
      <c r="D220" s="8634" t="s">
        <v>3063</v>
      </c>
      <c r="E220" s="8634" t="s">
        <v>3064</v>
      </c>
      <c r="F220" s="8634" t="s">
        <v>2398</v>
      </c>
      <c r="G220" s="8634" t="s">
        <v>3065</v>
      </c>
      <c r="H220" s="8634" t="s">
        <v>24</v>
      </c>
      <c r="I220" s="8634" t="s">
        <v>722</v>
      </c>
    </row>
    <row customHeight="1" ht="11.25">
      <c r="A221" s="8634" t="s">
        <v>2182</v>
      </c>
      <c r="B221" s="8634" t="s">
        <v>14</v>
      </c>
      <c r="C221" s="8634" t="s">
        <v>3066</v>
      </c>
      <c r="D221" s="8634" t="s">
        <v>3067</v>
      </c>
      <c r="E221" s="8634" t="s">
        <v>3068</v>
      </c>
      <c r="F221" s="8634" t="s">
        <v>3069</v>
      </c>
      <c r="G221" s="8634" t="s">
        <v>24</v>
      </c>
      <c r="H221" s="8634" t="s">
        <v>2187</v>
      </c>
      <c r="I221" s="8634" t="s">
        <v>722</v>
      </c>
    </row>
    <row customHeight="1" ht="11.25">
      <c r="A222" s="8634" t="s">
        <v>2182</v>
      </c>
      <c r="B222" s="8634" t="s">
        <v>14</v>
      </c>
      <c r="C222" s="8634" t="s">
        <v>3070</v>
      </c>
      <c r="D222" s="8634" t="s">
        <v>3067</v>
      </c>
      <c r="E222" s="8634" t="s">
        <v>3068</v>
      </c>
      <c r="F222" s="8634" t="s">
        <v>2613</v>
      </c>
      <c r="G222" s="8634" t="s">
        <v>24</v>
      </c>
      <c r="H222" s="8634" t="s">
        <v>2187</v>
      </c>
      <c r="I222" s="8634" t="s">
        <v>722</v>
      </c>
    </row>
    <row customHeight="1" ht="11.25">
      <c r="A223" s="8634" t="s">
        <v>2182</v>
      </c>
      <c r="B223" s="8634" t="s">
        <v>14</v>
      </c>
      <c r="C223" s="8634" t="s">
        <v>3071</v>
      </c>
      <c r="D223" s="8634" t="s">
        <v>3072</v>
      </c>
      <c r="E223" s="8634" t="s">
        <v>3073</v>
      </c>
      <c r="F223" s="8634" t="s">
        <v>2250</v>
      </c>
      <c r="G223" s="8634" t="s">
        <v>24</v>
      </c>
      <c r="H223" s="8634" t="s">
        <v>24</v>
      </c>
      <c r="I223" s="8634" t="s">
        <v>722</v>
      </c>
    </row>
    <row customHeight="1" ht="11.25">
      <c r="A224" s="8634" t="s">
        <v>2182</v>
      </c>
      <c r="B224" s="8634" t="s">
        <v>14</v>
      </c>
      <c r="C224" s="8634" t="s">
        <v>3074</v>
      </c>
      <c r="D224" s="8634" t="s">
        <v>3075</v>
      </c>
      <c r="E224" s="8634" t="s">
        <v>3076</v>
      </c>
      <c r="F224" s="8634" t="s">
        <v>2213</v>
      </c>
      <c r="G224" s="8634" t="s">
        <v>24</v>
      </c>
      <c r="H224" s="8634" t="s">
        <v>2187</v>
      </c>
      <c r="I224" s="8634" t="s">
        <v>722</v>
      </c>
    </row>
    <row customHeight="1" ht="11.25">
      <c r="A225" s="8634" t="s">
        <v>2182</v>
      </c>
      <c r="B225" s="8634" t="s">
        <v>14</v>
      </c>
      <c r="C225" s="8634" t="s">
        <v>3077</v>
      </c>
      <c r="D225" s="8634" t="s">
        <v>3075</v>
      </c>
      <c r="E225" s="8634" t="s">
        <v>3076</v>
      </c>
      <c r="F225" s="8634" t="s">
        <v>3078</v>
      </c>
      <c r="G225" s="8634" t="s">
        <v>24</v>
      </c>
      <c r="H225" s="8634" t="s">
        <v>3079</v>
      </c>
      <c r="I225" s="8634" t="s">
        <v>722</v>
      </c>
    </row>
    <row customHeight="1" ht="11.25">
      <c r="A226" s="8634" t="s">
        <v>2182</v>
      </c>
      <c r="B226" s="8634" t="s">
        <v>14</v>
      </c>
      <c r="C226" s="8634" t="s">
        <v>3080</v>
      </c>
      <c r="D226" s="8634" t="s">
        <v>3081</v>
      </c>
      <c r="E226" s="8634" t="s">
        <v>3082</v>
      </c>
      <c r="F226" s="8634" t="s">
        <v>2727</v>
      </c>
      <c r="G226" s="8634" t="s">
        <v>3083</v>
      </c>
      <c r="H226" s="8634" t="s">
        <v>2187</v>
      </c>
      <c r="I226" s="8634" t="s">
        <v>722</v>
      </c>
    </row>
    <row customHeight="1" ht="11.25">
      <c r="A227" s="8634" t="s">
        <v>2182</v>
      </c>
      <c r="B227" s="8634" t="s">
        <v>14</v>
      </c>
      <c r="C227" s="8634" t="s">
        <v>3084</v>
      </c>
      <c r="D227" s="8634" t="s">
        <v>3085</v>
      </c>
      <c r="E227" s="8634" t="s">
        <v>3086</v>
      </c>
      <c r="F227" s="8634" t="s">
        <v>2245</v>
      </c>
      <c r="G227" s="8634" t="s">
        <v>24</v>
      </c>
      <c r="H227" s="8634" t="s">
        <v>2187</v>
      </c>
      <c r="I227" s="8634" t="s">
        <v>722</v>
      </c>
    </row>
    <row customHeight="1" ht="11.25">
      <c r="A228" s="8634" t="s">
        <v>2182</v>
      </c>
      <c r="B228" s="8634" t="s">
        <v>14</v>
      </c>
      <c r="C228" s="8634" t="s">
        <v>3087</v>
      </c>
      <c r="D228" s="8634" t="s">
        <v>3088</v>
      </c>
      <c r="E228" s="8634" t="s">
        <v>3089</v>
      </c>
      <c r="F228" s="8634" t="s">
        <v>2245</v>
      </c>
      <c r="G228" s="8634" t="s">
        <v>24</v>
      </c>
      <c r="H228" s="8634" t="s">
        <v>24</v>
      </c>
      <c r="I228" s="8634" t="s">
        <v>722</v>
      </c>
    </row>
    <row customHeight="1" ht="11.25">
      <c r="A229" s="8634" t="s">
        <v>2182</v>
      </c>
      <c r="B229" s="8634" t="s">
        <v>14</v>
      </c>
      <c r="C229" s="8634" t="s">
        <v>3090</v>
      </c>
      <c r="D229" s="8634" t="s">
        <v>3091</v>
      </c>
      <c r="E229" s="8634" t="s">
        <v>3092</v>
      </c>
      <c r="F229" s="8634" t="s">
        <v>2245</v>
      </c>
      <c r="G229" s="8634" t="s">
        <v>24</v>
      </c>
      <c r="H229" s="8634" t="s">
        <v>3093</v>
      </c>
      <c r="I229" s="8634" t="s">
        <v>722</v>
      </c>
    </row>
    <row customHeight="1" ht="11.25">
      <c r="A230" s="8634" t="s">
        <v>2182</v>
      </c>
      <c r="B230" s="8634" t="s">
        <v>14</v>
      </c>
      <c r="C230" s="8634" t="s">
        <v>3094</v>
      </c>
      <c r="D230" s="8634" t="s">
        <v>3095</v>
      </c>
      <c r="E230" s="8634" t="s">
        <v>3096</v>
      </c>
      <c r="F230" s="8634" t="s">
        <v>2213</v>
      </c>
      <c r="G230" s="8634" t="s">
        <v>24</v>
      </c>
      <c r="H230" s="8634" t="s">
        <v>2187</v>
      </c>
      <c r="I230" s="8634" t="s">
        <v>722</v>
      </c>
    </row>
    <row customHeight="1" ht="11.25">
      <c r="A231" s="8634" t="s">
        <v>2182</v>
      </c>
      <c r="B231" s="8634" t="s">
        <v>14</v>
      </c>
      <c r="C231" s="8634" t="s">
        <v>3097</v>
      </c>
      <c r="D231" s="8634" t="s">
        <v>3098</v>
      </c>
      <c r="E231" s="8634" t="s">
        <v>3099</v>
      </c>
      <c r="F231" s="8634" t="s">
        <v>3100</v>
      </c>
      <c r="G231" s="8634" t="s">
        <v>24</v>
      </c>
      <c r="H231" s="8634" t="s">
        <v>2187</v>
      </c>
      <c r="I231" s="8634" t="s">
        <v>722</v>
      </c>
    </row>
    <row customHeight="1" ht="11.25">
      <c r="A232" s="8634" t="s">
        <v>2182</v>
      </c>
      <c r="B232" s="8634" t="s">
        <v>14</v>
      </c>
      <c r="C232" s="8634" t="s">
        <v>3101</v>
      </c>
      <c r="D232" s="8634" t="s">
        <v>3102</v>
      </c>
      <c r="E232" s="8634" t="s">
        <v>3103</v>
      </c>
      <c r="F232" s="8634" t="s">
        <v>2600</v>
      </c>
      <c r="G232" s="8634" t="s">
        <v>3104</v>
      </c>
      <c r="H232" s="8634" t="s">
        <v>24</v>
      </c>
      <c r="I232" s="8634" t="s">
        <v>722</v>
      </c>
    </row>
    <row customHeight="1" ht="11.25">
      <c r="A233" s="8634" t="s">
        <v>2182</v>
      </c>
      <c r="B233" s="8634" t="s">
        <v>14</v>
      </c>
      <c r="C233" s="8634" t="s">
        <v>3105</v>
      </c>
      <c r="D233" s="8634" t="s">
        <v>3106</v>
      </c>
      <c r="E233" s="8634" t="s">
        <v>3107</v>
      </c>
      <c r="F233" s="8634" t="s">
        <v>2213</v>
      </c>
      <c r="G233" s="8634" t="s">
        <v>24</v>
      </c>
      <c r="H233" s="8634" t="s">
        <v>3108</v>
      </c>
      <c r="I233" s="8634" t="s">
        <v>722</v>
      </c>
    </row>
    <row customHeight="1" ht="11.25">
      <c r="A234" s="8634" t="s">
        <v>2182</v>
      </c>
      <c r="B234" s="8634" t="s">
        <v>14</v>
      </c>
      <c r="C234" s="8634" t="s">
        <v>3109</v>
      </c>
      <c r="D234" s="8634" t="s">
        <v>3110</v>
      </c>
      <c r="E234" s="8634" t="s">
        <v>3111</v>
      </c>
      <c r="F234" s="8634" t="s">
        <v>3007</v>
      </c>
      <c r="G234" s="8634" t="s">
        <v>24</v>
      </c>
      <c r="H234" s="8634" t="s">
        <v>2187</v>
      </c>
      <c r="I234" s="8634" t="s">
        <v>722</v>
      </c>
    </row>
    <row customHeight="1" ht="11.25">
      <c r="A235" s="8634" t="s">
        <v>2182</v>
      </c>
      <c r="B235" s="8634" t="s">
        <v>14</v>
      </c>
      <c r="C235" s="8634" t="s">
        <v>3112</v>
      </c>
      <c r="D235" s="8634" t="s">
        <v>3113</v>
      </c>
      <c r="E235" s="8634" t="s">
        <v>3114</v>
      </c>
      <c r="F235" s="8634" t="s">
        <v>2363</v>
      </c>
      <c r="G235" s="8634" t="s">
        <v>3115</v>
      </c>
      <c r="H235" s="8634" t="s">
        <v>24</v>
      </c>
      <c r="I235" s="8634" t="s">
        <v>722</v>
      </c>
    </row>
    <row customHeight="1" ht="11.25">
      <c r="A236" s="8634" t="s">
        <v>2182</v>
      </c>
      <c r="B236" s="8634" t="s">
        <v>14</v>
      </c>
      <c r="C236" s="8634" t="s">
        <v>3116</v>
      </c>
      <c r="D236" s="8634" t="s">
        <v>3117</v>
      </c>
      <c r="E236" s="8634" t="s">
        <v>3118</v>
      </c>
      <c r="F236" s="8634" t="s">
        <v>3119</v>
      </c>
      <c r="G236" s="8634" t="s">
        <v>24</v>
      </c>
      <c r="H236" s="8634" t="s">
        <v>24</v>
      </c>
      <c r="I236" s="8634" t="s">
        <v>722</v>
      </c>
    </row>
    <row customHeight="1" ht="11.25">
      <c r="A237" s="8634" t="s">
        <v>2182</v>
      </c>
      <c r="B237" s="8634" t="s">
        <v>14</v>
      </c>
      <c r="C237" s="8634" t="s">
        <v>3120</v>
      </c>
      <c r="D237" s="8634" t="s">
        <v>3121</v>
      </c>
      <c r="E237" s="8634" t="s">
        <v>3118</v>
      </c>
      <c r="F237" s="8634" t="s">
        <v>3122</v>
      </c>
      <c r="G237" s="8634" t="s">
        <v>24</v>
      </c>
      <c r="H237" s="8634" t="s">
        <v>24</v>
      </c>
      <c r="I237" s="8634" t="s">
        <v>722</v>
      </c>
    </row>
    <row customHeight="1" ht="11.25">
      <c r="A238" s="8634" t="s">
        <v>2182</v>
      </c>
      <c r="B238" s="8634" t="s">
        <v>14</v>
      </c>
      <c r="C238" s="8634" t="s">
        <v>3123</v>
      </c>
      <c r="D238" s="8634" t="s">
        <v>3124</v>
      </c>
      <c r="E238" s="8634" t="s">
        <v>3125</v>
      </c>
      <c r="F238" s="8634" t="s">
        <v>3126</v>
      </c>
      <c r="G238" s="8634" t="s">
        <v>24</v>
      </c>
      <c r="H238" s="8634" t="s">
        <v>24</v>
      </c>
      <c r="I238" s="8634" t="s">
        <v>722</v>
      </c>
    </row>
    <row customHeight="1" ht="11.25">
      <c r="A239" s="8634" t="s">
        <v>2182</v>
      </c>
      <c r="B239" s="8634" t="s">
        <v>14</v>
      </c>
      <c r="C239" s="8634" t="s">
        <v>3127</v>
      </c>
      <c r="D239" s="8634" t="s">
        <v>3128</v>
      </c>
      <c r="E239" s="8634" t="s">
        <v>3129</v>
      </c>
      <c r="F239" s="8634" t="s">
        <v>3130</v>
      </c>
      <c r="G239" s="8634" t="s">
        <v>24</v>
      </c>
      <c r="H239" s="8634" t="s">
        <v>2187</v>
      </c>
      <c r="I239" s="8634" t="s">
        <v>722</v>
      </c>
    </row>
    <row customHeight="1" ht="11.25">
      <c r="A240" s="8634" t="s">
        <v>2182</v>
      </c>
      <c r="B240" s="8634" t="s">
        <v>14</v>
      </c>
      <c r="C240" s="8634" t="s">
        <v>3131</v>
      </c>
      <c r="D240" s="8634" t="s">
        <v>3132</v>
      </c>
      <c r="E240" s="8634" t="s">
        <v>3133</v>
      </c>
      <c r="F240" s="8634" t="s">
        <v>2233</v>
      </c>
      <c r="G240" s="8634" t="s">
        <v>3134</v>
      </c>
      <c r="H240" s="8634" t="s">
        <v>24</v>
      </c>
      <c r="I240" s="8634" t="s">
        <v>722</v>
      </c>
    </row>
    <row customHeight="1" ht="11.25">
      <c r="A241" s="8634" t="s">
        <v>2182</v>
      </c>
      <c r="B241" s="8634" t="s">
        <v>14</v>
      </c>
      <c r="C241" s="8634" t="s">
        <v>3135</v>
      </c>
      <c r="D241" s="8634" t="s">
        <v>3136</v>
      </c>
      <c r="E241" s="8634" t="s">
        <v>3137</v>
      </c>
      <c r="F241" s="8634" t="s">
        <v>2186</v>
      </c>
      <c r="G241" s="8634" t="s">
        <v>3138</v>
      </c>
      <c r="H241" s="8634" t="s">
        <v>2238</v>
      </c>
      <c r="I241" s="8634" t="s">
        <v>722</v>
      </c>
    </row>
    <row customHeight="1" ht="11.25">
      <c r="A242" s="8634" t="s">
        <v>2182</v>
      </c>
      <c r="B242" s="8634" t="s">
        <v>14</v>
      </c>
      <c r="C242" s="8634" t="s">
        <v>3139</v>
      </c>
      <c r="D242" s="8634" t="s">
        <v>3140</v>
      </c>
      <c r="E242" s="8634" t="s">
        <v>3141</v>
      </c>
      <c r="F242" s="8634" t="s">
        <v>2344</v>
      </c>
      <c r="G242" s="8634" t="s">
        <v>24</v>
      </c>
      <c r="H242" s="8634" t="s">
        <v>3142</v>
      </c>
      <c r="I242" s="8634" t="s">
        <v>722</v>
      </c>
    </row>
    <row customHeight="1" ht="11.25">
      <c r="A243" s="8634" t="s">
        <v>2182</v>
      </c>
      <c r="B243" s="8634" t="s">
        <v>14</v>
      </c>
      <c r="C243" s="8634" t="s">
        <v>3143</v>
      </c>
      <c r="D243" s="8634" t="s">
        <v>3144</v>
      </c>
      <c r="E243" s="8634" t="s">
        <v>3145</v>
      </c>
      <c r="F243" s="8634" t="s">
        <v>2626</v>
      </c>
      <c r="G243" s="8634" t="s">
        <v>24</v>
      </c>
      <c r="H243" s="8634" t="s">
        <v>2187</v>
      </c>
      <c r="I243" s="8634" t="s">
        <v>722</v>
      </c>
    </row>
    <row customHeight="1" ht="11.25">
      <c r="A244" s="8634" t="s">
        <v>2182</v>
      </c>
      <c r="B244" s="8634" t="s">
        <v>14</v>
      </c>
      <c r="C244" s="8634" t="s">
        <v>3146</v>
      </c>
      <c r="D244" s="8634" t="s">
        <v>3147</v>
      </c>
      <c r="E244" s="8634" t="s">
        <v>3049</v>
      </c>
      <c r="F244" s="8634" t="s">
        <v>2671</v>
      </c>
      <c r="G244" s="8634" t="s">
        <v>24</v>
      </c>
      <c r="H244" s="8634" t="s">
        <v>2187</v>
      </c>
      <c r="I244" s="8634" t="s">
        <v>722</v>
      </c>
    </row>
    <row customHeight="1" ht="11.25">
      <c r="A245" s="8634" t="s">
        <v>2182</v>
      </c>
      <c r="B245" s="8634" t="s">
        <v>14</v>
      </c>
      <c r="C245" s="8634" t="s">
        <v>3148</v>
      </c>
      <c r="D245" s="8634" t="s">
        <v>3149</v>
      </c>
      <c r="E245" s="8634" t="s">
        <v>3150</v>
      </c>
      <c r="F245" s="8634" t="s">
        <v>2186</v>
      </c>
      <c r="G245" s="8634" t="s">
        <v>24</v>
      </c>
      <c r="H245" s="8634" t="s">
        <v>2187</v>
      </c>
      <c r="I245" s="8634" t="s">
        <v>722</v>
      </c>
    </row>
    <row customHeight="1" ht="11.25">
      <c r="A246" s="8634" t="s">
        <v>2182</v>
      </c>
      <c r="B246" s="8634" t="s">
        <v>14</v>
      </c>
      <c r="C246" s="8634" t="s">
        <v>3151</v>
      </c>
      <c r="D246" s="8634" t="s">
        <v>3152</v>
      </c>
      <c r="E246" s="8634" t="s">
        <v>3153</v>
      </c>
      <c r="F246" s="8634" t="s">
        <v>2218</v>
      </c>
      <c r="G246" s="8634" t="s">
        <v>24</v>
      </c>
      <c r="H246" s="8634" t="s">
        <v>24</v>
      </c>
      <c r="I246" s="8634" t="s">
        <v>722</v>
      </c>
    </row>
    <row customHeight="1" ht="11.25">
      <c r="A247" s="8634" t="s">
        <v>2182</v>
      </c>
      <c r="B247" s="8634" t="s">
        <v>14</v>
      </c>
      <c r="C247" s="8634" t="s">
        <v>3154</v>
      </c>
      <c r="D247" s="8634" t="s">
        <v>3155</v>
      </c>
      <c r="E247" s="8634" t="s">
        <v>3156</v>
      </c>
      <c r="F247" s="8634" t="s">
        <v>2854</v>
      </c>
      <c r="G247" s="8634" t="s">
        <v>3157</v>
      </c>
      <c r="H247" s="8634" t="s">
        <v>24</v>
      </c>
      <c r="I247" s="8634" t="s">
        <v>722</v>
      </c>
    </row>
    <row customHeight="1" ht="11.25">
      <c r="A248" s="8634" t="s">
        <v>2182</v>
      </c>
      <c r="B248" s="8634" t="s">
        <v>14</v>
      </c>
      <c r="C248" s="8634" t="s">
        <v>3158</v>
      </c>
      <c r="D248" s="8634" t="s">
        <v>3159</v>
      </c>
      <c r="E248" s="8634" t="s">
        <v>3160</v>
      </c>
      <c r="F248" s="8634" t="s">
        <v>2213</v>
      </c>
      <c r="G248" s="8634" t="s">
        <v>3161</v>
      </c>
      <c r="H248" s="8634" t="s">
        <v>24</v>
      </c>
      <c r="I248" s="8634" t="s">
        <v>722</v>
      </c>
    </row>
    <row customHeight="1" ht="11.25">
      <c r="A249" s="8634" t="s">
        <v>2182</v>
      </c>
      <c r="B249" s="8634" t="s">
        <v>14</v>
      </c>
      <c r="C249" s="8634" t="s">
        <v>3162</v>
      </c>
      <c r="D249" s="8634" t="s">
        <v>3163</v>
      </c>
      <c r="E249" s="8634" t="s">
        <v>3164</v>
      </c>
      <c r="F249" s="8634" t="s">
        <v>2600</v>
      </c>
      <c r="G249" s="8634" t="s">
        <v>24</v>
      </c>
      <c r="H249" s="8634" t="s">
        <v>2187</v>
      </c>
      <c r="I249" s="8634" t="s">
        <v>722</v>
      </c>
    </row>
    <row customHeight="1" ht="11.25">
      <c r="A250" s="8634" t="s">
        <v>2182</v>
      </c>
      <c r="B250" s="8634" t="s">
        <v>14</v>
      </c>
      <c r="C250" s="8634" t="s">
        <v>3165</v>
      </c>
      <c r="D250" s="8634" t="s">
        <v>3166</v>
      </c>
      <c r="E250" s="8634" t="s">
        <v>3167</v>
      </c>
      <c r="F250" s="8634" t="s">
        <v>2344</v>
      </c>
      <c r="G250" s="8634" t="s">
        <v>24</v>
      </c>
      <c r="H250" s="8634" t="s">
        <v>2187</v>
      </c>
      <c r="I250" s="8634" t="s">
        <v>722</v>
      </c>
    </row>
    <row customHeight="1" ht="11.25">
      <c r="A251" s="8634" t="s">
        <v>2182</v>
      </c>
      <c r="B251" s="8634" t="s">
        <v>14</v>
      </c>
      <c r="C251" s="8634" t="s">
        <v>3168</v>
      </c>
      <c r="D251" s="8634" t="s">
        <v>3169</v>
      </c>
      <c r="E251" s="8634" t="s">
        <v>3170</v>
      </c>
      <c r="F251" s="8634" t="s">
        <v>2854</v>
      </c>
      <c r="G251" s="8634" t="s">
        <v>24</v>
      </c>
      <c r="H251" s="8634" t="s">
        <v>24</v>
      </c>
      <c r="I251" s="8634" t="s">
        <v>722</v>
      </c>
    </row>
    <row customHeight="1" ht="11.25">
      <c r="A252" s="8634" t="s">
        <v>2182</v>
      </c>
      <c r="B252" s="8634" t="s">
        <v>14</v>
      </c>
      <c r="C252" s="8634" t="s">
        <v>3171</v>
      </c>
      <c r="D252" s="8634" t="s">
        <v>3172</v>
      </c>
      <c r="E252" s="8634" t="s">
        <v>3173</v>
      </c>
      <c r="F252" s="8634" t="s">
        <v>2600</v>
      </c>
      <c r="G252" s="8634" t="s">
        <v>3174</v>
      </c>
      <c r="H252" s="8634" t="s">
        <v>24</v>
      </c>
      <c r="I252" s="8634" t="s">
        <v>722</v>
      </c>
    </row>
    <row customHeight="1" ht="11.25">
      <c r="A253" s="8634" t="s">
        <v>2182</v>
      </c>
      <c r="B253" s="8634" t="s">
        <v>14</v>
      </c>
      <c r="C253" s="8634" t="s">
        <v>3175</v>
      </c>
      <c r="D253" s="8634" t="s">
        <v>3176</v>
      </c>
      <c r="E253" s="8634" t="s">
        <v>3177</v>
      </c>
      <c r="F253" s="8634" t="s">
        <v>2671</v>
      </c>
      <c r="G253" s="8634" t="s">
        <v>24</v>
      </c>
      <c r="H253" s="8634" t="s">
        <v>2187</v>
      </c>
      <c r="I253" s="8634" t="s">
        <v>722</v>
      </c>
    </row>
    <row customHeight="1" ht="11.25">
      <c r="A254" s="8634" t="s">
        <v>2182</v>
      </c>
      <c r="B254" s="8634" t="s">
        <v>14</v>
      </c>
      <c r="C254" s="8634" t="s">
        <v>3178</v>
      </c>
      <c r="D254" s="8634" t="s">
        <v>3179</v>
      </c>
      <c r="E254" s="8634" t="s">
        <v>3180</v>
      </c>
      <c r="F254" s="8634" t="s">
        <v>2334</v>
      </c>
      <c r="G254" s="8634" t="s">
        <v>24</v>
      </c>
      <c r="H254" s="8634" t="s">
        <v>2187</v>
      </c>
      <c r="I254" s="8634" t="s">
        <v>722</v>
      </c>
    </row>
    <row customHeight="1" ht="11.25">
      <c r="A255" s="8634" t="s">
        <v>2182</v>
      </c>
      <c r="B255" s="8634" t="s">
        <v>14</v>
      </c>
      <c r="C255" s="8634" t="s">
        <v>3181</v>
      </c>
      <c r="D255" s="8634" t="s">
        <v>3182</v>
      </c>
      <c r="E255" s="8634" t="s">
        <v>3183</v>
      </c>
      <c r="F255" s="8634" t="s">
        <v>2186</v>
      </c>
      <c r="G255" s="8634" t="s">
        <v>24</v>
      </c>
      <c r="H255" s="8634" t="s">
        <v>24</v>
      </c>
      <c r="I255" s="8634" t="s">
        <v>722</v>
      </c>
    </row>
    <row customHeight="1" ht="11.25">
      <c r="A256" s="8634" t="s">
        <v>2182</v>
      </c>
      <c r="B256" s="8634" t="s">
        <v>14</v>
      </c>
      <c r="C256" s="8634" t="s">
        <v>3184</v>
      </c>
      <c r="D256" s="8634" t="s">
        <v>3185</v>
      </c>
      <c r="E256" s="8634" t="s">
        <v>3186</v>
      </c>
      <c r="F256" s="8634" t="s">
        <v>3007</v>
      </c>
      <c r="G256" s="8634" t="s">
        <v>24</v>
      </c>
      <c r="H256" s="8634" t="s">
        <v>24</v>
      </c>
      <c r="I256" s="8634" t="s">
        <v>722</v>
      </c>
    </row>
    <row customHeight="1" ht="11.25">
      <c r="A257" s="8634" t="s">
        <v>2182</v>
      </c>
      <c r="B257" s="8634" t="s">
        <v>14</v>
      </c>
      <c r="C257" s="8634" t="s">
        <v>3187</v>
      </c>
      <c r="D257" s="8634" t="s">
        <v>3188</v>
      </c>
      <c r="E257" s="8634" t="s">
        <v>3189</v>
      </c>
      <c r="F257" s="8634" t="s">
        <v>2322</v>
      </c>
      <c r="G257" s="8634" t="s">
        <v>24</v>
      </c>
      <c r="H257" s="8634" t="s">
        <v>2187</v>
      </c>
      <c r="I257" s="8634" t="s">
        <v>722</v>
      </c>
    </row>
    <row customHeight="1" ht="11.25">
      <c r="A258" s="8634" t="s">
        <v>2182</v>
      </c>
      <c r="B258" s="8634" t="s">
        <v>14</v>
      </c>
      <c r="C258" s="8634" t="s">
        <v>3190</v>
      </c>
      <c r="D258" s="8634" t="s">
        <v>3191</v>
      </c>
      <c r="E258" s="8634" t="s">
        <v>3192</v>
      </c>
      <c r="F258" s="8634" t="s">
        <v>2349</v>
      </c>
      <c r="G258" s="8634" t="s">
        <v>24</v>
      </c>
      <c r="H258" s="8634" t="s">
        <v>24</v>
      </c>
      <c r="I258" s="8634" t="s">
        <v>722</v>
      </c>
    </row>
    <row customHeight="1" ht="11.25">
      <c r="A259" s="8634" t="s">
        <v>2182</v>
      </c>
      <c r="B259" s="8634" t="s">
        <v>14</v>
      </c>
      <c r="C259" s="8634" t="s">
        <v>3193</v>
      </c>
      <c r="D259" s="8634" t="s">
        <v>3194</v>
      </c>
      <c r="E259" s="8634" t="s">
        <v>3195</v>
      </c>
      <c r="F259" s="8634" t="s">
        <v>2398</v>
      </c>
      <c r="G259" s="8634" t="s">
        <v>3196</v>
      </c>
      <c r="H259" s="8634" t="s">
        <v>2187</v>
      </c>
      <c r="I259" s="8634" t="s">
        <v>722</v>
      </c>
    </row>
    <row customHeight="1" ht="11.25">
      <c r="A260" s="8634" t="s">
        <v>2182</v>
      </c>
      <c r="B260" s="8634" t="s">
        <v>14</v>
      </c>
      <c r="C260" s="8634" t="s">
        <v>3197</v>
      </c>
      <c r="D260" s="8634" t="s">
        <v>3198</v>
      </c>
      <c r="E260" s="8634" t="s">
        <v>3199</v>
      </c>
      <c r="F260" s="8634" t="s">
        <v>3200</v>
      </c>
      <c r="G260" s="8634" t="s">
        <v>3201</v>
      </c>
      <c r="H260" s="8634" t="s">
        <v>24</v>
      </c>
      <c r="I260" s="8634" t="s">
        <v>722</v>
      </c>
    </row>
    <row customHeight="1" ht="11.25">
      <c r="A261" s="8634" t="s">
        <v>2182</v>
      </c>
      <c r="B261" s="8634" t="s">
        <v>14</v>
      </c>
      <c r="C261" s="8634" t="s">
        <v>3202</v>
      </c>
      <c r="D261" s="8634" t="s">
        <v>3203</v>
      </c>
      <c r="E261" s="8634" t="s">
        <v>3204</v>
      </c>
      <c r="F261" s="8634" t="s">
        <v>2322</v>
      </c>
      <c r="G261" s="8634" t="s">
        <v>24</v>
      </c>
      <c r="H261" s="8634" t="s">
        <v>2187</v>
      </c>
      <c r="I261" s="8634" t="s">
        <v>722</v>
      </c>
    </row>
    <row customHeight="1" ht="11.25">
      <c r="A262" s="8634" t="s">
        <v>2182</v>
      </c>
      <c r="B262" s="8634" t="s">
        <v>14</v>
      </c>
      <c r="C262" s="8634" t="s">
        <v>3205</v>
      </c>
      <c r="D262" s="8634" t="s">
        <v>3206</v>
      </c>
      <c r="E262" s="8634" t="s">
        <v>3207</v>
      </c>
      <c r="F262" s="8634" t="s">
        <v>2334</v>
      </c>
      <c r="G262" s="8634" t="s">
        <v>3208</v>
      </c>
      <c r="H262" s="8634" t="s">
        <v>24</v>
      </c>
      <c r="I262" s="8634" t="s">
        <v>722</v>
      </c>
    </row>
    <row customHeight="1" ht="11.25">
      <c r="A263" s="8634" t="s">
        <v>2182</v>
      </c>
      <c r="B263" s="8634" t="s">
        <v>14</v>
      </c>
      <c r="C263" s="8634" t="s">
        <v>3209</v>
      </c>
      <c r="D263" s="8634" t="s">
        <v>3210</v>
      </c>
      <c r="E263" s="8634" t="s">
        <v>3211</v>
      </c>
      <c r="F263" s="8634" t="s">
        <v>3212</v>
      </c>
      <c r="G263" s="8634" t="s">
        <v>24</v>
      </c>
      <c r="H263" s="8634" t="s">
        <v>2187</v>
      </c>
      <c r="I263" s="8634" t="s">
        <v>722</v>
      </c>
    </row>
    <row customHeight="1" ht="11.25">
      <c r="A264" s="8634" t="s">
        <v>2182</v>
      </c>
      <c r="B264" s="8634" t="s">
        <v>14</v>
      </c>
      <c r="C264" s="8634" t="s">
        <v>3213</v>
      </c>
      <c r="D264" s="8634" t="s">
        <v>3214</v>
      </c>
      <c r="E264" s="8634" t="s">
        <v>3215</v>
      </c>
      <c r="F264" s="8634" t="s">
        <v>2600</v>
      </c>
      <c r="G264" s="8634" t="s">
        <v>24</v>
      </c>
      <c r="H264" s="8634" t="s">
        <v>24</v>
      </c>
      <c r="I264" s="8634" t="s">
        <v>722</v>
      </c>
    </row>
    <row customHeight="1" ht="11.25">
      <c r="A265" s="8634" t="s">
        <v>2182</v>
      </c>
      <c r="B265" s="8634" t="s">
        <v>14</v>
      </c>
      <c r="C265" s="8634" t="s">
        <v>3216</v>
      </c>
      <c r="D265" s="8634" t="s">
        <v>3217</v>
      </c>
      <c r="E265" s="8634" t="s">
        <v>3218</v>
      </c>
      <c r="F265" s="8634" t="s">
        <v>2344</v>
      </c>
      <c r="G265" s="8634" t="s">
        <v>24</v>
      </c>
      <c r="H265" s="8634" t="s">
        <v>2187</v>
      </c>
      <c r="I265" s="8634" t="s">
        <v>722</v>
      </c>
    </row>
    <row customHeight="1" ht="11.25">
      <c r="A266" s="8634" t="s">
        <v>2182</v>
      </c>
      <c r="B266" s="8634" t="s">
        <v>14</v>
      </c>
      <c r="C266" s="8634" t="s">
        <v>3219</v>
      </c>
      <c r="D266" s="8634" t="s">
        <v>3220</v>
      </c>
      <c r="E266" s="8634" t="s">
        <v>3221</v>
      </c>
      <c r="F266" s="8634" t="s">
        <v>2322</v>
      </c>
      <c r="G266" s="8634" t="s">
        <v>24</v>
      </c>
      <c r="H266" s="8634" t="s">
        <v>3222</v>
      </c>
      <c r="I266" s="8634" t="s">
        <v>722</v>
      </c>
    </row>
    <row customHeight="1" ht="11.25">
      <c r="A267" s="8634" t="s">
        <v>2182</v>
      </c>
      <c r="B267" s="8634" t="s">
        <v>14</v>
      </c>
      <c r="C267" s="8634" t="s">
        <v>3223</v>
      </c>
      <c r="D267" s="8634" t="s">
        <v>3224</v>
      </c>
      <c r="E267" s="8634" t="s">
        <v>3225</v>
      </c>
      <c r="F267" s="8634" t="s">
        <v>2223</v>
      </c>
      <c r="G267" s="8634" t="s">
        <v>24</v>
      </c>
      <c r="H267" s="8634" t="s">
        <v>2187</v>
      </c>
      <c r="I267" s="8634" t="s">
        <v>722</v>
      </c>
    </row>
    <row customHeight="1" ht="11.25">
      <c r="A268" s="8634" t="s">
        <v>2182</v>
      </c>
      <c r="B268" s="8634" t="s">
        <v>14</v>
      </c>
      <c r="C268" s="8634" t="s">
        <v>3226</v>
      </c>
      <c r="D268" s="8634" t="s">
        <v>3227</v>
      </c>
      <c r="E268" s="8634" t="s">
        <v>3228</v>
      </c>
      <c r="F268" s="8634" t="s">
        <v>2626</v>
      </c>
      <c r="G268" s="8634" t="s">
        <v>24</v>
      </c>
      <c r="H268" s="8634" t="s">
        <v>2187</v>
      </c>
      <c r="I268" s="8634" t="s">
        <v>722</v>
      </c>
    </row>
    <row customHeight="1" ht="11.25">
      <c r="A269" s="8634" t="s">
        <v>2182</v>
      </c>
      <c r="B269" s="8634" t="s">
        <v>14</v>
      </c>
      <c r="C269" s="8634" t="s">
        <v>3229</v>
      </c>
      <c r="D269" s="8634" t="s">
        <v>3230</v>
      </c>
      <c r="E269" s="8634" t="s">
        <v>3231</v>
      </c>
      <c r="F269" s="8634" t="s">
        <v>2354</v>
      </c>
      <c r="G269" s="8634" t="s">
        <v>24</v>
      </c>
      <c r="H269" s="8634" t="s">
        <v>2187</v>
      </c>
      <c r="I269" s="8634" t="s">
        <v>722</v>
      </c>
    </row>
    <row customHeight="1" ht="11.25">
      <c r="A270" s="8634" t="s">
        <v>2182</v>
      </c>
      <c r="B270" s="8634" t="s">
        <v>14</v>
      </c>
      <c r="C270" s="8634" t="s">
        <v>3232</v>
      </c>
      <c r="D270" s="8634" t="s">
        <v>3233</v>
      </c>
      <c r="E270" s="8634" t="s">
        <v>3234</v>
      </c>
      <c r="F270" s="8634" t="s">
        <v>3235</v>
      </c>
      <c r="G270" s="8634" t="s">
        <v>24</v>
      </c>
      <c r="H270" s="8634" t="s">
        <v>2187</v>
      </c>
      <c r="I270" s="8634" t="s">
        <v>722</v>
      </c>
    </row>
    <row customHeight="1" ht="11.25">
      <c r="A271" s="8634" t="s">
        <v>2182</v>
      </c>
      <c r="B271" s="8634" t="s">
        <v>14</v>
      </c>
      <c r="C271" s="8634" t="s">
        <v>3236</v>
      </c>
      <c r="D271" s="8634" t="s">
        <v>3237</v>
      </c>
      <c r="E271" s="8634" t="s">
        <v>2259</v>
      </c>
      <c r="F271" s="8634" t="s">
        <v>2438</v>
      </c>
      <c r="G271" s="8634" t="s">
        <v>24</v>
      </c>
      <c r="H271" s="8634" t="s">
        <v>24</v>
      </c>
      <c r="I271" s="8634" t="s">
        <v>722</v>
      </c>
    </row>
    <row customHeight="1" ht="11.25">
      <c r="A272" s="8634" t="s">
        <v>2182</v>
      </c>
      <c r="B272" s="8634" t="s">
        <v>14</v>
      </c>
      <c r="C272" s="8634" t="s">
        <v>3238</v>
      </c>
      <c r="D272" s="8634" t="s">
        <v>3239</v>
      </c>
      <c r="E272" s="8634" t="s">
        <v>3240</v>
      </c>
      <c r="F272" s="8634" t="s">
        <v>2398</v>
      </c>
      <c r="G272" s="8634" t="s">
        <v>24</v>
      </c>
      <c r="H272" s="8634" t="s">
        <v>2400</v>
      </c>
      <c r="I272" s="8634" t="s">
        <v>722</v>
      </c>
    </row>
    <row customHeight="1" ht="11.25">
      <c r="A273" s="8634" t="s">
        <v>2182</v>
      </c>
      <c r="B273" s="8634" t="s">
        <v>14</v>
      </c>
      <c r="C273" s="8634" t="s">
        <v>3241</v>
      </c>
      <c r="D273" s="8634" t="s">
        <v>3242</v>
      </c>
      <c r="E273" s="8634" t="s">
        <v>3243</v>
      </c>
      <c r="F273" s="8634" t="s">
        <v>3244</v>
      </c>
      <c r="G273" s="8634" t="s">
        <v>24</v>
      </c>
      <c r="H273" s="8634" t="s">
        <v>2187</v>
      </c>
      <c r="I273" s="8634" t="s">
        <v>722</v>
      </c>
    </row>
    <row customHeight="1" ht="11.25">
      <c r="A274" s="8634" t="s">
        <v>2182</v>
      </c>
      <c r="B274" s="8634" t="s">
        <v>14</v>
      </c>
      <c r="C274" s="8634" t="s">
        <v>3245</v>
      </c>
      <c r="D274" s="8634" t="s">
        <v>3246</v>
      </c>
      <c r="E274" s="8634" t="s">
        <v>3247</v>
      </c>
      <c r="F274" s="8634" t="s">
        <v>3248</v>
      </c>
      <c r="G274" s="8634" t="s">
        <v>3249</v>
      </c>
      <c r="H274" s="8634" t="s">
        <v>3250</v>
      </c>
      <c r="I274" s="8634" t="s">
        <v>722</v>
      </c>
    </row>
    <row customHeight="1" ht="11.25">
      <c r="A275" s="8634" t="s">
        <v>2182</v>
      </c>
      <c r="B275" s="8634" t="s">
        <v>14</v>
      </c>
      <c r="C275" s="8634" t="s">
        <v>3251</v>
      </c>
      <c r="D275" s="8634" t="s">
        <v>3252</v>
      </c>
      <c r="E275" s="8634" t="s">
        <v>3253</v>
      </c>
      <c r="F275" s="8634" t="s">
        <v>575</v>
      </c>
      <c r="G275" s="8634" t="s">
        <v>3254</v>
      </c>
      <c r="H275" s="8634" t="s">
        <v>24</v>
      </c>
      <c r="I275" s="8634" t="s">
        <v>722</v>
      </c>
    </row>
    <row customHeight="1" ht="11.25">
      <c r="A276" s="8634" t="s">
        <v>2182</v>
      </c>
      <c r="B276" s="8634" t="s">
        <v>14</v>
      </c>
      <c r="C276" s="8634" t="s">
        <v>3255</v>
      </c>
      <c r="D276" s="8634" t="s">
        <v>3256</v>
      </c>
      <c r="E276" s="8634" t="s">
        <v>3257</v>
      </c>
      <c r="F276" s="8634" t="s">
        <v>575</v>
      </c>
      <c r="G276" s="8634" t="s">
        <v>3258</v>
      </c>
      <c r="H276" s="8634" t="s">
        <v>24</v>
      </c>
      <c r="I276" s="8634" t="s">
        <v>722</v>
      </c>
    </row>
    <row customHeight="1" ht="11.25">
      <c r="A277" s="8634" t="s">
        <v>2182</v>
      </c>
      <c r="B277" s="8634" t="s">
        <v>14</v>
      </c>
      <c r="C277" s="8634" t="s">
        <v>3259</v>
      </c>
      <c r="D277" s="8634" t="s">
        <v>3260</v>
      </c>
      <c r="E277" s="8634" t="s">
        <v>3261</v>
      </c>
      <c r="F277" s="8634" t="s">
        <v>575</v>
      </c>
      <c r="G277" s="8634" t="s">
        <v>3262</v>
      </c>
      <c r="H277" s="8634" t="s">
        <v>24</v>
      </c>
      <c r="I277" s="8634" t="s">
        <v>722</v>
      </c>
    </row>
    <row customHeight="1" ht="11.25">
      <c r="A278" s="8634" t="s">
        <v>2182</v>
      </c>
      <c r="B278" s="8634" t="s">
        <v>14</v>
      </c>
      <c r="C278" s="8634" t="s">
        <v>24</v>
      </c>
      <c r="D278" s="8634" t="s">
        <v>3263</v>
      </c>
      <c r="E278" s="8634" t="s">
        <v>3264</v>
      </c>
      <c r="F278" s="8634" t="s">
        <v>2218</v>
      </c>
      <c r="G278" s="8634" t="s">
        <v>24</v>
      </c>
      <c r="H278" s="8634" t="s">
        <v>24</v>
      </c>
      <c r="I278" s="8634" t="s">
        <v>722</v>
      </c>
    </row>
    <row customHeight="1" ht="11.25">
      <c r="A279" s="8634" t="s">
        <v>2182</v>
      </c>
      <c r="B279" s="8634" t="s">
        <v>14</v>
      </c>
      <c r="C279" s="8634" t="s">
        <v>3265</v>
      </c>
      <c r="D279" s="8634" t="s">
        <v>3266</v>
      </c>
      <c r="E279" s="8634" t="s">
        <v>3267</v>
      </c>
      <c r="F279" s="8634" t="s">
        <v>2721</v>
      </c>
      <c r="G279" s="8634" t="s">
        <v>24</v>
      </c>
      <c r="H279" s="8634" t="s">
        <v>2993</v>
      </c>
      <c r="I279" s="8634" t="s">
        <v>722</v>
      </c>
    </row>
    <row customHeight="1" ht="11.25">
      <c r="A280" s="8634" t="s">
        <v>2182</v>
      </c>
      <c r="B280" s="8634" t="s">
        <v>14</v>
      </c>
      <c r="C280" s="8634" t="s">
        <v>3268</v>
      </c>
      <c r="D280" s="8634" t="s">
        <v>3269</v>
      </c>
      <c r="E280" s="8634" t="s">
        <v>3270</v>
      </c>
      <c r="F280" s="8634" t="s">
        <v>2213</v>
      </c>
      <c r="G280" s="8634" t="s">
        <v>24</v>
      </c>
      <c r="H280" s="8634" t="s">
        <v>2187</v>
      </c>
      <c r="I280" s="8634" t="s">
        <v>722</v>
      </c>
    </row>
    <row customHeight="1" ht="11.25">
      <c r="A281" s="8634" t="s">
        <v>2182</v>
      </c>
      <c r="B281" s="8634" t="s">
        <v>14</v>
      </c>
      <c r="C281" s="8634" t="s">
        <v>3271</v>
      </c>
      <c r="D281" s="8634" t="s">
        <v>3272</v>
      </c>
      <c r="E281" s="8634" t="s">
        <v>3273</v>
      </c>
      <c r="F281" s="8634" t="s">
        <v>2322</v>
      </c>
      <c r="G281" s="8634" t="s">
        <v>24</v>
      </c>
      <c r="H281" s="8634" t="s">
        <v>3274</v>
      </c>
      <c r="I281" s="8634" t="s">
        <v>722</v>
      </c>
    </row>
    <row customHeight="1" ht="11.25">
      <c r="A282" s="8634" t="s">
        <v>2182</v>
      </c>
      <c r="B282" s="8634" t="s">
        <v>14</v>
      </c>
      <c r="C282" s="8634" t="s">
        <v>3275</v>
      </c>
      <c r="D282" s="8634" t="s">
        <v>3276</v>
      </c>
      <c r="E282" s="8634" t="s">
        <v>3277</v>
      </c>
      <c r="F282" s="8634" t="s">
        <v>3278</v>
      </c>
      <c r="G282" s="8634" t="s">
        <v>3279</v>
      </c>
      <c r="H282" s="8634" t="s">
        <v>24</v>
      </c>
      <c r="I282" s="8634" t="s">
        <v>722</v>
      </c>
    </row>
    <row customHeight="1" ht="11.25">
      <c r="A283" s="8634" t="s">
        <v>2182</v>
      </c>
      <c r="B283" s="8634" t="s">
        <v>14</v>
      </c>
      <c r="C283" s="8634" t="s">
        <v>3280</v>
      </c>
      <c r="D283" s="8634" t="s">
        <v>3281</v>
      </c>
      <c r="E283" s="8634" t="s">
        <v>3282</v>
      </c>
      <c r="F283" s="8634" t="s">
        <v>2339</v>
      </c>
      <c r="G283" s="8634" t="s">
        <v>24</v>
      </c>
      <c r="H283" s="8634" t="s">
        <v>24</v>
      </c>
      <c r="I283" s="8634" t="s">
        <v>722</v>
      </c>
    </row>
    <row customHeight="1" ht="11.25">
      <c r="A284" s="8634" t="s">
        <v>2182</v>
      </c>
      <c r="B284" s="8634" t="s">
        <v>14</v>
      </c>
      <c r="C284" s="8634" t="s">
        <v>3283</v>
      </c>
      <c r="D284" s="8634" t="s">
        <v>3284</v>
      </c>
      <c r="E284" s="8634" t="s">
        <v>3039</v>
      </c>
      <c r="F284" s="8634" t="s">
        <v>3285</v>
      </c>
      <c r="G284" s="8634" t="s">
        <v>24</v>
      </c>
      <c r="H284" s="8634" t="s">
        <v>2187</v>
      </c>
      <c r="I284" s="8634" t="s">
        <v>722</v>
      </c>
    </row>
    <row customHeight="1" ht="11.25">
      <c r="A285" s="8634" t="s">
        <v>2182</v>
      </c>
      <c r="B285" s="8634" t="s">
        <v>14</v>
      </c>
      <c r="C285" s="8634" t="s">
        <v>3286</v>
      </c>
      <c r="D285" s="8634" t="s">
        <v>3287</v>
      </c>
      <c r="E285" s="8634" t="s">
        <v>2194</v>
      </c>
      <c r="F285" s="8634" t="s">
        <v>3288</v>
      </c>
      <c r="G285" s="8634" t="s">
        <v>24</v>
      </c>
      <c r="H285" s="8634" t="s">
        <v>2196</v>
      </c>
      <c r="I285" s="8634" t="s">
        <v>722</v>
      </c>
    </row>
    <row customHeight="1" ht="11.25">
      <c r="A286" s="8634" t="s">
        <v>2182</v>
      </c>
      <c r="B286" s="8634" t="s">
        <v>14</v>
      </c>
      <c r="C286" s="8634" t="s">
        <v>3289</v>
      </c>
      <c r="D286" s="8634" t="s">
        <v>3290</v>
      </c>
      <c r="E286" s="8634" t="s">
        <v>3291</v>
      </c>
      <c r="F286" s="8634" t="s">
        <v>2389</v>
      </c>
      <c r="G286" s="8634" t="s">
        <v>24</v>
      </c>
      <c r="H286" s="8634" t="s">
        <v>24</v>
      </c>
      <c r="I286" s="8634" t="s">
        <v>722</v>
      </c>
    </row>
    <row customHeight="1" ht="11.25">
      <c r="A287" s="8634" t="s">
        <v>2182</v>
      </c>
      <c r="B287" s="8634" t="s">
        <v>14</v>
      </c>
      <c r="C287" s="8634" t="s">
        <v>3292</v>
      </c>
      <c r="D287" s="8634" t="s">
        <v>3293</v>
      </c>
      <c r="E287" s="8634" t="s">
        <v>3294</v>
      </c>
      <c r="F287" s="8634" t="s">
        <v>3295</v>
      </c>
      <c r="G287" s="8634" t="s">
        <v>3296</v>
      </c>
      <c r="H287" s="8634" t="s">
        <v>24</v>
      </c>
      <c r="I287" s="8634" t="s">
        <v>722</v>
      </c>
    </row>
    <row customHeight="1" ht="11.25">
      <c r="A288" s="8634" t="s">
        <v>2182</v>
      </c>
      <c r="B288" s="8634" t="s">
        <v>14</v>
      </c>
      <c r="C288" s="8634" t="s">
        <v>3297</v>
      </c>
      <c r="D288" s="8634" t="s">
        <v>3298</v>
      </c>
      <c r="E288" s="8634" t="s">
        <v>3299</v>
      </c>
      <c r="F288" s="8634" t="s">
        <v>3295</v>
      </c>
      <c r="G288" s="8634" t="s">
        <v>24</v>
      </c>
      <c r="H288" s="8634" t="s">
        <v>2187</v>
      </c>
      <c r="I288" s="8634" t="s">
        <v>722</v>
      </c>
    </row>
    <row customHeight="1" ht="11.25">
      <c r="A289" s="8634" t="s">
        <v>2182</v>
      </c>
      <c r="B289" s="8634" t="s">
        <v>14</v>
      </c>
      <c r="C289" s="8634" t="s">
        <v>3300</v>
      </c>
      <c r="D289" s="8634" t="s">
        <v>3301</v>
      </c>
      <c r="E289" s="8634" t="s">
        <v>3302</v>
      </c>
      <c r="F289" s="8634" t="s">
        <v>2411</v>
      </c>
      <c r="G289" s="8634" t="s">
        <v>3303</v>
      </c>
      <c r="H289" s="8634" t="s">
        <v>24</v>
      </c>
      <c r="I289" s="8634" t="s">
        <v>722</v>
      </c>
    </row>
    <row customHeight="1" ht="11.25">
      <c r="A290" s="8634" t="s">
        <v>2182</v>
      </c>
      <c r="B290" s="8634" t="s">
        <v>14</v>
      </c>
      <c r="C290" s="8634" t="s">
        <v>3304</v>
      </c>
      <c r="D290" s="8634" t="s">
        <v>3305</v>
      </c>
      <c r="E290" s="8634" t="s">
        <v>3306</v>
      </c>
      <c r="F290" s="8634" t="s">
        <v>2411</v>
      </c>
      <c r="G290" s="8634" t="s">
        <v>3307</v>
      </c>
      <c r="H290" s="8634" t="s">
        <v>2400</v>
      </c>
      <c r="I290" s="8634" t="s">
        <v>722</v>
      </c>
    </row>
    <row customHeight="1" ht="11.25">
      <c r="A291" s="8634" t="s">
        <v>2182</v>
      </c>
      <c r="B291" s="8634" t="s">
        <v>14</v>
      </c>
      <c r="C291" s="8634" t="s">
        <v>3308</v>
      </c>
      <c r="D291" s="8634" t="s">
        <v>3309</v>
      </c>
      <c r="E291" s="8634" t="s">
        <v>3310</v>
      </c>
      <c r="F291" s="8634" t="s">
        <v>2411</v>
      </c>
      <c r="G291" s="8634" t="s">
        <v>3311</v>
      </c>
      <c r="H291" s="8634" t="s">
        <v>2400</v>
      </c>
      <c r="I291" s="8634" t="s">
        <v>722</v>
      </c>
    </row>
    <row customHeight="1" ht="11.25">
      <c r="A292" s="8634" t="s">
        <v>2182</v>
      </c>
      <c r="B292" s="8634" t="s">
        <v>14</v>
      </c>
      <c r="C292" s="8634" t="s">
        <v>3312</v>
      </c>
      <c r="D292" s="8634" t="s">
        <v>3313</v>
      </c>
      <c r="E292" s="8634" t="s">
        <v>3314</v>
      </c>
      <c r="F292" s="8634" t="s">
        <v>2334</v>
      </c>
      <c r="G292" s="8634" t="s">
        <v>24</v>
      </c>
      <c r="H292" s="8634" t="s">
        <v>2187</v>
      </c>
      <c r="I292" s="8634" t="s">
        <v>722</v>
      </c>
    </row>
    <row customHeight="1" ht="11.25">
      <c r="A293" s="8634" t="s">
        <v>2182</v>
      </c>
      <c r="B293" s="8634" t="s">
        <v>14</v>
      </c>
      <c r="C293" s="8634" t="s">
        <v>3315</v>
      </c>
      <c r="D293" s="8634" t="s">
        <v>3316</v>
      </c>
      <c r="E293" s="8634" t="s">
        <v>3317</v>
      </c>
      <c r="F293" s="8634" t="s">
        <v>2334</v>
      </c>
      <c r="G293" s="8634" t="s">
        <v>24</v>
      </c>
      <c r="H293" s="8634" t="s">
        <v>2187</v>
      </c>
      <c r="I293" s="8634" t="s">
        <v>722</v>
      </c>
    </row>
    <row customHeight="1" ht="11.25">
      <c r="A294" s="8634" t="s">
        <v>2182</v>
      </c>
      <c r="B294" s="8634" t="s">
        <v>14</v>
      </c>
      <c r="C294" s="8634" t="s">
        <v>3318</v>
      </c>
      <c r="D294" s="8634" t="s">
        <v>3319</v>
      </c>
      <c r="E294" s="8634" t="s">
        <v>3320</v>
      </c>
      <c r="F294" s="8634" t="s">
        <v>3278</v>
      </c>
      <c r="G294" s="8634" t="s">
        <v>24</v>
      </c>
      <c r="H294" s="8634" t="s">
        <v>3321</v>
      </c>
      <c r="I294" s="8634" t="s">
        <v>722</v>
      </c>
    </row>
    <row customHeight="1" ht="11.25">
      <c r="A295" s="8634" t="s">
        <v>2182</v>
      </c>
      <c r="B295" s="8634" t="s">
        <v>14</v>
      </c>
      <c r="C295" s="8634" t="s">
        <v>3322</v>
      </c>
      <c r="D295" s="8634" t="s">
        <v>3323</v>
      </c>
      <c r="E295" s="8634" t="s">
        <v>3324</v>
      </c>
      <c r="F295" s="8634" t="s">
        <v>3007</v>
      </c>
      <c r="G295" s="8634" t="s">
        <v>24</v>
      </c>
      <c r="H295" s="8634" t="s">
        <v>2187</v>
      </c>
      <c r="I295" s="8634" t="s">
        <v>722</v>
      </c>
    </row>
    <row customHeight="1" ht="11.25">
      <c r="A296" s="8634" t="s">
        <v>2182</v>
      </c>
      <c r="B296" s="8634" t="s">
        <v>14</v>
      </c>
      <c r="C296" s="8634" t="s">
        <v>3325</v>
      </c>
      <c r="D296" s="8634" t="s">
        <v>3326</v>
      </c>
      <c r="E296" s="8634" t="s">
        <v>3327</v>
      </c>
      <c r="F296" s="8634" t="s">
        <v>2890</v>
      </c>
      <c r="G296" s="8634" t="s">
        <v>3328</v>
      </c>
      <c r="H296" s="8634" t="s">
        <v>24</v>
      </c>
      <c r="I296" s="8634" t="s">
        <v>722</v>
      </c>
    </row>
    <row customHeight="1" ht="11.25">
      <c r="A297" s="8634" t="s">
        <v>2182</v>
      </c>
      <c r="B297" s="8634" t="s">
        <v>14</v>
      </c>
      <c r="C297" s="8634" t="s">
        <v>3329</v>
      </c>
      <c r="D297" s="8634" t="s">
        <v>3330</v>
      </c>
      <c r="E297" s="8634" t="s">
        <v>3331</v>
      </c>
      <c r="F297" s="8634" t="s">
        <v>3332</v>
      </c>
      <c r="G297" s="8634" t="s">
        <v>24</v>
      </c>
      <c r="H297" s="8634" t="s">
        <v>2187</v>
      </c>
      <c r="I297" s="8634" t="s">
        <v>722</v>
      </c>
    </row>
    <row customHeight="1" ht="11.25">
      <c r="A298" s="8634" t="s">
        <v>2182</v>
      </c>
      <c r="B298" s="8634" t="s">
        <v>14</v>
      </c>
      <c r="C298" s="8634" t="s">
        <v>3333</v>
      </c>
      <c r="D298" s="8634" t="s">
        <v>3334</v>
      </c>
      <c r="E298" s="8634" t="s">
        <v>3335</v>
      </c>
      <c r="F298" s="8634" t="s">
        <v>3007</v>
      </c>
      <c r="G298" s="8634" t="s">
        <v>24</v>
      </c>
      <c r="H298" s="8634" t="s">
        <v>24</v>
      </c>
      <c r="I298" s="8634" t="s">
        <v>722</v>
      </c>
    </row>
    <row customHeight="1" ht="11.25">
      <c r="A299" s="8634" t="s">
        <v>2182</v>
      </c>
      <c r="B299" s="8634" t="s">
        <v>14</v>
      </c>
      <c r="C299" s="8634" t="s">
        <v>3336</v>
      </c>
      <c r="D299" s="8634" t="s">
        <v>3337</v>
      </c>
      <c r="E299" s="8634" t="s">
        <v>3338</v>
      </c>
      <c r="F299" s="8634" t="s">
        <v>2322</v>
      </c>
      <c r="G299" s="8634" t="s">
        <v>3339</v>
      </c>
      <c r="H299" s="8634" t="s">
        <v>24</v>
      </c>
      <c r="I299" s="8634" t="s">
        <v>722</v>
      </c>
    </row>
    <row customHeight="1" ht="11.25">
      <c r="A300" s="8634" t="s">
        <v>2182</v>
      </c>
      <c r="B300" s="8634" t="s">
        <v>14</v>
      </c>
      <c r="C300" s="8634" t="s">
        <v>3340</v>
      </c>
      <c r="D300" s="8634" t="s">
        <v>3341</v>
      </c>
      <c r="E300" s="8634" t="s">
        <v>3342</v>
      </c>
      <c r="F300" s="8634" t="s">
        <v>3332</v>
      </c>
      <c r="G300" s="8634" t="s">
        <v>24</v>
      </c>
      <c r="H300" s="8634" t="s">
        <v>24</v>
      </c>
      <c r="I300" s="8634" t="s">
        <v>722</v>
      </c>
    </row>
    <row customHeight="1" ht="11.25">
      <c r="A301" s="8634" t="s">
        <v>2182</v>
      </c>
      <c r="B301" s="8634" t="s">
        <v>14</v>
      </c>
      <c r="C301" s="8634" t="s">
        <v>3343</v>
      </c>
      <c r="D301" s="8634" t="s">
        <v>3344</v>
      </c>
      <c r="E301" s="8634" t="s">
        <v>3345</v>
      </c>
      <c r="F301" s="8634" t="s">
        <v>3346</v>
      </c>
      <c r="G301" s="8634" t="s">
        <v>3347</v>
      </c>
      <c r="H301" s="8634" t="s">
        <v>24</v>
      </c>
      <c r="I301" s="8634" t="s">
        <v>722</v>
      </c>
    </row>
    <row customHeight="1" ht="11.25">
      <c r="A302" s="8634" t="s">
        <v>2182</v>
      </c>
      <c r="B302" s="8634" t="s">
        <v>14</v>
      </c>
      <c r="C302" s="8634" t="s">
        <v>3348</v>
      </c>
      <c r="D302" s="8634" t="s">
        <v>3349</v>
      </c>
      <c r="E302" s="8634" t="s">
        <v>3350</v>
      </c>
      <c r="F302" s="8634" t="s">
        <v>3278</v>
      </c>
      <c r="G302" s="8634" t="s">
        <v>3351</v>
      </c>
      <c r="H302" s="8634" t="s">
        <v>24</v>
      </c>
      <c r="I302" s="8634" t="s">
        <v>722</v>
      </c>
    </row>
    <row customHeight="1" ht="11.25">
      <c r="A303" s="8634" t="s">
        <v>2182</v>
      </c>
      <c r="B303" s="8634" t="s">
        <v>14</v>
      </c>
      <c r="C303" s="8634" t="s">
        <v>3352</v>
      </c>
      <c r="D303" s="8634" t="s">
        <v>3353</v>
      </c>
      <c r="E303" s="8634" t="s">
        <v>3354</v>
      </c>
      <c r="F303" s="8634" t="s">
        <v>2300</v>
      </c>
      <c r="G303" s="8634" t="s">
        <v>24</v>
      </c>
      <c r="H303" s="8634" t="s">
        <v>2187</v>
      </c>
      <c r="I303" s="8634" t="s">
        <v>722</v>
      </c>
    </row>
    <row customHeight="1" ht="11.25">
      <c r="A304" s="8634" t="s">
        <v>2182</v>
      </c>
      <c r="B304" s="8634" t="s">
        <v>14</v>
      </c>
      <c r="C304" s="8634" t="s">
        <v>3355</v>
      </c>
      <c r="D304" s="8634" t="s">
        <v>3356</v>
      </c>
      <c r="E304" s="8634" t="s">
        <v>3357</v>
      </c>
      <c r="F304" s="8634" t="s">
        <v>2563</v>
      </c>
      <c r="G304" s="8634" t="s">
        <v>3358</v>
      </c>
      <c r="H304" s="8634" t="s">
        <v>24</v>
      </c>
      <c r="I304" s="8634" t="s">
        <v>722</v>
      </c>
    </row>
    <row customHeight="1" ht="11.25">
      <c r="A305" s="8634" t="s">
        <v>2182</v>
      </c>
      <c r="B305" s="8634" t="s">
        <v>14</v>
      </c>
      <c r="C305" s="8634" t="s">
        <v>3359</v>
      </c>
      <c r="D305" s="8634" t="s">
        <v>3360</v>
      </c>
      <c r="E305" s="8634" t="s">
        <v>3361</v>
      </c>
      <c r="F305" s="8634" t="s">
        <v>2269</v>
      </c>
      <c r="G305" s="8634" t="s">
        <v>24</v>
      </c>
      <c r="H305" s="8634" t="s">
        <v>2187</v>
      </c>
      <c r="I305" s="8634" t="s">
        <v>722</v>
      </c>
    </row>
    <row customHeight="1" ht="11.25">
      <c r="A306" s="8634" t="s">
        <v>2182</v>
      </c>
      <c r="B306" s="8634" t="s">
        <v>14</v>
      </c>
      <c r="C306" s="8634" t="s">
        <v>3362</v>
      </c>
      <c r="D306" s="8634" t="s">
        <v>3363</v>
      </c>
      <c r="E306" s="8634" t="s">
        <v>3364</v>
      </c>
      <c r="F306" s="8634" t="s">
        <v>3365</v>
      </c>
      <c r="G306" s="8634" t="s">
        <v>24</v>
      </c>
      <c r="H306" s="8634" t="s">
        <v>3366</v>
      </c>
      <c r="I306" s="8634" t="s">
        <v>722</v>
      </c>
    </row>
    <row customHeight="1" ht="11.25">
      <c r="A307" s="8634" t="s">
        <v>2182</v>
      </c>
      <c r="B307" s="8634" t="s">
        <v>14</v>
      </c>
      <c r="C307" s="8634" t="s">
        <v>3367</v>
      </c>
      <c r="D307" s="8634" t="s">
        <v>3368</v>
      </c>
      <c r="E307" s="8634" t="s">
        <v>3369</v>
      </c>
      <c r="F307" s="8634" t="s">
        <v>2322</v>
      </c>
      <c r="G307" s="8634" t="s">
        <v>24</v>
      </c>
      <c r="H307" s="8634" t="s">
        <v>24</v>
      </c>
      <c r="I307" s="8634" t="s">
        <v>722</v>
      </c>
    </row>
    <row customHeight="1" ht="11.25">
      <c r="A308" s="8634" t="s">
        <v>2182</v>
      </c>
      <c r="B308" s="8634" t="s">
        <v>14</v>
      </c>
      <c r="C308" s="8634" t="s">
        <v>3370</v>
      </c>
      <c r="D308" s="8634" t="s">
        <v>3371</v>
      </c>
      <c r="E308" s="8634" t="s">
        <v>3372</v>
      </c>
      <c r="F308" s="8634" t="s">
        <v>2322</v>
      </c>
      <c r="G308" s="8634" t="s">
        <v>3373</v>
      </c>
      <c r="H308" s="8634" t="s">
        <v>24</v>
      </c>
      <c r="I308" s="8634" t="s">
        <v>722</v>
      </c>
    </row>
    <row customHeight="1" ht="11.25">
      <c r="A309" s="8634" t="s">
        <v>2182</v>
      </c>
      <c r="B309" s="8634" t="s">
        <v>14</v>
      </c>
      <c r="C309" s="8634" t="s">
        <v>3374</v>
      </c>
      <c r="D309" s="8634" t="s">
        <v>3375</v>
      </c>
      <c r="E309" s="8634" t="s">
        <v>3376</v>
      </c>
      <c r="F309" s="8634" t="s">
        <v>2563</v>
      </c>
      <c r="G309" s="8634" t="s">
        <v>24</v>
      </c>
      <c r="H309" s="8634" t="s">
        <v>2187</v>
      </c>
      <c r="I309" s="8634" t="s">
        <v>722</v>
      </c>
    </row>
    <row customHeight="1" ht="11.25">
      <c r="A310" s="8634" t="s">
        <v>2182</v>
      </c>
      <c r="B310" s="8634" t="s">
        <v>14</v>
      </c>
      <c r="C310" s="8634" t="s">
        <v>3377</v>
      </c>
      <c r="D310" s="8634" t="s">
        <v>3378</v>
      </c>
      <c r="E310" s="8634" t="s">
        <v>3379</v>
      </c>
      <c r="F310" s="8634" t="s">
        <v>2322</v>
      </c>
      <c r="G310" s="8634" t="s">
        <v>24</v>
      </c>
      <c r="H310" s="8634" t="s">
        <v>3000</v>
      </c>
      <c r="I310" s="8634" t="s">
        <v>722</v>
      </c>
    </row>
    <row customHeight="1" ht="11.25">
      <c r="A311" s="8634" t="s">
        <v>2182</v>
      </c>
      <c r="B311" s="8634" t="s">
        <v>14</v>
      </c>
      <c r="C311" s="8634" t="s">
        <v>3380</v>
      </c>
      <c r="D311" s="8634" t="s">
        <v>3381</v>
      </c>
      <c r="E311" s="8634" t="s">
        <v>3382</v>
      </c>
      <c r="F311" s="8634" t="s">
        <v>3383</v>
      </c>
      <c r="G311" s="8634" t="s">
        <v>24</v>
      </c>
      <c r="H311" s="8634" t="s">
        <v>24</v>
      </c>
      <c r="I311" s="8634" t="s">
        <v>722</v>
      </c>
    </row>
    <row customHeight="1" ht="11.25">
      <c r="A312" s="8634" t="s">
        <v>2182</v>
      </c>
      <c r="B312" s="8634" t="s">
        <v>14</v>
      </c>
      <c r="C312" s="8634" t="s">
        <v>3384</v>
      </c>
      <c r="D312" s="8634" t="s">
        <v>3385</v>
      </c>
      <c r="E312" s="8634" t="s">
        <v>3386</v>
      </c>
      <c r="F312" s="8634" t="s">
        <v>2398</v>
      </c>
      <c r="G312" s="8634" t="s">
        <v>2886</v>
      </c>
      <c r="H312" s="8634" t="s">
        <v>24</v>
      </c>
      <c r="I312" s="8634" t="s">
        <v>722</v>
      </c>
    </row>
    <row customHeight="1" ht="11.25">
      <c r="A313" s="8634" t="s">
        <v>2182</v>
      </c>
      <c r="B313" s="8634" t="s">
        <v>14</v>
      </c>
      <c r="C313" s="8634" t="s">
        <v>3387</v>
      </c>
      <c r="D313" s="8634" t="s">
        <v>3388</v>
      </c>
      <c r="E313" s="8634" t="s">
        <v>3389</v>
      </c>
      <c r="F313" s="8634" t="s">
        <v>2363</v>
      </c>
      <c r="G313" s="8634" t="s">
        <v>24</v>
      </c>
      <c r="H313" s="8634" t="s">
        <v>2187</v>
      </c>
      <c r="I313" s="8634" t="s">
        <v>722</v>
      </c>
    </row>
    <row customHeight="1" ht="11.25">
      <c r="A314" s="8634" t="s">
        <v>2182</v>
      </c>
      <c r="B314" s="8634" t="s">
        <v>14</v>
      </c>
      <c r="C314" s="8634" t="s">
        <v>3390</v>
      </c>
      <c r="D314" s="8634" t="s">
        <v>3391</v>
      </c>
      <c r="E314" s="8634" t="s">
        <v>3392</v>
      </c>
      <c r="F314" s="8634" t="s">
        <v>2438</v>
      </c>
      <c r="G314" s="8634" t="s">
        <v>24</v>
      </c>
      <c r="H314" s="8634" t="s">
        <v>2187</v>
      </c>
      <c r="I314" s="8634" t="s">
        <v>722</v>
      </c>
    </row>
    <row customHeight="1" ht="11.25">
      <c r="A315" s="8634" t="s">
        <v>2182</v>
      </c>
      <c r="B315" s="8634" t="s">
        <v>14</v>
      </c>
      <c r="C315" s="8634" t="s">
        <v>3393</v>
      </c>
      <c r="D315" s="8634" t="s">
        <v>3394</v>
      </c>
      <c r="E315" s="8634" t="s">
        <v>3395</v>
      </c>
      <c r="F315" s="8634" t="s">
        <v>2349</v>
      </c>
      <c r="G315" s="8634" t="s">
        <v>3396</v>
      </c>
      <c r="H315" s="8634" t="s">
        <v>24</v>
      </c>
      <c r="I315" s="8634" t="s">
        <v>722</v>
      </c>
    </row>
    <row customHeight="1" ht="11.25">
      <c r="A316" s="8634" t="s">
        <v>2182</v>
      </c>
      <c r="B316" s="8634" t="s">
        <v>14</v>
      </c>
      <c r="C316" s="8634" t="s">
        <v>3397</v>
      </c>
      <c r="D316" s="8634" t="s">
        <v>3398</v>
      </c>
      <c r="E316" s="8634" t="s">
        <v>3399</v>
      </c>
      <c r="F316" s="8634" t="s">
        <v>2447</v>
      </c>
      <c r="G316" s="8634" t="s">
        <v>3400</v>
      </c>
      <c r="H316" s="8634" t="s">
        <v>24</v>
      </c>
      <c r="I316" s="8634" t="s">
        <v>722</v>
      </c>
    </row>
    <row customHeight="1" ht="11.25">
      <c r="A317" s="8634" t="s">
        <v>2182</v>
      </c>
      <c r="B317" s="8634" t="s">
        <v>14</v>
      </c>
      <c r="C317" s="8634" t="s">
        <v>3401</v>
      </c>
      <c r="D317" s="8634" t="s">
        <v>3402</v>
      </c>
      <c r="E317" s="8634" t="s">
        <v>3403</v>
      </c>
      <c r="F317" s="8634" t="s">
        <v>2284</v>
      </c>
      <c r="G317" s="8634" t="s">
        <v>3404</v>
      </c>
      <c r="H317" s="8634" t="s">
        <v>24</v>
      </c>
      <c r="I317" s="8634" t="s">
        <v>722</v>
      </c>
    </row>
    <row customHeight="1" ht="11.25">
      <c r="A318" s="8634" t="s">
        <v>2182</v>
      </c>
      <c r="B318" s="8634" t="s">
        <v>14</v>
      </c>
      <c r="C318" s="8634" t="s">
        <v>3405</v>
      </c>
      <c r="D318" s="8634" t="s">
        <v>3406</v>
      </c>
      <c r="E318" s="8634" t="s">
        <v>3407</v>
      </c>
      <c r="F318" s="8634" t="s">
        <v>2213</v>
      </c>
      <c r="G318" s="8634" t="s">
        <v>3408</v>
      </c>
      <c r="H318" s="8634" t="s">
        <v>24</v>
      </c>
      <c r="I318" s="8634" t="s">
        <v>722</v>
      </c>
    </row>
    <row customHeight="1" ht="11.25">
      <c r="A319" s="8634" t="s">
        <v>2182</v>
      </c>
      <c r="B319" s="8634" t="s">
        <v>14</v>
      </c>
      <c r="C319" s="8634" t="s">
        <v>3409</v>
      </c>
      <c r="D319" s="8634" t="s">
        <v>3410</v>
      </c>
      <c r="E319" s="8634" t="s">
        <v>3411</v>
      </c>
      <c r="F319" s="8634" t="s">
        <v>2213</v>
      </c>
      <c r="G319" s="8634" t="s">
        <v>24</v>
      </c>
      <c r="H319" s="8634" t="s">
        <v>24</v>
      </c>
      <c r="I319" s="8634" t="s">
        <v>722</v>
      </c>
    </row>
    <row customHeight="1" ht="11.25">
      <c r="A320" s="8634" t="s">
        <v>2182</v>
      </c>
      <c r="B320" s="8634" t="s">
        <v>14</v>
      </c>
      <c r="C320" s="8634" t="s">
        <v>3412</v>
      </c>
      <c r="D320" s="8634" t="s">
        <v>3413</v>
      </c>
      <c r="E320" s="8634" t="s">
        <v>3414</v>
      </c>
      <c r="F320" s="8634" t="s">
        <v>2334</v>
      </c>
      <c r="G320" s="8634" t="s">
        <v>24</v>
      </c>
      <c r="H320" s="8634" t="s">
        <v>2187</v>
      </c>
      <c r="I320" s="8634" t="s">
        <v>722</v>
      </c>
    </row>
    <row customHeight="1" ht="11.25">
      <c r="A321" s="8634" t="s">
        <v>2182</v>
      </c>
      <c r="B321" s="8634" t="s">
        <v>14</v>
      </c>
      <c r="C321" s="8634" t="s">
        <v>3415</v>
      </c>
      <c r="D321" s="8634" t="s">
        <v>3416</v>
      </c>
      <c r="E321" s="8634" t="s">
        <v>3417</v>
      </c>
      <c r="F321" s="8634" t="s">
        <v>2186</v>
      </c>
      <c r="G321" s="8634" t="s">
        <v>3418</v>
      </c>
      <c r="H321" s="8634" t="s">
        <v>24</v>
      </c>
      <c r="I321" s="8634" t="s">
        <v>722</v>
      </c>
    </row>
    <row customHeight="1" ht="11.25">
      <c r="A322" s="8634" t="s">
        <v>2182</v>
      </c>
      <c r="B322" s="8634" t="s">
        <v>14</v>
      </c>
      <c r="C322" s="8634" t="s">
        <v>3419</v>
      </c>
      <c r="D322" s="8634" t="s">
        <v>3420</v>
      </c>
      <c r="E322" s="8634" t="s">
        <v>3421</v>
      </c>
      <c r="F322" s="8634" t="s">
        <v>2389</v>
      </c>
      <c r="G322" s="8634" t="s">
        <v>3422</v>
      </c>
      <c r="H322" s="8634" t="s">
        <v>24</v>
      </c>
      <c r="I322" s="8634" t="s">
        <v>722</v>
      </c>
    </row>
    <row customHeight="1" ht="11.25">
      <c r="A323" s="8634" t="s">
        <v>2182</v>
      </c>
      <c r="B323" s="8634" t="s">
        <v>14</v>
      </c>
      <c r="C323" s="8634" t="s">
        <v>3423</v>
      </c>
      <c r="D323" s="8634" t="s">
        <v>3424</v>
      </c>
      <c r="E323" s="8634" t="s">
        <v>3425</v>
      </c>
      <c r="F323" s="8634" t="s">
        <v>2376</v>
      </c>
      <c r="G323" s="8634" t="s">
        <v>3426</v>
      </c>
      <c r="H323" s="8634" t="s">
        <v>24</v>
      </c>
      <c r="I323" s="8634" t="s">
        <v>722</v>
      </c>
    </row>
    <row customHeight="1" ht="11.25">
      <c r="A324" s="8634" t="s">
        <v>2182</v>
      </c>
      <c r="B324" s="8634" t="s">
        <v>14</v>
      </c>
      <c r="C324" s="8634" t="s">
        <v>3427</v>
      </c>
      <c r="D324" s="8634" t="s">
        <v>3428</v>
      </c>
      <c r="E324" s="8634" t="s">
        <v>3429</v>
      </c>
      <c r="F324" s="8634" t="s">
        <v>2363</v>
      </c>
      <c r="G324" s="8634" t="s">
        <v>24</v>
      </c>
      <c r="H324" s="8634" t="s">
        <v>24</v>
      </c>
      <c r="I324" s="8634" t="s">
        <v>722</v>
      </c>
    </row>
    <row customHeight="1" ht="11.25">
      <c r="A325" s="8634" t="s">
        <v>2182</v>
      </c>
      <c r="B325" s="8634" t="s">
        <v>14</v>
      </c>
      <c r="C325" s="8634" t="s">
        <v>3430</v>
      </c>
      <c r="D325" s="8634" t="s">
        <v>3431</v>
      </c>
      <c r="E325" s="8634" t="s">
        <v>3432</v>
      </c>
      <c r="F325" s="8634" t="s">
        <v>2334</v>
      </c>
      <c r="G325" s="8634" t="s">
        <v>3433</v>
      </c>
      <c r="H325" s="8634" t="s">
        <v>24</v>
      </c>
      <c r="I325" s="8634" t="s">
        <v>722</v>
      </c>
    </row>
    <row customHeight="1" ht="11.25">
      <c r="A326" s="8634" t="s">
        <v>2182</v>
      </c>
      <c r="B326" s="8634" t="s">
        <v>14</v>
      </c>
      <c r="C326" s="8634" t="s">
        <v>3434</v>
      </c>
      <c r="D326" s="8634" t="s">
        <v>3435</v>
      </c>
      <c r="E326" s="8634" t="s">
        <v>3436</v>
      </c>
      <c r="F326" s="8634" t="s">
        <v>3437</v>
      </c>
      <c r="G326" s="8634" t="s">
        <v>24</v>
      </c>
      <c r="H326" s="8634" t="s">
        <v>3438</v>
      </c>
      <c r="I326" s="8634" t="s">
        <v>722</v>
      </c>
    </row>
    <row customHeight="1" ht="11.25">
      <c r="A327" s="8634" t="s">
        <v>2182</v>
      </c>
      <c r="B327" s="8634" t="s">
        <v>14</v>
      </c>
      <c r="C327" s="8634" t="s">
        <v>3439</v>
      </c>
      <c r="D327" s="8634" t="s">
        <v>3440</v>
      </c>
      <c r="E327" s="8634" t="s">
        <v>3441</v>
      </c>
      <c r="F327" s="8634" t="s">
        <v>2186</v>
      </c>
      <c r="G327" s="8634" t="s">
        <v>24</v>
      </c>
      <c r="H327" s="8634" t="s">
        <v>2238</v>
      </c>
      <c r="I327" s="8634" t="s">
        <v>722</v>
      </c>
    </row>
    <row customHeight="1" ht="11.25">
      <c r="A328" s="8634" t="s">
        <v>2182</v>
      </c>
      <c r="B328" s="8634" t="s">
        <v>14</v>
      </c>
      <c r="C328" s="8634" t="s">
        <v>3442</v>
      </c>
      <c r="D328" s="8634" t="s">
        <v>3443</v>
      </c>
      <c r="E328" s="8634" t="s">
        <v>3444</v>
      </c>
      <c r="F328" s="8634" t="s">
        <v>2376</v>
      </c>
      <c r="G328" s="8634" t="s">
        <v>3445</v>
      </c>
      <c r="H328" s="8634" t="s">
        <v>3446</v>
      </c>
      <c r="I328" s="8634" t="s">
        <v>722</v>
      </c>
    </row>
    <row customHeight="1" ht="11.25">
      <c r="A329" s="8634" t="s">
        <v>2182</v>
      </c>
      <c r="B329" s="8634" t="s">
        <v>14</v>
      </c>
      <c r="C329" s="8634" t="s">
        <v>3447</v>
      </c>
      <c r="D329" s="8634" t="s">
        <v>3448</v>
      </c>
      <c r="E329" s="8634" t="s">
        <v>3449</v>
      </c>
      <c r="F329" s="8634" t="s">
        <v>2245</v>
      </c>
      <c r="G329" s="8634" t="s">
        <v>3450</v>
      </c>
      <c r="H329" s="8634" t="s">
        <v>24</v>
      </c>
      <c r="I329" s="8634" t="s">
        <v>722</v>
      </c>
    </row>
    <row customHeight="1" ht="11.25">
      <c r="A330" s="8634" t="s">
        <v>2182</v>
      </c>
      <c r="B330" s="8634" t="s">
        <v>14</v>
      </c>
      <c r="C330" s="8634" t="s">
        <v>3451</v>
      </c>
      <c r="D330" s="8634" t="s">
        <v>3452</v>
      </c>
      <c r="E330" s="8634" t="s">
        <v>3453</v>
      </c>
      <c r="F330" s="8634" t="s">
        <v>2363</v>
      </c>
      <c r="G330" s="8634" t="s">
        <v>24</v>
      </c>
      <c r="H330" s="8634" t="s">
        <v>2187</v>
      </c>
      <c r="I330" s="8634" t="s">
        <v>722</v>
      </c>
    </row>
    <row customHeight="1" ht="11.25">
      <c r="A331" s="8634" t="s">
        <v>2182</v>
      </c>
      <c r="B331" s="8634" t="s">
        <v>14</v>
      </c>
      <c r="C331" s="8634" t="s">
        <v>3454</v>
      </c>
      <c r="D331" s="8634" t="s">
        <v>3455</v>
      </c>
      <c r="E331" s="8634" t="s">
        <v>3456</v>
      </c>
      <c r="F331" s="8634" t="s">
        <v>2626</v>
      </c>
      <c r="G331" s="8634" t="s">
        <v>24</v>
      </c>
      <c r="H331" s="8634" t="s">
        <v>2187</v>
      </c>
      <c r="I331" s="8634" t="s">
        <v>722</v>
      </c>
    </row>
    <row customHeight="1" ht="11.25">
      <c r="A332" s="8634" t="s">
        <v>2182</v>
      </c>
      <c r="B332" s="8634" t="s">
        <v>14</v>
      </c>
      <c r="C332" s="8634" t="s">
        <v>3457</v>
      </c>
      <c r="D332" s="8634" t="s">
        <v>3458</v>
      </c>
      <c r="E332" s="8634" t="s">
        <v>3459</v>
      </c>
      <c r="F332" s="8634" t="s">
        <v>3460</v>
      </c>
      <c r="G332" s="8634" t="s">
        <v>3461</v>
      </c>
      <c r="H332" s="8634" t="s">
        <v>24</v>
      </c>
      <c r="I332" s="8634" t="s">
        <v>722</v>
      </c>
    </row>
    <row customHeight="1" ht="11.25">
      <c r="A333" s="8634" t="s">
        <v>2182</v>
      </c>
      <c r="B333" s="8634" t="s">
        <v>14</v>
      </c>
      <c r="C333" s="8634" t="s">
        <v>3462</v>
      </c>
      <c r="D333" s="8634" t="s">
        <v>3463</v>
      </c>
      <c r="E333" s="8634" t="s">
        <v>3464</v>
      </c>
      <c r="F333" s="8634" t="s">
        <v>2349</v>
      </c>
      <c r="G333" s="8634" t="s">
        <v>24</v>
      </c>
      <c r="H333" s="8634" t="s">
        <v>2187</v>
      </c>
      <c r="I333" s="8634" t="s">
        <v>722</v>
      </c>
    </row>
    <row customHeight="1" ht="11.25">
      <c r="A334" s="8634" t="s">
        <v>2182</v>
      </c>
      <c r="B334" s="8634" t="s">
        <v>14</v>
      </c>
      <c r="C334" s="8634" t="s">
        <v>3465</v>
      </c>
      <c r="D334" s="8634" t="s">
        <v>3466</v>
      </c>
      <c r="E334" s="8634" t="s">
        <v>3467</v>
      </c>
      <c r="F334" s="8634" t="s">
        <v>2349</v>
      </c>
      <c r="G334" s="8634" t="s">
        <v>24</v>
      </c>
      <c r="H334" s="8634" t="s">
        <v>3468</v>
      </c>
      <c r="I334" s="8634" t="s">
        <v>722</v>
      </c>
    </row>
    <row customHeight="1" ht="11.25">
      <c r="A335" s="8634" t="s">
        <v>2182</v>
      </c>
      <c r="B335" s="8634" t="s">
        <v>14</v>
      </c>
      <c r="C335" s="8634" t="s">
        <v>3469</v>
      </c>
      <c r="D335" s="8634" t="s">
        <v>3470</v>
      </c>
      <c r="E335" s="8634" t="s">
        <v>3471</v>
      </c>
      <c r="F335" s="8634" t="s">
        <v>2213</v>
      </c>
      <c r="G335" s="8634" t="s">
        <v>3472</v>
      </c>
      <c r="H335" s="8634" t="s">
        <v>3473</v>
      </c>
      <c r="I335" s="8634" t="s">
        <v>722</v>
      </c>
    </row>
    <row customHeight="1" ht="11.25">
      <c r="A336" s="8634" t="s">
        <v>2182</v>
      </c>
      <c r="B336" s="8634" t="s">
        <v>14</v>
      </c>
      <c r="C336" s="8634" t="s">
        <v>3474</v>
      </c>
      <c r="D336" s="8634" t="s">
        <v>3475</v>
      </c>
      <c r="E336" s="8634" t="s">
        <v>3476</v>
      </c>
      <c r="F336" s="8634" t="s">
        <v>2213</v>
      </c>
      <c r="G336" s="8634" t="s">
        <v>3477</v>
      </c>
      <c r="H336" s="8634" t="s">
        <v>24</v>
      </c>
      <c r="I336" s="8634" t="s">
        <v>722</v>
      </c>
    </row>
    <row customHeight="1" ht="11.25">
      <c r="A337" s="8634" t="s">
        <v>2182</v>
      </c>
      <c r="B337" s="8634" t="s">
        <v>14</v>
      </c>
      <c r="C337" s="8634" t="s">
        <v>3478</v>
      </c>
      <c r="D337" s="8634" t="s">
        <v>3479</v>
      </c>
      <c r="E337" s="8634" t="s">
        <v>3480</v>
      </c>
      <c r="F337" s="8634" t="s">
        <v>2223</v>
      </c>
      <c r="G337" s="8634" t="s">
        <v>24</v>
      </c>
      <c r="H337" s="8634" t="s">
        <v>2187</v>
      </c>
      <c r="I337" s="8634" t="s">
        <v>722</v>
      </c>
    </row>
    <row customHeight="1" ht="11.25">
      <c r="A338" s="8634" t="s">
        <v>2182</v>
      </c>
      <c r="B338" s="8634" t="s">
        <v>14</v>
      </c>
      <c r="C338" s="8634" t="s">
        <v>3481</v>
      </c>
      <c r="D338" s="8634" t="s">
        <v>3482</v>
      </c>
      <c r="E338" s="8634" t="s">
        <v>3483</v>
      </c>
      <c r="F338" s="8634" t="s">
        <v>2237</v>
      </c>
      <c r="G338" s="8634" t="s">
        <v>24</v>
      </c>
      <c r="H338" s="8634" t="s">
        <v>3484</v>
      </c>
      <c r="I338" s="8634" t="s">
        <v>722</v>
      </c>
    </row>
    <row customHeight="1" ht="11.25">
      <c r="A339" s="8634" t="s">
        <v>2182</v>
      </c>
      <c r="B339" s="8634" t="s">
        <v>14</v>
      </c>
      <c r="C339" s="8634" t="s">
        <v>3485</v>
      </c>
      <c r="D339" s="8634" t="s">
        <v>3486</v>
      </c>
      <c r="E339" s="8634" t="s">
        <v>3487</v>
      </c>
      <c r="F339" s="8634" t="s">
        <v>2245</v>
      </c>
      <c r="G339" s="8634" t="s">
        <v>24</v>
      </c>
      <c r="H339" s="8634" t="s">
        <v>3488</v>
      </c>
      <c r="I339" s="8634" t="s">
        <v>722</v>
      </c>
    </row>
    <row customHeight="1" ht="11.25">
      <c r="A340" s="8634" t="s">
        <v>2182</v>
      </c>
      <c r="B340" s="8634" t="s">
        <v>14</v>
      </c>
      <c r="C340" s="8634" t="s">
        <v>3489</v>
      </c>
      <c r="D340" s="8634" t="s">
        <v>3490</v>
      </c>
      <c r="E340" s="8634" t="s">
        <v>3491</v>
      </c>
      <c r="F340" s="8634" t="s">
        <v>2756</v>
      </c>
      <c r="G340" s="8634" t="s">
        <v>24</v>
      </c>
      <c r="H340" s="8634" t="s">
        <v>2400</v>
      </c>
      <c r="I340" s="8634" t="s">
        <v>722</v>
      </c>
    </row>
    <row customHeight="1" ht="11.25">
      <c r="A341" s="8634" t="s">
        <v>2182</v>
      </c>
      <c r="B341" s="8634" t="s">
        <v>14</v>
      </c>
      <c r="C341" s="8634" t="s">
        <v>3492</v>
      </c>
      <c r="D341" s="8634" t="s">
        <v>3493</v>
      </c>
      <c r="E341" s="8634" t="s">
        <v>3494</v>
      </c>
      <c r="F341" s="8634" t="s">
        <v>2477</v>
      </c>
      <c r="G341" s="8634" t="s">
        <v>3495</v>
      </c>
      <c r="H341" s="8634" t="s">
        <v>3496</v>
      </c>
      <c r="I341" s="8634" t="s">
        <v>722</v>
      </c>
    </row>
    <row customHeight="1" ht="11.25">
      <c r="A342" s="8634" t="s">
        <v>2182</v>
      </c>
      <c r="B342" s="8634" t="s">
        <v>14</v>
      </c>
      <c r="C342" s="8634" t="s">
        <v>3497</v>
      </c>
      <c r="D342" s="8634" t="s">
        <v>3498</v>
      </c>
      <c r="E342" s="8634" t="s">
        <v>3499</v>
      </c>
      <c r="F342" s="8634" t="s">
        <v>2376</v>
      </c>
      <c r="G342" s="8634" t="s">
        <v>24</v>
      </c>
      <c r="H342" s="8634" t="s">
        <v>3500</v>
      </c>
      <c r="I342" s="8634" t="s">
        <v>722</v>
      </c>
    </row>
    <row customHeight="1" ht="11.25">
      <c r="A343" s="8634" t="s">
        <v>2182</v>
      </c>
      <c r="B343" s="8634" t="s">
        <v>14</v>
      </c>
      <c r="C343" s="8634" t="s">
        <v>3501</v>
      </c>
      <c r="D343" s="8634" t="s">
        <v>3502</v>
      </c>
      <c r="E343" s="8634" t="s">
        <v>3503</v>
      </c>
      <c r="F343" s="8634" t="s">
        <v>2671</v>
      </c>
      <c r="G343" s="8634" t="s">
        <v>3504</v>
      </c>
      <c r="H343" s="8634" t="s">
        <v>2238</v>
      </c>
      <c r="I343" s="8634" t="s">
        <v>722</v>
      </c>
    </row>
    <row customHeight="1" ht="11.25">
      <c r="A344" s="8634" t="s">
        <v>2182</v>
      </c>
      <c r="B344" s="8634" t="s">
        <v>14</v>
      </c>
      <c r="C344" s="8634" t="s">
        <v>3505</v>
      </c>
      <c r="D344" s="8634" t="s">
        <v>3506</v>
      </c>
      <c r="E344" s="8634" t="s">
        <v>3507</v>
      </c>
      <c r="F344" s="8634" t="s">
        <v>3508</v>
      </c>
      <c r="G344" s="8634" t="s">
        <v>3509</v>
      </c>
      <c r="H344" s="8634" t="s">
        <v>24</v>
      </c>
      <c r="I344" s="8634" t="s">
        <v>722</v>
      </c>
    </row>
    <row customHeight="1" ht="11.25">
      <c r="A345" s="8634" t="s">
        <v>2182</v>
      </c>
      <c r="B345" s="8634" t="s">
        <v>14</v>
      </c>
      <c r="C345" s="8634" t="s">
        <v>3510</v>
      </c>
      <c r="D345" s="8634" t="s">
        <v>3511</v>
      </c>
      <c r="E345" s="8634" t="s">
        <v>3512</v>
      </c>
      <c r="F345" s="8634" t="s">
        <v>2228</v>
      </c>
      <c r="G345" s="8634" t="s">
        <v>3513</v>
      </c>
      <c r="H345" s="8634" t="s">
        <v>2187</v>
      </c>
      <c r="I345" s="8634" t="s">
        <v>722</v>
      </c>
    </row>
    <row customHeight="1" ht="11.25">
      <c r="A346" s="8634" t="s">
        <v>2182</v>
      </c>
      <c r="B346" s="8634" t="s">
        <v>14</v>
      </c>
      <c r="C346" s="8634" t="s">
        <v>3514</v>
      </c>
      <c r="D346" s="8634" t="s">
        <v>3515</v>
      </c>
      <c r="E346" s="8634" t="s">
        <v>3516</v>
      </c>
      <c r="F346" s="8634" t="s">
        <v>2600</v>
      </c>
      <c r="G346" s="8634" t="s">
        <v>3517</v>
      </c>
      <c r="H346" s="8634" t="s">
        <v>3518</v>
      </c>
      <c r="I346" s="8634" t="s">
        <v>722</v>
      </c>
    </row>
    <row customHeight="1" ht="11.25">
      <c r="A347" s="8634" t="s">
        <v>2182</v>
      </c>
      <c r="B347" s="8634" t="s">
        <v>14</v>
      </c>
      <c r="C347" s="8634" t="s">
        <v>3519</v>
      </c>
      <c r="D347" s="8634" t="s">
        <v>3520</v>
      </c>
      <c r="E347" s="8634" t="s">
        <v>3521</v>
      </c>
      <c r="F347" s="8634" t="s">
        <v>3437</v>
      </c>
      <c r="G347" s="8634" t="s">
        <v>3522</v>
      </c>
      <c r="H347" s="8634" t="s">
        <v>24</v>
      </c>
      <c r="I347" s="8634" t="s">
        <v>722</v>
      </c>
    </row>
    <row customHeight="1" ht="11.25">
      <c r="A348" s="8634" t="s">
        <v>2182</v>
      </c>
      <c r="B348" s="8634" t="s">
        <v>14</v>
      </c>
      <c r="C348" s="8634" t="s">
        <v>3523</v>
      </c>
      <c r="D348" s="8634" t="s">
        <v>3524</v>
      </c>
      <c r="E348" s="8634" t="s">
        <v>3525</v>
      </c>
      <c r="F348" s="8634" t="s">
        <v>2460</v>
      </c>
      <c r="G348" s="8634" t="s">
        <v>24</v>
      </c>
      <c r="H348" s="8634" t="s">
        <v>3526</v>
      </c>
      <c r="I348" s="8634" t="s">
        <v>722</v>
      </c>
    </row>
    <row customHeight="1" ht="11.25">
      <c r="A349" s="8634" t="s">
        <v>2182</v>
      </c>
      <c r="B349" s="8634" t="s">
        <v>14</v>
      </c>
      <c r="C349" s="8634" t="s">
        <v>3527</v>
      </c>
      <c r="D349" s="8634" t="s">
        <v>3528</v>
      </c>
      <c r="E349" s="8634" t="s">
        <v>3529</v>
      </c>
      <c r="F349" s="8634" t="s">
        <v>2600</v>
      </c>
      <c r="G349" s="8634" t="s">
        <v>24</v>
      </c>
      <c r="H349" s="8634" t="s">
        <v>2187</v>
      </c>
      <c r="I349" s="8634" t="s">
        <v>722</v>
      </c>
    </row>
    <row customHeight="1" ht="11.25">
      <c r="A350" s="8634" t="s">
        <v>2182</v>
      </c>
      <c r="B350" s="8634" t="s">
        <v>14</v>
      </c>
      <c r="C350" s="8634" t="s">
        <v>3530</v>
      </c>
      <c r="D350" s="8634" t="s">
        <v>3531</v>
      </c>
      <c r="E350" s="8634" t="s">
        <v>3532</v>
      </c>
      <c r="F350" s="8634" t="s">
        <v>2600</v>
      </c>
      <c r="G350" s="8634" t="s">
        <v>24</v>
      </c>
      <c r="H350" s="8634" t="s">
        <v>2993</v>
      </c>
      <c r="I350" s="8634" t="s">
        <v>722</v>
      </c>
    </row>
    <row customHeight="1" ht="11.25">
      <c r="A351" s="8634" t="s">
        <v>2182</v>
      </c>
      <c r="B351" s="8634" t="s">
        <v>14</v>
      </c>
      <c r="C351" s="8634" t="s">
        <v>3533</v>
      </c>
      <c r="D351" s="8634" t="s">
        <v>3534</v>
      </c>
      <c r="E351" s="8634" t="s">
        <v>3535</v>
      </c>
      <c r="F351" s="8634" t="s">
        <v>2696</v>
      </c>
      <c r="G351" s="8634" t="s">
        <v>24</v>
      </c>
      <c r="H351" s="8634" t="s">
        <v>3536</v>
      </c>
      <c r="I351" s="8634" t="s">
        <v>722</v>
      </c>
    </row>
    <row customHeight="1" ht="11.25">
      <c r="A352" s="8634" t="s">
        <v>2182</v>
      </c>
      <c r="B352" s="8634" t="s">
        <v>14</v>
      </c>
      <c r="C352" s="8634" t="s">
        <v>3537</v>
      </c>
      <c r="D352" s="8634" t="s">
        <v>3538</v>
      </c>
      <c r="E352" s="8634" t="s">
        <v>3539</v>
      </c>
      <c r="F352" s="8634" t="s">
        <v>3540</v>
      </c>
      <c r="G352" s="8634" t="s">
        <v>24</v>
      </c>
      <c r="H352" s="8634" t="s">
        <v>2187</v>
      </c>
      <c r="I352" s="8634" t="s">
        <v>722</v>
      </c>
    </row>
    <row customHeight="1" ht="11.25">
      <c r="A353" s="8634" t="s">
        <v>2182</v>
      </c>
      <c r="B353" s="8634" t="s">
        <v>14</v>
      </c>
      <c r="C353" s="8634" t="s">
        <v>3541</v>
      </c>
      <c r="D353" s="8634" t="s">
        <v>3542</v>
      </c>
      <c r="E353" s="8634" t="s">
        <v>3543</v>
      </c>
      <c r="F353" s="8634" t="s">
        <v>2334</v>
      </c>
      <c r="G353" s="8634" t="s">
        <v>24</v>
      </c>
      <c r="H353" s="8634" t="s">
        <v>2187</v>
      </c>
      <c r="I353" s="8634" t="s">
        <v>722</v>
      </c>
    </row>
    <row customHeight="1" ht="11.25">
      <c r="A354" s="8634" t="s">
        <v>2182</v>
      </c>
      <c r="B354" s="8634" t="s">
        <v>14</v>
      </c>
      <c r="C354" s="8634" t="s">
        <v>3544</v>
      </c>
      <c r="D354" s="8634" t="s">
        <v>3545</v>
      </c>
      <c r="E354" s="8634" t="s">
        <v>3546</v>
      </c>
      <c r="F354" s="8634" t="s">
        <v>2705</v>
      </c>
      <c r="G354" s="8634" t="s">
        <v>3547</v>
      </c>
      <c r="H354" s="8634" t="s">
        <v>2187</v>
      </c>
      <c r="I354" s="8634" t="s">
        <v>722</v>
      </c>
    </row>
    <row customHeight="1" ht="11.25">
      <c r="A355" s="8634" t="s">
        <v>2182</v>
      </c>
      <c r="B355" s="8634" t="s">
        <v>14</v>
      </c>
      <c r="C355" s="8634" t="s">
        <v>3548</v>
      </c>
      <c r="D355" s="8634" t="s">
        <v>3549</v>
      </c>
      <c r="E355" s="8634" t="s">
        <v>3550</v>
      </c>
      <c r="F355" s="8634" t="s">
        <v>2626</v>
      </c>
      <c r="G355" s="8634" t="s">
        <v>3551</v>
      </c>
      <c r="H355" s="8634" t="s">
        <v>24</v>
      </c>
      <c r="I355" s="8634" t="s">
        <v>722</v>
      </c>
    </row>
    <row customHeight="1" ht="11.25">
      <c r="A356" s="8634" t="s">
        <v>2182</v>
      </c>
      <c r="B356" s="8634" t="s">
        <v>14</v>
      </c>
      <c r="C356" s="8634" t="s">
        <v>3552</v>
      </c>
      <c r="D356" s="8634" t="s">
        <v>3553</v>
      </c>
      <c r="E356" s="8634" t="s">
        <v>3554</v>
      </c>
      <c r="F356" s="8634" t="s">
        <v>2339</v>
      </c>
      <c r="G356" s="8634" t="s">
        <v>3555</v>
      </c>
      <c r="H356" s="8634" t="s">
        <v>24</v>
      </c>
      <c r="I356" s="8634" t="s">
        <v>722</v>
      </c>
    </row>
    <row customHeight="1" ht="11.25">
      <c r="A357" s="8634" t="s">
        <v>2182</v>
      </c>
      <c r="B357" s="8634" t="s">
        <v>14</v>
      </c>
      <c r="C357" s="8634" t="s">
        <v>3556</v>
      </c>
      <c r="D357" s="8634" t="s">
        <v>3557</v>
      </c>
      <c r="E357" s="8634" t="s">
        <v>3558</v>
      </c>
      <c r="F357" s="8634" t="s">
        <v>2411</v>
      </c>
      <c r="G357" s="8634" t="s">
        <v>24</v>
      </c>
      <c r="H357" s="8634" t="s">
        <v>3559</v>
      </c>
      <c r="I357" s="8634" t="s">
        <v>722</v>
      </c>
    </row>
    <row customHeight="1" ht="11.25">
      <c r="A358" s="8634" t="s">
        <v>2182</v>
      </c>
      <c r="B358" s="8634" t="s">
        <v>14</v>
      </c>
      <c r="C358" s="8634" t="s">
        <v>3560</v>
      </c>
      <c r="D358" s="8634" t="s">
        <v>3561</v>
      </c>
      <c r="E358" s="8634" t="s">
        <v>3562</v>
      </c>
      <c r="F358" s="8634" t="s">
        <v>2218</v>
      </c>
      <c r="G358" s="8634" t="s">
        <v>3563</v>
      </c>
      <c r="H358" s="8634" t="s">
        <v>3564</v>
      </c>
      <c r="I358" s="8634" t="s">
        <v>722</v>
      </c>
    </row>
    <row customHeight="1" ht="11.25">
      <c r="A359" s="8634" t="s">
        <v>2182</v>
      </c>
      <c r="B359" s="8634" t="s">
        <v>14</v>
      </c>
      <c r="C359" s="8634" t="s">
        <v>3565</v>
      </c>
      <c r="D359" s="8634" t="s">
        <v>3566</v>
      </c>
      <c r="E359" s="8634" t="s">
        <v>3567</v>
      </c>
      <c r="F359" s="8634" t="s">
        <v>3278</v>
      </c>
      <c r="G359" s="8634" t="s">
        <v>3568</v>
      </c>
      <c r="H359" s="8634" t="s">
        <v>2187</v>
      </c>
      <c r="I359" s="8634" t="s">
        <v>722</v>
      </c>
    </row>
    <row customHeight="1" ht="11.25">
      <c r="A360" s="8634" t="s">
        <v>2182</v>
      </c>
      <c r="B360" s="8634" t="s">
        <v>14</v>
      </c>
      <c r="C360" s="8634" t="s">
        <v>3569</v>
      </c>
      <c r="D360" s="8634" t="s">
        <v>3570</v>
      </c>
      <c r="E360" s="8634" t="s">
        <v>3571</v>
      </c>
      <c r="F360" s="8634" t="s">
        <v>2398</v>
      </c>
      <c r="G360" s="8634" t="s">
        <v>3572</v>
      </c>
      <c r="H360" s="8634" t="s">
        <v>3573</v>
      </c>
      <c r="I360" s="8634" t="s">
        <v>722</v>
      </c>
    </row>
    <row customHeight="1" ht="11.25">
      <c r="A361" s="8634" t="s">
        <v>2182</v>
      </c>
      <c r="B361" s="8634" t="s">
        <v>14</v>
      </c>
      <c r="C361" s="8634" t="s">
        <v>3574</v>
      </c>
      <c r="D361" s="8634" t="s">
        <v>3575</v>
      </c>
      <c r="E361" s="8634" t="s">
        <v>3576</v>
      </c>
      <c r="F361" s="8634" t="s">
        <v>2334</v>
      </c>
      <c r="G361" s="8634" t="s">
        <v>24</v>
      </c>
      <c r="H361" s="8634" t="s">
        <v>2187</v>
      </c>
      <c r="I361" s="8634" t="s">
        <v>722</v>
      </c>
    </row>
    <row customHeight="1" ht="11.25">
      <c r="A362" s="8634" t="s">
        <v>2182</v>
      </c>
      <c r="B362" s="8634" t="s">
        <v>14</v>
      </c>
      <c r="C362" s="8634" t="s">
        <v>3577</v>
      </c>
      <c r="D362" s="8634" t="s">
        <v>3578</v>
      </c>
      <c r="E362" s="8634" t="s">
        <v>3579</v>
      </c>
      <c r="F362" s="8634" t="s">
        <v>2300</v>
      </c>
      <c r="G362" s="8634" t="s">
        <v>24</v>
      </c>
      <c r="H362" s="8634" t="s">
        <v>2187</v>
      </c>
      <c r="I362" s="8634" t="s">
        <v>722</v>
      </c>
    </row>
    <row customHeight="1" ht="11.25">
      <c r="A363" s="8634" t="s">
        <v>2182</v>
      </c>
      <c r="B363" s="8634" t="s">
        <v>14</v>
      </c>
      <c r="C363" s="8634" t="s">
        <v>3580</v>
      </c>
      <c r="D363" s="8634" t="s">
        <v>3581</v>
      </c>
      <c r="E363" s="8634" t="s">
        <v>3582</v>
      </c>
      <c r="F363" s="8634" t="s">
        <v>2411</v>
      </c>
      <c r="G363" s="8634" t="s">
        <v>3583</v>
      </c>
      <c r="H363" s="8634" t="s">
        <v>2400</v>
      </c>
      <c r="I363" s="8634" t="s">
        <v>722</v>
      </c>
    </row>
    <row customHeight="1" ht="11.25">
      <c r="A364" s="8634" t="s">
        <v>2182</v>
      </c>
      <c r="B364" s="8634" t="s">
        <v>14</v>
      </c>
      <c r="C364" s="8634" t="s">
        <v>3584</v>
      </c>
      <c r="D364" s="8634" t="s">
        <v>3585</v>
      </c>
      <c r="E364" s="8634" t="s">
        <v>3586</v>
      </c>
      <c r="F364" s="8634" t="s">
        <v>2626</v>
      </c>
      <c r="G364" s="8634" t="s">
        <v>3587</v>
      </c>
      <c r="H364" s="8634" t="s">
        <v>24</v>
      </c>
      <c r="I364" s="8634" t="s">
        <v>722</v>
      </c>
    </row>
    <row customHeight="1" ht="11.25">
      <c r="A365" s="8634" t="s">
        <v>2182</v>
      </c>
      <c r="B365" s="8634" t="s">
        <v>14</v>
      </c>
      <c r="C365" s="8634" t="s">
        <v>3588</v>
      </c>
      <c r="D365" s="8634" t="s">
        <v>3589</v>
      </c>
      <c r="E365" s="8634" t="s">
        <v>3590</v>
      </c>
      <c r="F365" s="8634" t="s">
        <v>2274</v>
      </c>
      <c r="G365" s="8634" t="s">
        <v>24</v>
      </c>
      <c r="H365" s="8634" t="s">
        <v>24</v>
      </c>
      <c r="I365" s="8634" t="s">
        <v>722</v>
      </c>
    </row>
    <row customHeight="1" ht="11.25">
      <c r="A366" s="8634" t="s">
        <v>2182</v>
      </c>
      <c r="B366" s="8634" t="s">
        <v>14</v>
      </c>
      <c r="C366" s="8634" t="s">
        <v>3591</v>
      </c>
      <c r="D366" s="8634" t="s">
        <v>3592</v>
      </c>
      <c r="E366" s="8634" t="s">
        <v>3593</v>
      </c>
      <c r="F366" s="8634" t="s">
        <v>2363</v>
      </c>
      <c r="G366" s="8634" t="s">
        <v>3594</v>
      </c>
      <c r="H366" s="8634" t="s">
        <v>24</v>
      </c>
      <c r="I366" s="8634" t="s">
        <v>722</v>
      </c>
    </row>
    <row customHeight="1" ht="11.25">
      <c r="A367" s="8634" t="s">
        <v>2182</v>
      </c>
      <c r="B367" s="8634" t="s">
        <v>14</v>
      </c>
      <c r="C367" s="8634" t="s">
        <v>3595</v>
      </c>
      <c r="D367" s="8634" t="s">
        <v>3596</v>
      </c>
      <c r="E367" s="8634" t="s">
        <v>3597</v>
      </c>
      <c r="F367" s="8634" t="s">
        <v>2600</v>
      </c>
      <c r="G367" s="8634" t="s">
        <v>3598</v>
      </c>
      <c r="H367" s="8634" t="s">
        <v>24</v>
      </c>
      <c r="I367" s="8634" t="s">
        <v>722</v>
      </c>
    </row>
    <row customHeight="1" ht="11.25">
      <c r="A368" s="8634" t="s">
        <v>2182</v>
      </c>
      <c r="B368" s="8634" t="s">
        <v>14</v>
      </c>
      <c r="C368" s="8634" t="s">
        <v>3599</v>
      </c>
      <c r="D368" s="8634" t="s">
        <v>3600</v>
      </c>
      <c r="E368" s="8634" t="s">
        <v>3601</v>
      </c>
      <c r="F368" s="8634" t="s">
        <v>2376</v>
      </c>
      <c r="G368" s="8634" t="s">
        <v>3602</v>
      </c>
      <c r="H368" s="8634" t="s">
        <v>24</v>
      </c>
      <c r="I368" s="8634" t="s">
        <v>722</v>
      </c>
    </row>
    <row customHeight="1" ht="11.25">
      <c r="A369" s="8634" t="s">
        <v>2182</v>
      </c>
      <c r="B369" s="8634" t="s">
        <v>14</v>
      </c>
      <c r="C369" s="8634" t="s">
        <v>3603</v>
      </c>
      <c r="D369" s="8634" t="s">
        <v>3604</v>
      </c>
      <c r="E369" s="8634" t="s">
        <v>3605</v>
      </c>
      <c r="F369" s="8634" t="s">
        <v>2696</v>
      </c>
      <c r="G369" s="8634" t="s">
        <v>3606</v>
      </c>
      <c r="H369" s="8634" t="s">
        <v>3607</v>
      </c>
      <c r="I369" s="8634" t="s">
        <v>722</v>
      </c>
    </row>
    <row customHeight="1" ht="11.25">
      <c r="A370" s="8634" t="s">
        <v>2182</v>
      </c>
      <c r="B370" s="8634" t="s">
        <v>14</v>
      </c>
      <c r="C370" s="8634" t="s">
        <v>3608</v>
      </c>
      <c r="D370" s="8634" t="s">
        <v>3609</v>
      </c>
      <c r="E370" s="8634" t="s">
        <v>3610</v>
      </c>
      <c r="F370" s="8634" t="s">
        <v>2284</v>
      </c>
      <c r="G370" s="8634" t="s">
        <v>24</v>
      </c>
      <c r="H370" s="8634" t="s">
        <v>2993</v>
      </c>
      <c r="I370" s="8634" t="s">
        <v>722</v>
      </c>
    </row>
    <row customHeight="1" ht="11.25">
      <c r="A371" s="8634" t="s">
        <v>2182</v>
      </c>
      <c r="B371" s="8634" t="s">
        <v>14</v>
      </c>
      <c r="C371" s="8634" t="s">
        <v>3611</v>
      </c>
      <c r="D371" s="8634" t="s">
        <v>3612</v>
      </c>
      <c r="E371" s="8634" t="s">
        <v>3613</v>
      </c>
      <c r="F371" s="8634" t="s">
        <v>2245</v>
      </c>
      <c r="G371" s="8634" t="s">
        <v>3614</v>
      </c>
      <c r="H371" s="8634" t="s">
        <v>2400</v>
      </c>
      <c r="I371" s="8634" t="s">
        <v>722</v>
      </c>
    </row>
    <row customHeight="1" ht="11.25">
      <c r="A372" s="8634" t="s">
        <v>2182</v>
      </c>
      <c r="B372" s="8634" t="s">
        <v>14</v>
      </c>
      <c r="C372" s="8634" t="s">
        <v>3615</v>
      </c>
      <c r="D372" s="8634" t="s">
        <v>3616</v>
      </c>
      <c r="E372" s="8634" t="s">
        <v>3617</v>
      </c>
      <c r="F372" s="8634" t="s">
        <v>2600</v>
      </c>
      <c r="G372" s="8634" t="s">
        <v>3618</v>
      </c>
      <c r="H372" s="8634" t="s">
        <v>3619</v>
      </c>
      <c r="I372" s="8634" t="s">
        <v>722</v>
      </c>
    </row>
    <row customHeight="1" ht="11.25">
      <c r="A373" s="8634" t="s">
        <v>2182</v>
      </c>
      <c r="B373" s="8634" t="s">
        <v>14</v>
      </c>
      <c r="C373" s="8634" t="s">
        <v>3620</v>
      </c>
      <c r="D373" s="8634" t="s">
        <v>3621</v>
      </c>
      <c r="E373" s="8634" t="s">
        <v>3622</v>
      </c>
      <c r="F373" s="8634" t="s">
        <v>2279</v>
      </c>
      <c r="G373" s="8634" t="s">
        <v>24</v>
      </c>
      <c r="H373" s="8634" t="s">
        <v>2187</v>
      </c>
      <c r="I373" s="8634" t="s">
        <v>722</v>
      </c>
    </row>
    <row customHeight="1" ht="11.25">
      <c r="A374" s="8634" t="s">
        <v>2182</v>
      </c>
      <c r="B374" s="8634" t="s">
        <v>14</v>
      </c>
      <c r="C374" s="8634" t="s">
        <v>3623</v>
      </c>
      <c r="D374" s="8634" t="s">
        <v>3624</v>
      </c>
      <c r="E374" s="8634" t="s">
        <v>3625</v>
      </c>
      <c r="F374" s="8634" t="s">
        <v>2823</v>
      </c>
      <c r="G374" s="8634" t="s">
        <v>3626</v>
      </c>
      <c r="H374" s="8634" t="s">
        <v>3627</v>
      </c>
      <c r="I374" s="8634" t="s">
        <v>722</v>
      </c>
    </row>
    <row customHeight="1" ht="11.25">
      <c r="A375" s="8634" t="s">
        <v>2182</v>
      </c>
      <c r="B375" s="8634" t="s">
        <v>14</v>
      </c>
      <c r="C375" s="8634" t="s">
        <v>3628</v>
      </c>
      <c r="D375" s="8634" t="s">
        <v>3629</v>
      </c>
      <c r="E375" s="8634" t="s">
        <v>3630</v>
      </c>
      <c r="F375" s="8634" t="s">
        <v>3631</v>
      </c>
      <c r="G375" s="8634" t="s">
        <v>3632</v>
      </c>
      <c r="H375" s="8634" t="s">
        <v>24</v>
      </c>
      <c r="I375" s="8634" t="s">
        <v>722</v>
      </c>
    </row>
    <row customHeight="1" ht="11.25">
      <c r="A376" s="8634" t="s">
        <v>2182</v>
      </c>
      <c r="B376" s="8634" t="s">
        <v>14</v>
      </c>
      <c r="C376" s="8634" t="s">
        <v>3633</v>
      </c>
      <c r="D376" s="8634" t="s">
        <v>3634</v>
      </c>
      <c r="E376" s="8634" t="s">
        <v>3635</v>
      </c>
      <c r="F376" s="8634" t="s">
        <v>2600</v>
      </c>
      <c r="G376" s="8634" t="s">
        <v>3636</v>
      </c>
      <c r="H376" s="8634" t="s">
        <v>24</v>
      </c>
      <c r="I376" s="8634" t="s">
        <v>722</v>
      </c>
    </row>
    <row customHeight="1" ht="11.25">
      <c r="A377" s="8634" t="s">
        <v>2182</v>
      </c>
      <c r="B377" s="8634" t="s">
        <v>14</v>
      </c>
      <c r="C377" s="8634" t="s">
        <v>3637</v>
      </c>
      <c r="D377" s="8634" t="s">
        <v>3638</v>
      </c>
      <c r="E377" s="8634" t="s">
        <v>3639</v>
      </c>
      <c r="F377" s="8634" t="s">
        <v>2600</v>
      </c>
      <c r="G377" s="8634" t="s">
        <v>3640</v>
      </c>
      <c r="H377" s="8634" t="s">
        <v>3641</v>
      </c>
      <c r="I377" s="8634" t="s">
        <v>722</v>
      </c>
    </row>
    <row customHeight="1" ht="11.25">
      <c r="A378" s="8634" t="s">
        <v>2182</v>
      </c>
      <c r="B378" s="8634" t="s">
        <v>14</v>
      </c>
      <c r="C378" s="8634" t="s">
        <v>3642</v>
      </c>
      <c r="D378" s="8634" t="s">
        <v>3643</v>
      </c>
      <c r="E378" s="8634" t="s">
        <v>3644</v>
      </c>
      <c r="F378" s="8634" t="s">
        <v>2613</v>
      </c>
      <c r="G378" s="8634" t="s">
        <v>24</v>
      </c>
      <c r="H378" s="8634" t="s">
        <v>3645</v>
      </c>
      <c r="I378" s="8634" t="s">
        <v>722</v>
      </c>
    </row>
    <row customHeight="1" ht="11.25">
      <c r="A379" s="8634" t="s">
        <v>2182</v>
      </c>
      <c r="B379" s="8634" t="s">
        <v>14</v>
      </c>
      <c r="C379" s="8634" t="s">
        <v>3646</v>
      </c>
      <c r="D379" s="8634" t="s">
        <v>3647</v>
      </c>
      <c r="E379" s="8634" t="s">
        <v>3648</v>
      </c>
      <c r="F379" s="8634" t="s">
        <v>2228</v>
      </c>
      <c r="G379" s="8634" t="s">
        <v>24</v>
      </c>
      <c r="H379" s="8634" t="s">
        <v>2187</v>
      </c>
      <c r="I379" s="8634" t="s">
        <v>722</v>
      </c>
    </row>
    <row customHeight="1" ht="11.25">
      <c r="A380" s="8634" t="s">
        <v>2182</v>
      </c>
      <c r="B380" s="8634" t="s">
        <v>14</v>
      </c>
      <c r="C380" s="8634" t="s">
        <v>3649</v>
      </c>
      <c r="D380" s="8634" t="s">
        <v>3650</v>
      </c>
      <c r="E380" s="8634" t="s">
        <v>3651</v>
      </c>
      <c r="F380" s="8634" t="s">
        <v>2300</v>
      </c>
      <c r="G380" s="8634" t="s">
        <v>24</v>
      </c>
      <c r="H380" s="8634" t="s">
        <v>2187</v>
      </c>
      <c r="I380" s="8634" t="s">
        <v>722</v>
      </c>
    </row>
    <row customHeight="1" ht="11.25">
      <c r="A381" s="8634" t="s">
        <v>2182</v>
      </c>
      <c r="B381" s="8634" t="s">
        <v>14</v>
      </c>
      <c r="C381" s="8634" t="s">
        <v>3652</v>
      </c>
      <c r="D381" s="8634" t="s">
        <v>3653</v>
      </c>
      <c r="E381" s="8634" t="s">
        <v>3654</v>
      </c>
      <c r="F381" s="8634" t="s">
        <v>2626</v>
      </c>
      <c r="G381" s="8634" t="s">
        <v>3655</v>
      </c>
      <c r="H381" s="8634" t="s">
        <v>24</v>
      </c>
      <c r="I381" s="8634" t="s">
        <v>722</v>
      </c>
    </row>
    <row customHeight="1" ht="11.25">
      <c r="A382" s="8634" t="s">
        <v>2182</v>
      </c>
      <c r="B382" s="8634" t="s">
        <v>14</v>
      </c>
      <c r="C382" s="8634" t="s">
        <v>3656</v>
      </c>
      <c r="D382" s="8634" t="s">
        <v>3657</v>
      </c>
      <c r="E382" s="8634" t="s">
        <v>3658</v>
      </c>
      <c r="F382" s="8634" t="s">
        <v>2398</v>
      </c>
      <c r="G382" s="8634" t="s">
        <v>3659</v>
      </c>
      <c r="H382" s="8634" t="s">
        <v>2870</v>
      </c>
      <c r="I382" s="8634" t="s">
        <v>722</v>
      </c>
    </row>
    <row customHeight="1" ht="11.25">
      <c r="A383" s="8634" t="s">
        <v>2182</v>
      </c>
      <c r="B383" s="8634" t="s">
        <v>14</v>
      </c>
      <c r="C383" s="8634" t="s">
        <v>3660</v>
      </c>
      <c r="D383" s="8634" t="s">
        <v>3661</v>
      </c>
      <c r="E383" s="8634" t="s">
        <v>3662</v>
      </c>
      <c r="F383" s="8634" t="s">
        <v>2696</v>
      </c>
      <c r="G383" s="8634" t="s">
        <v>3663</v>
      </c>
      <c r="H383" s="8634" t="s">
        <v>24</v>
      </c>
      <c r="I383" s="8634" t="s">
        <v>722</v>
      </c>
    </row>
    <row customHeight="1" ht="11.25">
      <c r="A384" s="8634" t="s">
        <v>2182</v>
      </c>
      <c r="B384" s="8634" t="s">
        <v>14</v>
      </c>
      <c r="C384" s="8634" t="s">
        <v>3664</v>
      </c>
      <c r="D384" s="8634" t="s">
        <v>3665</v>
      </c>
      <c r="E384" s="8634" t="s">
        <v>3666</v>
      </c>
      <c r="F384" s="8634" t="s">
        <v>2460</v>
      </c>
      <c r="G384" s="8634" t="s">
        <v>3667</v>
      </c>
      <c r="H384" s="8634" t="s">
        <v>24</v>
      </c>
      <c r="I384" s="8634" t="s">
        <v>722</v>
      </c>
    </row>
    <row customHeight="1" ht="11.25">
      <c r="A385" s="8634" t="s">
        <v>2182</v>
      </c>
      <c r="B385" s="8634" t="s">
        <v>14</v>
      </c>
      <c r="C385" s="8634" t="s">
        <v>3668</v>
      </c>
      <c r="D385" s="8634" t="s">
        <v>3669</v>
      </c>
      <c r="E385" s="8634" t="s">
        <v>3670</v>
      </c>
      <c r="F385" s="8634" t="s">
        <v>3248</v>
      </c>
      <c r="G385" s="8634" t="s">
        <v>24</v>
      </c>
      <c r="H385" s="8634" t="s">
        <v>24</v>
      </c>
      <c r="I385" s="8634" t="s">
        <v>722</v>
      </c>
    </row>
    <row customHeight="1" ht="11.25">
      <c r="A386" s="8634" t="s">
        <v>2182</v>
      </c>
      <c r="B386" s="8634" t="s">
        <v>14</v>
      </c>
      <c r="C386" s="8634" t="s">
        <v>3671</v>
      </c>
      <c r="D386" s="8634" t="s">
        <v>3672</v>
      </c>
      <c r="E386" s="8634" t="s">
        <v>3673</v>
      </c>
      <c r="F386" s="8634" t="s">
        <v>2376</v>
      </c>
      <c r="G386" s="8634" t="s">
        <v>24</v>
      </c>
      <c r="H386" s="8634" t="s">
        <v>2187</v>
      </c>
      <c r="I386" s="8634" t="s">
        <v>722</v>
      </c>
    </row>
    <row customHeight="1" ht="11.25">
      <c r="A387" s="8634" t="s">
        <v>2182</v>
      </c>
      <c r="B387" s="8634" t="s">
        <v>14</v>
      </c>
      <c r="C387" s="8634" t="s">
        <v>3674</v>
      </c>
      <c r="D387" s="8634" t="s">
        <v>3675</v>
      </c>
      <c r="E387" s="8634" t="s">
        <v>3676</v>
      </c>
      <c r="F387" s="8634" t="s">
        <v>2477</v>
      </c>
      <c r="G387" s="8634" t="s">
        <v>3677</v>
      </c>
      <c r="H387" s="8634" t="s">
        <v>24</v>
      </c>
      <c r="I387" s="8634" t="s">
        <v>722</v>
      </c>
    </row>
    <row customHeight="1" ht="11.25">
      <c r="A388" s="8634" t="s">
        <v>2182</v>
      </c>
      <c r="B388" s="8634" t="s">
        <v>14</v>
      </c>
      <c r="C388" s="8634" t="s">
        <v>3678</v>
      </c>
      <c r="D388" s="8634" t="s">
        <v>3679</v>
      </c>
      <c r="E388" s="8634" t="s">
        <v>3680</v>
      </c>
      <c r="F388" s="8634" t="s">
        <v>2823</v>
      </c>
      <c r="G388" s="8634" t="s">
        <v>24</v>
      </c>
      <c r="H388" s="8634" t="s">
        <v>3321</v>
      </c>
      <c r="I388" s="8634" t="s">
        <v>722</v>
      </c>
    </row>
    <row customHeight="1" ht="11.25">
      <c r="A389" s="8634" t="s">
        <v>2182</v>
      </c>
      <c r="B389" s="8634" t="s">
        <v>14</v>
      </c>
      <c r="C389" s="8634" t="s">
        <v>3681</v>
      </c>
      <c r="D389" s="8634" t="s">
        <v>3679</v>
      </c>
      <c r="E389" s="8634" t="s">
        <v>3682</v>
      </c>
      <c r="F389" s="8634" t="s">
        <v>2447</v>
      </c>
      <c r="G389" s="8634" t="s">
        <v>2850</v>
      </c>
      <c r="H389" s="8634" t="s">
        <v>2681</v>
      </c>
      <c r="I389" s="8634" t="s">
        <v>722</v>
      </c>
    </row>
    <row customHeight="1" ht="11.25">
      <c r="A390" s="8634" t="s">
        <v>2182</v>
      </c>
      <c r="B390" s="8634" t="s">
        <v>14</v>
      </c>
      <c r="C390" s="8634" t="s">
        <v>3683</v>
      </c>
      <c r="D390" s="8634" t="s">
        <v>3679</v>
      </c>
      <c r="E390" s="8634" t="s">
        <v>3684</v>
      </c>
      <c r="F390" s="8634" t="s">
        <v>2600</v>
      </c>
      <c r="G390" s="8634" t="s">
        <v>24</v>
      </c>
      <c r="H390" s="8634" t="s">
        <v>3685</v>
      </c>
      <c r="I390" s="8634" t="s">
        <v>722</v>
      </c>
    </row>
    <row customHeight="1" ht="11.25">
      <c r="A391" s="8634" t="s">
        <v>2182</v>
      </c>
      <c r="B391" s="8634" t="s">
        <v>14</v>
      </c>
      <c r="C391" s="8634" t="s">
        <v>3686</v>
      </c>
      <c r="D391" s="8634" t="s">
        <v>3687</v>
      </c>
      <c r="E391" s="8634" t="s">
        <v>3688</v>
      </c>
      <c r="F391" s="8634" t="s">
        <v>2339</v>
      </c>
      <c r="G391" s="8634" t="s">
        <v>24</v>
      </c>
      <c r="H391" s="8634" t="s">
        <v>2989</v>
      </c>
      <c r="I391" s="8634" t="s">
        <v>722</v>
      </c>
    </row>
    <row customHeight="1" ht="11.25">
      <c r="A392" s="8634" t="s">
        <v>2182</v>
      </c>
      <c r="B392" s="8634" t="s">
        <v>14</v>
      </c>
      <c r="C392" s="8634" t="s">
        <v>3689</v>
      </c>
      <c r="D392" s="8634" t="s">
        <v>3690</v>
      </c>
      <c r="E392" s="8634" t="s">
        <v>3691</v>
      </c>
      <c r="F392" s="8634" t="s">
        <v>2344</v>
      </c>
      <c r="G392" s="8634" t="s">
        <v>24</v>
      </c>
      <c r="H392" s="8634" t="s">
        <v>24</v>
      </c>
      <c r="I392" s="8634" t="s">
        <v>722</v>
      </c>
    </row>
    <row customHeight="1" ht="11.25">
      <c r="A393" s="8634" t="s">
        <v>2182</v>
      </c>
      <c r="B393" s="8634" t="s">
        <v>14</v>
      </c>
      <c r="C393" s="8634" t="s">
        <v>3692</v>
      </c>
      <c r="D393" s="8634" t="s">
        <v>3693</v>
      </c>
      <c r="E393" s="8634" t="s">
        <v>3694</v>
      </c>
      <c r="F393" s="8634" t="s">
        <v>2300</v>
      </c>
      <c r="G393" s="8634" t="s">
        <v>24</v>
      </c>
      <c r="H393" s="8634" t="s">
        <v>2187</v>
      </c>
      <c r="I393" s="8634" t="s">
        <v>722</v>
      </c>
    </row>
    <row customHeight="1" ht="11.25">
      <c r="A394" s="8634" t="s">
        <v>2182</v>
      </c>
      <c r="B394" s="8634" t="s">
        <v>14</v>
      </c>
      <c r="C394" s="8634" t="s">
        <v>3695</v>
      </c>
      <c r="D394" s="8634" t="s">
        <v>3696</v>
      </c>
      <c r="E394" s="8634" t="s">
        <v>3697</v>
      </c>
      <c r="F394" s="8634" t="s">
        <v>3212</v>
      </c>
      <c r="G394" s="8634" t="s">
        <v>24</v>
      </c>
      <c r="H394" s="8634" t="s">
        <v>24</v>
      </c>
      <c r="I394" s="8634" t="s">
        <v>722</v>
      </c>
    </row>
    <row customHeight="1" ht="11.25">
      <c r="A395" s="8634" t="s">
        <v>2182</v>
      </c>
      <c r="B395" s="8634" t="s">
        <v>14</v>
      </c>
      <c r="C395" s="8634" t="s">
        <v>3698</v>
      </c>
      <c r="D395" s="8634" t="s">
        <v>3699</v>
      </c>
      <c r="E395" s="8634" t="s">
        <v>3700</v>
      </c>
      <c r="F395" s="8634" t="s">
        <v>2228</v>
      </c>
      <c r="G395" s="8634" t="s">
        <v>24</v>
      </c>
      <c r="H395" s="8634" t="s">
        <v>24</v>
      </c>
      <c r="I395" s="8634" t="s">
        <v>722</v>
      </c>
    </row>
    <row customHeight="1" ht="11.25">
      <c r="A396" s="8634" t="s">
        <v>2182</v>
      </c>
      <c r="B396" s="8634" t="s">
        <v>14</v>
      </c>
      <c r="C396" s="8634" t="s">
        <v>3701</v>
      </c>
      <c r="D396" s="8634" t="s">
        <v>3702</v>
      </c>
      <c r="E396" s="8634" t="s">
        <v>3703</v>
      </c>
      <c r="F396" s="8634" t="s">
        <v>2567</v>
      </c>
      <c r="G396" s="8634" t="s">
        <v>24</v>
      </c>
      <c r="H396" s="8634" t="s">
        <v>2187</v>
      </c>
      <c r="I396" s="8634" t="s">
        <v>722</v>
      </c>
    </row>
    <row customHeight="1" ht="11.25">
      <c r="A397" s="8634" t="s">
        <v>2182</v>
      </c>
      <c r="B397" s="8634" t="s">
        <v>14</v>
      </c>
      <c r="C397" s="8634" t="s">
        <v>3704</v>
      </c>
      <c r="D397" s="8634" t="s">
        <v>3705</v>
      </c>
      <c r="E397" s="8634" t="s">
        <v>3706</v>
      </c>
      <c r="F397" s="8634" t="s">
        <v>2376</v>
      </c>
      <c r="G397" s="8634" t="s">
        <v>24</v>
      </c>
      <c r="H397" s="8634" t="s">
        <v>3707</v>
      </c>
      <c r="I397" s="8634" t="s">
        <v>722</v>
      </c>
    </row>
    <row customHeight="1" ht="11.25">
      <c r="A398" s="8634" t="s">
        <v>2182</v>
      </c>
      <c r="B398" s="8634" t="s">
        <v>14</v>
      </c>
      <c r="C398" s="8634" t="s">
        <v>3708</v>
      </c>
      <c r="D398" s="8634" t="s">
        <v>3709</v>
      </c>
      <c r="E398" s="8634" t="s">
        <v>3710</v>
      </c>
      <c r="F398" s="8634" t="s">
        <v>2563</v>
      </c>
      <c r="G398" s="8634" t="s">
        <v>24</v>
      </c>
      <c r="H398" s="8634" t="s">
        <v>2187</v>
      </c>
      <c r="I398" s="8634" t="s">
        <v>722</v>
      </c>
    </row>
    <row customHeight="1" ht="11.25">
      <c r="A399" s="8634" t="s">
        <v>2182</v>
      </c>
      <c r="B399" s="8634" t="s">
        <v>14</v>
      </c>
      <c r="C399" s="8634" t="s">
        <v>3711</v>
      </c>
      <c r="D399" s="8634" t="s">
        <v>3712</v>
      </c>
      <c r="E399" s="8634" t="s">
        <v>3713</v>
      </c>
      <c r="F399" s="8634" t="s">
        <v>2274</v>
      </c>
      <c r="G399" s="8634" t="s">
        <v>3714</v>
      </c>
      <c r="H399" s="8634" t="s">
        <v>24</v>
      </c>
      <c r="I399" s="8634" t="s">
        <v>722</v>
      </c>
    </row>
    <row customHeight="1" ht="11.25">
      <c r="A400" s="8634" t="s">
        <v>2182</v>
      </c>
      <c r="B400" s="8634" t="s">
        <v>14</v>
      </c>
      <c r="C400" s="8634" t="s">
        <v>3715</v>
      </c>
      <c r="D400" s="8634" t="s">
        <v>3716</v>
      </c>
      <c r="E400" s="8634" t="s">
        <v>3717</v>
      </c>
      <c r="F400" s="8634" t="s">
        <v>2334</v>
      </c>
      <c r="G400" s="8634" t="s">
        <v>24</v>
      </c>
      <c r="H400" s="8634" t="s">
        <v>2187</v>
      </c>
      <c r="I400" s="8634" t="s">
        <v>722</v>
      </c>
    </row>
    <row customHeight="1" ht="11.25">
      <c r="A401" s="8634" t="s">
        <v>2182</v>
      </c>
      <c r="B401" s="8634" t="s">
        <v>14</v>
      </c>
      <c r="C401" s="8634" t="s">
        <v>3718</v>
      </c>
      <c r="D401" s="8634" t="s">
        <v>3719</v>
      </c>
      <c r="E401" s="8634" t="s">
        <v>3720</v>
      </c>
      <c r="F401" s="8634" t="s">
        <v>2705</v>
      </c>
      <c r="G401" s="8634" t="s">
        <v>3721</v>
      </c>
      <c r="H401" s="8634" t="s">
        <v>2187</v>
      </c>
      <c r="I401" s="8634" t="s">
        <v>722</v>
      </c>
    </row>
    <row customHeight="1" ht="11.25">
      <c r="A402" s="8634" t="s">
        <v>2182</v>
      </c>
      <c r="B402" s="8634" t="s">
        <v>14</v>
      </c>
      <c r="C402" s="8634" t="s">
        <v>3722</v>
      </c>
      <c r="D402" s="8634" t="s">
        <v>3723</v>
      </c>
      <c r="E402" s="8634" t="s">
        <v>3724</v>
      </c>
      <c r="F402" s="8634" t="s">
        <v>2334</v>
      </c>
      <c r="G402" s="8634" t="s">
        <v>24</v>
      </c>
      <c r="H402" s="8634" t="s">
        <v>3725</v>
      </c>
      <c r="I402" s="8634" t="s">
        <v>722</v>
      </c>
    </row>
    <row customHeight="1" ht="11.25">
      <c r="A403" s="8634" t="s">
        <v>2182</v>
      </c>
      <c r="B403" s="8634" t="s">
        <v>14</v>
      </c>
      <c r="C403" s="8634" t="s">
        <v>3726</v>
      </c>
      <c r="D403" s="8634" t="s">
        <v>3727</v>
      </c>
      <c r="E403" s="8634" t="s">
        <v>3728</v>
      </c>
      <c r="F403" s="8634" t="s">
        <v>2376</v>
      </c>
      <c r="G403" s="8634" t="s">
        <v>24</v>
      </c>
      <c r="H403" s="8634" t="s">
        <v>2187</v>
      </c>
      <c r="I403" s="8634" t="s">
        <v>722</v>
      </c>
    </row>
    <row customHeight="1" ht="11.25">
      <c r="A404" s="8634" t="s">
        <v>2182</v>
      </c>
      <c r="B404" s="8634" t="s">
        <v>14</v>
      </c>
      <c r="C404" s="8634" t="s">
        <v>3729</v>
      </c>
      <c r="D404" s="8634" t="s">
        <v>3730</v>
      </c>
      <c r="E404" s="8634" t="s">
        <v>3731</v>
      </c>
      <c r="F404" s="8634" t="s">
        <v>2460</v>
      </c>
      <c r="G404" s="8634" t="s">
        <v>3732</v>
      </c>
      <c r="H404" s="8634" t="s">
        <v>2870</v>
      </c>
      <c r="I404" s="8634" t="s">
        <v>722</v>
      </c>
    </row>
    <row customHeight="1" ht="11.25">
      <c r="A405" s="8634" t="s">
        <v>2182</v>
      </c>
      <c r="B405" s="8634" t="s">
        <v>14</v>
      </c>
      <c r="C405" s="8634" t="s">
        <v>3733</v>
      </c>
      <c r="D405" s="8634" t="s">
        <v>3734</v>
      </c>
      <c r="E405" s="8634" t="s">
        <v>3735</v>
      </c>
      <c r="F405" s="8634" t="s">
        <v>2600</v>
      </c>
      <c r="G405" s="8634" t="s">
        <v>24</v>
      </c>
      <c r="H405" s="8634" t="s">
        <v>2187</v>
      </c>
      <c r="I405" s="8634" t="s">
        <v>722</v>
      </c>
    </row>
    <row customHeight="1" ht="11.25">
      <c r="A406" s="8634" t="s">
        <v>2182</v>
      </c>
      <c r="B406" s="8634" t="s">
        <v>14</v>
      </c>
      <c r="C406" s="8634" t="s">
        <v>3736</v>
      </c>
      <c r="D406" s="8634" t="s">
        <v>3737</v>
      </c>
      <c r="E406" s="8634" t="s">
        <v>3738</v>
      </c>
      <c r="F406" s="8634" t="s">
        <v>2245</v>
      </c>
      <c r="G406" s="8634" t="s">
        <v>24</v>
      </c>
      <c r="H406" s="8634" t="s">
        <v>2187</v>
      </c>
      <c r="I406" s="8634" t="s">
        <v>722</v>
      </c>
    </row>
    <row customHeight="1" ht="11.25">
      <c r="A407" s="8634" t="s">
        <v>2182</v>
      </c>
      <c r="B407" s="8634" t="s">
        <v>14</v>
      </c>
      <c r="C407" s="8634" t="s">
        <v>3739</v>
      </c>
      <c r="D407" s="8634" t="s">
        <v>3740</v>
      </c>
      <c r="E407" s="8634" t="s">
        <v>3741</v>
      </c>
      <c r="F407" s="8634" t="s">
        <v>2322</v>
      </c>
      <c r="G407" s="8634" t="s">
        <v>24</v>
      </c>
      <c r="H407" s="8634" t="s">
        <v>2187</v>
      </c>
      <c r="I407" s="8634" t="s">
        <v>722</v>
      </c>
    </row>
    <row customHeight="1" ht="11.25">
      <c r="A408" s="8634" t="s">
        <v>2182</v>
      </c>
      <c r="B408" s="8634" t="s">
        <v>14</v>
      </c>
      <c r="C408" s="8634" t="s">
        <v>3742</v>
      </c>
      <c r="D408" s="8634" t="s">
        <v>3743</v>
      </c>
      <c r="E408" s="8634" t="s">
        <v>3744</v>
      </c>
      <c r="F408" s="8634" t="s">
        <v>2600</v>
      </c>
      <c r="G408" s="8634" t="s">
        <v>24</v>
      </c>
      <c r="H408" s="8634" t="s">
        <v>2187</v>
      </c>
      <c r="I408" s="8634" t="s">
        <v>722</v>
      </c>
    </row>
    <row customHeight="1" ht="11.25">
      <c r="A409" s="8634" t="s">
        <v>2182</v>
      </c>
      <c r="B409" s="8634" t="s">
        <v>14</v>
      </c>
      <c r="C409" s="8634" t="s">
        <v>3745</v>
      </c>
      <c r="D409" s="8634" t="s">
        <v>3746</v>
      </c>
      <c r="E409" s="8634" t="s">
        <v>3747</v>
      </c>
      <c r="F409" s="8634" t="s">
        <v>2398</v>
      </c>
      <c r="G409" s="8634" t="s">
        <v>24</v>
      </c>
      <c r="H409" s="8634" t="s">
        <v>24</v>
      </c>
      <c r="I409" s="8634" t="s">
        <v>722</v>
      </c>
    </row>
    <row customHeight="1" ht="11.25">
      <c r="A410" s="8634" t="s">
        <v>2182</v>
      </c>
      <c r="B410" s="8634" t="s">
        <v>14</v>
      </c>
      <c r="C410" s="8634" t="s">
        <v>3748</v>
      </c>
      <c r="D410" s="8634" t="s">
        <v>3749</v>
      </c>
      <c r="E410" s="8634" t="s">
        <v>3750</v>
      </c>
      <c r="F410" s="8634" t="s">
        <v>2349</v>
      </c>
      <c r="G410" s="8634" t="s">
        <v>24</v>
      </c>
      <c r="H410" s="8634" t="s">
        <v>24</v>
      </c>
      <c r="I410" s="8634" t="s">
        <v>722</v>
      </c>
    </row>
    <row customHeight="1" ht="11.25">
      <c r="A411" s="8634" t="s">
        <v>2182</v>
      </c>
      <c r="B411" s="8634" t="s">
        <v>14</v>
      </c>
      <c r="C411" s="8634" t="s">
        <v>3751</v>
      </c>
      <c r="D411" s="8634" t="s">
        <v>3752</v>
      </c>
      <c r="E411" s="8634" t="s">
        <v>3753</v>
      </c>
      <c r="F411" s="8634" t="s">
        <v>2721</v>
      </c>
      <c r="G411" s="8634" t="s">
        <v>24</v>
      </c>
      <c r="H411" s="8634" t="s">
        <v>2187</v>
      </c>
      <c r="I411" s="8634" t="s">
        <v>722</v>
      </c>
    </row>
    <row customHeight="1" ht="11.25">
      <c r="A412" s="8634" t="s">
        <v>2182</v>
      </c>
      <c r="B412" s="8634" t="s">
        <v>14</v>
      </c>
      <c r="C412" s="8634" t="s">
        <v>3754</v>
      </c>
      <c r="D412" s="8634" t="s">
        <v>3755</v>
      </c>
      <c r="E412" s="8634" t="s">
        <v>3756</v>
      </c>
      <c r="F412" s="8634" t="s">
        <v>3757</v>
      </c>
      <c r="G412" s="8634" t="s">
        <v>3758</v>
      </c>
      <c r="H412" s="8634" t="s">
        <v>2400</v>
      </c>
      <c r="I412" s="8634" t="s">
        <v>722</v>
      </c>
    </row>
    <row customHeight="1" ht="11.25">
      <c r="A413" s="8634" t="s">
        <v>2182</v>
      </c>
      <c r="B413" s="8634" t="s">
        <v>14</v>
      </c>
      <c r="C413" s="8634" t="s">
        <v>3759</v>
      </c>
      <c r="D413" s="8634" t="s">
        <v>3760</v>
      </c>
      <c r="E413" s="8634" t="s">
        <v>3761</v>
      </c>
      <c r="F413" s="8634" t="s">
        <v>2334</v>
      </c>
      <c r="G413" s="8634" t="s">
        <v>24</v>
      </c>
      <c r="H413" s="8634" t="s">
        <v>2187</v>
      </c>
      <c r="I413" s="8634" t="s">
        <v>722</v>
      </c>
    </row>
    <row customHeight="1" ht="11.25">
      <c r="A414" s="8634" t="s">
        <v>2182</v>
      </c>
      <c r="B414" s="8634" t="s">
        <v>14</v>
      </c>
      <c r="C414" s="8634" t="s">
        <v>3762</v>
      </c>
      <c r="D414" s="8634" t="s">
        <v>3763</v>
      </c>
      <c r="E414" s="8634" t="s">
        <v>3764</v>
      </c>
      <c r="F414" s="8634" t="s">
        <v>3765</v>
      </c>
      <c r="G414" s="8634" t="s">
        <v>24</v>
      </c>
      <c r="H414" s="8634" t="s">
        <v>24</v>
      </c>
      <c r="I414" s="8634" t="s">
        <v>722</v>
      </c>
    </row>
    <row customHeight="1" ht="11.25">
      <c r="A415" s="8634" t="s">
        <v>2182</v>
      </c>
      <c r="B415" s="8634" t="s">
        <v>14</v>
      </c>
      <c r="C415" s="8634" t="s">
        <v>3766</v>
      </c>
      <c r="D415" s="8634" t="s">
        <v>3767</v>
      </c>
      <c r="E415" s="8634" t="s">
        <v>3768</v>
      </c>
      <c r="F415" s="8634" t="s">
        <v>2567</v>
      </c>
      <c r="G415" s="8634" t="s">
        <v>3769</v>
      </c>
      <c r="H415" s="8634" t="s">
        <v>2870</v>
      </c>
      <c r="I415" s="8634" t="s">
        <v>722</v>
      </c>
    </row>
    <row customHeight="1" ht="11.25">
      <c r="A416" s="8634" t="s">
        <v>2182</v>
      </c>
      <c r="B416" s="8634" t="s">
        <v>14</v>
      </c>
      <c r="C416" s="8634" t="s">
        <v>3770</v>
      </c>
      <c r="D416" s="8634" t="s">
        <v>3771</v>
      </c>
      <c r="E416" s="8634" t="s">
        <v>3772</v>
      </c>
      <c r="F416" s="8634" t="s">
        <v>2567</v>
      </c>
      <c r="G416" s="8634" t="s">
        <v>24</v>
      </c>
      <c r="H416" s="8634" t="s">
        <v>2993</v>
      </c>
      <c r="I416" s="8634" t="s">
        <v>722</v>
      </c>
    </row>
    <row customHeight="1" ht="11.25">
      <c r="A417" s="8634" t="s">
        <v>2182</v>
      </c>
      <c r="B417" s="8634" t="s">
        <v>14</v>
      </c>
      <c r="C417" s="8634" t="s">
        <v>3773</v>
      </c>
      <c r="D417" s="8634" t="s">
        <v>3774</v>
      </c>
      <c r="E417" s="8634" t="s">
        <v>3775</v>
      </c>
      <c r="F417" s="8634" t="s">
        <v>3776</v>
      </c>
      <c r="G417" s="8634" t="s">
        <v>24</v>
      </c>
      <c r="H417" s="8634" t="s">
        <v>24</v>
      </c>
      <c r="I417" s="8634" t="s">
        <v>722</v>
      </c>
    </row>
    <row customHeight="1" ht="11.25">
      <c r="A418" s="8634" t="s">
        <v>2182</v>
      </c>
      <c r="B418" s="8634" t="s">
        <v>14</v>
      </c>
      <c r="C418" s="8634" t="s">
        <v>3777</v>
      </c>
      <c r="D418" s="8634" t="s">
        <v>3778</v>
      </c>
      <c r="E418" s="8634" t="s">
        <v>3779</v>
      </c>
      <c r="F418" s="8634" t="s">
        <v>2322</v>
      </c>
      <c r="G418" s="8634" t="s">
        <v>24</v>
      </c>
      <c r="H418" s="8634" t="s">
        <v>24</v>
      </c>
      <c r="I418" s="8634" t="s">
        <v>722</v>
      </c>
    </row>
    <row customHeight="1" ht="11.25">
      <c r="A419" s="8634" t="s">
        <v>2182</v>
      </c>
      <c r="B419" s="8634" t="s">
        <v>14</v>
      </c>
      <c r="C419" s="8634" t="s">
        <v>3780</v>
      </c>
      <c r="D419" s="8634" t="s">
        <v>3781</v>
      </c>
      <c r="E419" s="8634" t="s">
        <v>3782</v>
      </c>
      <c r="F419" s="8634" t="s">
        <v>2322</v>
      </c>
      <c r="G419" s="8634" t="s">
        <v>3783</v>
      </c>
      <c r="H419" s="8634" t="s">
        <v>24</v>
      </c>
      <c r="I419" s="8634" t="s">
        <v>722</v>
      </c>
    </row>
    <row customHeight="1" ht="11.25">
      <c r="A420" s="8634" t="s">
        <v>2182</v>
      </c>
      <c r="B420" s="8634" t="s">
        <v>14</v>
      </c>
      <c r="C420" s="8634" t="s">
        <v>3784</v>
      </c>
      <c r="D420" s="8634" t="s">
        <v>3785</v>
      </c>
      <c r="E420" s="8634" t="s">
        <v>3786</v>
      </c>
      <c r="F420" s="8634" t="s">
        <v>2334</v>
      </c>
      <c r="G420" s="8634" t="s">
        <v>24</v>
      </c>
      <c r="H420" s="8634" t="s">
        <v>2187</v>
      </c>
      <c r="I420" s="8634" t="s">
        <v>722</v>
      </c>
    </row>
    <row customHeight="1" ht="11.25">
      <c r="A421" s="8634" t="s">
        <v>2182</v>
      </c>
      <c r="B421" s="8634" t="s">
        <v>14</v>
      </c>
      <c r="C421" s="8634" t="s">
        <v>3787</v>
      </c>
      <c r="D421" s="8634" t="s">
        <v>3788</v>
      </c>
      <c r="E421" s="8634" t="s">
        <v>2987</v>
      </c>
      <c r="F421" s="8634" t="s">
        <v>3235</v>
      </c>
      <c r="G421" s="8634" t="s">
        <v>24</v>
      </c>
      <c r="H421" s="8634" t="s">
        <v>24</v>
      </c>
      <c r="I421" s="8634" t="s">
        <v>722</v>
      </c>
    </row>
    <row customHeight="1" ht="11.25">
      <c r="A422" s="8634" t="s">
        <v>2182</v>
      </c>
      <c r="B422" s="8634" t="s">
        <v>14</v>
      </c>
      <c r="C422" s="8634" t="s">
        <v>3789</v>
      </c>
      <c r="D422" s="8634" t="s">
        <v>3790</v>
      </c>
      <c r="E422" s="8634" t="s">
        <v>3791</v>
      </c>
      <c r="F422" s="8634" t="s">
        <v>3792</v>
      </c>
      <c r="G422" s="8634" t="s">
        <v>24</v>
      </c>
      <c r="H422" s="8634" t="s">
        <v>24</v>
      </c>
      <c r="I422" s="8634" t="s">
        <v>722</v>
      </c>
    </row>
    <row customHeight="1" ht="11.25">
      <c r="A423" s="8634" t="s">
        <v>2182</v>
      </c>
      <c r="B423" s="8634" t="s">
        <v>14</v>
      </c>
      <c r="C423" s="8634" t="s">
        <v>3793</v>
      </c>
      <c r="D423" s="8634" t="s">
        <v>3794</v>
      </c>
      <c r="E423" s="8634" t="s">
        <v>3795</v>
      </c>
      <c r="F423" s="8634" t="s">
        <v>2948</v>
      </c>
      <c r="G423" s="8634" t="s">
        <v>24</v>
      </c>
      <c r="H423" s="8634" t="s">
        <v>2187</v>
      </c>
      <c r="I423" s="8634" t="s">
        <v>722</v>
      </c>
    </row>
    <row customHeight="1" ht="11.25">
      <c r="A424" s="8634" t="s">
        <v>2182</v>
      </c>
      <c r="B424" s="8634" t="s">
        <v>14</v>
      </c>
      <c r="C424" s="8634" t="s">
        <v>3796</v>
      </c>
      <c r="D424" s="8634" t="s">
        <v>3797</v>
      </c>
      <c r="E424" s="8634" t="s">
        <v>3039</v>
      </c>
      <c r="F424" s="8634" t="s">
        <v>3798</v>
      </c>
      <c r="G424" s="8634" t="s">
        <v>24</v>
      </c>
      <c r="H424" s="8634" t="s">
        <v>24</v>
      </c>
      <c r="I424" s="8634" t="s">
        <v>722</v>
      </c>
    </row>
    <row customHeight="1" ht="11.25">
      <c r="A425" s="8634" t="s">
        <v>2182</v>
      </c>
      <c r="B425" s="8634" t="s">
        <v>14</v>
      </c>
      <c r="C425" s="8634" t="s">
        <v>3799</v>
      </c>
      <c r="D425" s="8634" t="s">
        <v>3800</v>
      </c>
      <c r="E425" s="8634" t="s">
        <v>3039</v>
      </c>
      <c r="F425" s="8634" t="s">
        <v>3801</v>
      </c>
      <c r="G425" s="8634" t="s">
        <v>3473</v>
      </c>
      <c r="H425" s="8634" t="s">
        <v>24</v>
      </c>
      <c r="I425" s="8634" t="s">
        <v>722</v>
      </c>
    </row>
    <row customHeight="1" ht="11.25">
      <c r="A426" s="8634" t="s">
        <v>2182</v>
      </c>
      <c r="B426" s="8634" t="s">
        <v>14</v>
      </c>
      <c r="C426" s="8634" t="s">
        <v>3802</v>
      </c>
      <c r="D426" s="8634" t="s">
        <v>3803</v>
      </c>
      <c r="E426" s="8634" t="s">
        <v>3804</v>
      </c>
      <c r="F426" s="8634" t="s">
        <v>2186</v>
      </c>
      <c r="G426" s="8634" t="s">
        <v>24</v>
      </c>
      <c r="H426" s="8634" t="s">
        <v>2187</v>
      </c>
      <c r="I426" s="8634" t="s">
        <v>722</v>
      </c>
    </row>
    <row customHeight="1" ht="11.25">
      <c r="A427" s="8634" t="s">
        <v>2182</v>
      </c>
      <c r="B427" s="8634" t="s">
        <v>14</v>
      </c>
      <c r="C427" s="8634" t="s">
        <v>3805</v>
      </c>
      <c r="D427" s="8634" t="s">
        <v>3806</v>
      </c>
      <c r="E427" s="8634" t="s">
        <v>3807</v>
      </c>
      <c r="F427" s="8634" t="s">
        <v>3808</v>
      </c>
      <c r="G427" s="8634" t="s">
        <v>3809</v>
      </c>
      <c r="H427" s="8634" t="s">
        <v>3810</v>
      </c>
      <c r="I427" s="8634" t="s">
        <v>722</v>
      </c>
    </row>
    <row customHeight="1" ht="11.25">
      <c r="A428" s="8634" t="s">
        <v>2182</v>
      </c>
      <c r="B428" s="8634" t="s">
        <v>14</v>
      </c>
      <c r="C428" s="8634" t="s">
        <v>3811</v>
      </c>
      <c r="D428" s="8634" t="s">
        <v>3812</v>
      </c>
      <c r="E428" s="8634" t="s">
        <v>3813</v>
      </c>
      <c r="F428" s="8634" t="s">
        <v>3814</v>
      </c>
      <c r="G428" s="8634" t="s">
        <v>24</v>
      </c>
      <c r="H428" s="8634" t="s">
        <v>24</v>
      </c>
      <c r="I428" s="8634" t="s">
        <v>722</v>
      </c>
    </row>
    <row customHeight="1" ht="11.25">
      <c r="A429" s="8634" t="s">
        <v>2182</v>
      </c>
      <c r="B429" s="8634" t="s">
        <v>14</v>
      </c>
      <c r="C429" s="8634" t="s">
        <v>3815</v>
      </c>
      <c r="D429" s="8634" t="s">
        <v>3816</v>
      </c>
      <c r="E429" s="8634" t="s">
        <v>3817</v>
      </c>
      <c r="F429" s="8634" t="s">
        <v>2549</v>
      </c>
      <c r="G429" s="8634" t="s">
        <v>3818</v>
      </c>
      <c r="H429" s="8634" t="s">
        <v>24</v>
      </c>
      <c r="I429" s="8634" t="s">
        <v>722</v>
      </c>
    </row>
    <row customHeight="1" ht="11.25">
      <c r="A430" s="8634" t="s">
        <v>2182</v>
      </c>
      <c r="B430" s="8634" t="s">
        <v>14</v>
      </c>
      <c r="C430" s="8634" t="s">
        <v>3819</v>
      </c>
      <c r="D430" s="8634" t="s">
        <v>3820</v>
      </c>
      <c r="E430" s="8634" t="s">
        <v>3821</v>
      </c>
      <c r="F430" s="8634" t="s">
        <v>2398</v>
      </c>
      <c r="G430" s="8634" t="s">
        <v>24</v>
      </c>
      <c r="H430" s="8634" t="s">
        <v>2187</v>
      </c>
      <c r="I430" s="8634" t="s">
        <v>722</v>
      </c>
    </row>
    <row customHeight="1" ht="11.25">
      <c r="A431" s="8634" t="s">
        <v>2182</v>
      </c>
      <c r="B431" s="8634" t="s">
        <v>14</v>
      </c>
      <c r="C431" s="8634" t="s">
        <v>3822</v>
      </c>
      <c r="D431" s="8634" t="s">
        <v>3823</v>
      </c>
      <c r="E431" s="8634" t="s">
        <v>3824</v>
      </c>
      <c r="F431" s="8634" t="s">
        <v>2186</v>
      </c>
      <c r="G431" s="8634" t="s">
        <v>2663</v>
      </c>
      <c r="H431" s="8634" t="s">
        <v>24</v>
      </c>
      <c r="I431" s="8634" t="s">
        <v>722</v>
      </c>
    </row>
    <row customHeight="1" ht="11.25">
      <c r="A432" s="8634" t="s">
        <v>2182</v>
      </c>
      <c r="B432" s="8634" t="s">
        <v>14</v>
      </c>
      <c r="C432" s="8634" t="s">
        <v>3825</v>
      </c>
      <c r="D432" s="8634" t="s">
        <v>3826</v>
      </c>
      <c r="E432" s="8634" t="s">
        <v>3827</v>
      </c>
      <c r="F432" s="8634" t="s">
        <v>2756</v>
      </c>
      <c r="G432" s="8634" t="s">
        <v>24</v>
      </c>
      <c r="H432" s="8634" t="s">
        <v>24</v>
      </c>
      <c r="I432" s="8634" t="s">
        <v>722</v>
      </c>
    </row>
    <row customHeight="1" ht="11.25">
      <c r="A433" s="8634" t="s">
        <v>2182</v>
      </c>
      <c r="B433" s="8634" t="s">
        <v>14</v>
      </c>
      <c r="C433" s="8634" t="s">
        <v>3828</v>
      </c>
      <c r="D433" s="8634" t="s">
        <v>3829</v>
      </c>
      <c r="E433" s="8634" t="s">
        <v>3830</v>
      </c>
      <c r="F433" s="8634" t="s">
        <v>2218</v>
      </c>
      <c r="G433" s="8634" t="s">
        <v>24</v>
      </c>
      <c r="H433" s="8634" t="s">
        <v>2187</v>
      </c>
      <c r="I433" s="8634" t="s">
        <v>722</v>
      </c>
    </row>
    <row customHeight="1" ht="11.25">
      <c r="A434" s="8634" t="s">
        <v>2182</v>
      </c>
      <c r="B434" s="8634" t="s">
        <v>14</v>
      </c>
      <c r="C434" s="8634" t="s">
        <v>3831</v>
      </c>
      <c r="D434" s="8634" t="s">
        <v>3832</v>
      </c>
      <c r="E434" s="8634" t="s">
        <v>3833</v>
      </c>
      <c r="F434" s="8634" t="s">
        <v>2705</v>
      </c>
      <c r="G434" s="8634" t="s">
        <v>24</v>
      </c>
      <c r="H434" s="8634" t="s">
        <v>2187</v>
      </c>
      <c r="I434" s="8634" t="s">
        <v>722</v>
      </c>
    </row>
    <row customHeight="1" ht="11.25">
      <c r="A435" s="8634" t="s">
        <v>2182</v>
      </c>
      <c r="B435" s="8634" t="s">
        <v>14</v>
      </c>
      <c r="C435" s="8634" t="s">
        <v>3834</v>
      </c>
      <c r="D435" s="8634" t="s">
        <v>3835</v>
      </c>
      <c r="E435" s="8634" t="s">
        <v>3836</v>
      </c>
      <c r="F435" s="8634" t="s">
        <v>2233</v>
      </c>
      <c r="G435" s="8634" t="s">
        <v>24</v>
      </c>
      <c r="H435" s="8634" t="s">
        <v>24</v>
      </c>
      <c r="I435" s="8634" t="s">
        <v>722</v>
      </c>
    </row>
    <row customHeight="1" ht="11.25">
      <c r="A436" s="8634" t="s">
        <v>2182</v>
      </c>
      <c r="B436" s="8634" t="s">
        <v>14</v>
      </c>
      <c r="C436" s="8634" t="s">
        <v>3837</v>
      </c>
      <c r="D436" s="8634" t="s">
        <v>3838</v>
      </c>
      <c r="E436" s="8634" t="s">
        <v>3839</v>
      </c>
      <c r="F436" s="8634" t="s">
        <v>2376</v>
      </c>
      <c r="G436" s="8634" t="s">
        <v>24</v>
      </c>
      <c r="H436" s="8634" t="s">
        <v>24</v>
      </c>
      <c r="I436" s="8634" t="s">
        <v>722</v>
      </c>
    </row>
    <row customHeight="1" ht="11.25">
      <c r="A437" s="8634" t="s">
        <v>2182</v>
      </c>
      <c r="B437" s="8634" t="s">
        <v>14</v>
      </c>
      <c r="C437" s="8634" t="s">
        <v>3840</v>
      </c>
      <c r="D437" s="8634" t="s">
        <v>3841</v>
      </c>
      <c r="E437" s="8634" t="s">
        <v>3842</v>
      </c>
      <c r="F437" s="8634" t="s">
        <v>2376</v>
      </c>
      <c r="G437" s="8634" t="s">
        <v>24</v>
      </c>
      <c r="H437" s="8634" t="s">
        <v>24</v>
      </c>
      <c r="I437" s="8634" t="s">
        <v>722</v>
      </c>
    </row>
    <row customHeight="1" ht="11.25">
      <c r="A438" s="8634" t="s">
        <v>2182</v>
      </c>
      <c r="B438" s="8634" t="s">
        <v>14</v>
      </c>
      <c r="C438" s="8634" t="s">
        <v>3843</v>
      </c>
      <c r="D438" s="8634" t="s">
        <v>3844</v>
      </c>
      <c r="E438" s="8634" t="s">
        <v>3845</v>
      </c>
      <c r="F438" s="8634" t="s">
        <v>2438</v>
      </c>
      <c r="G438" s="8634" t="s">
        <v>24</v>
      </c>
      <c r="H438" s="8634" t="s">
        <v>2187</v>
      </c>
      <c r="I438" s="8634" t="s">
        <v>722</v>
      </c>
    </row>
    <row customHeight="1" ht="11.25">
      <c r="A439" s="8634" t="s">
        <v>2182</v>
      </c>
      <c r="B439" s="8634" t="s">
        <v>14</v>
      </c>
      <c r="C439" s="8634" t="s">
        <v>3846</v>
      </c>
      <c r="D439" s="8634" t="s">
        <v>3847</v>
      </c>
      <c r="E439" s="8634" t="s">
        <v>3848</v>
      </c>
      <c r="F439" s="8634" t="s">
        <v>2398</v>
      </c>
      <c r="G439" s="8634" t="s">
        <v>24</v>
      </c>
      <c r="H439" s="8634" t="s">
        <v>2993</v>
      </c>
      <c r="I439" s="8634" t="s">
        <v>722</v>
      </c>
    </row>
    <row customHeight="1" ht="11.25">
      <c r="A440" s="8634" t="s">
        <v>2182</v>
      </c>
      <c r="B440" s="8634" t="s">
        <v>14</v>
      </c>
      <c r="C440" s="8634" t="s">
        <v>3849</v>
      </c>
      <c r="D440" s="8634" t="s">
        <v>3850</v>
      </c>
      <c r="E440" s="8634" t="s">
        <v>3851</v>
      </c>
      <c r="F440" s="8634" t="s">
        <v>2344</v>
      </c>
      <c r="G440" s="8634" t="s">
        <v>24</v>
      </c>
      <c r="H440" s="8634" t="s">
        <v>3852</v>
      </c>
      <c r="I440" s="8634" t="s">
        <v>722</v>
      </c>
    </row>
    <row customHeight="1" ht="11.25">
      <c r="A441" s="8634" t="s">
        <v>2182</v>
      </c>
      <c r="B441" s="8634" t="s">
        <v>14</v>
      </c>
      <c r="C441" s="8634" t="s">
        <v>3853</v>
      </c>
      <c r="D441" s="8634" t="s">
        <v>3854</v>
      </c>
      <c r="E441" s="8634" t="s">
        <v>3855</v>
      </c>
      <c r="F441" s="8634" t="s">
        <v>2354</v>
      </c>
      <c r="G441" s="8634" t="s">
        <v>24</v>
      </c>
      <c r="H441" s="8634" t="s">
        <v>3856</v>
      </c>
      <c r="I441" s="8634" t="s">
        <v>722</v>
      </c>
    </row>
    <row customHeight="1" ht="11.25">
      <c r="A442" s="8634" t="s">
        <v>2182</v>
      </c>
      <c r="B442" s="8634" t="s">
        <v>14</v>
      </c>
      <c r="C442" s="8634" t="s">
        <v>3857</v>
      </c>
      <c r="D442" s="8634" t="s">
        <v>3858</v>
      </c>
      <c r="E442" s="8634" t="s">
        <v>3859</v>
      </c>
      <c r="F442" s="8634" t="s">
        <v>2218</v>
      </c>
      <c r="G442" s="8634" t="s">
        <v>24</v>
      </c>
      <c r="H442" s="8634" t="s">
        <v>2187</v>
      </c>
      <c r="I442" s="8634" t="s">
        <v>722</v>
      </c>
    </row>
    <row customHeight="1" ht="11.25">
      <c r="A443" s="8634" t="s">
        <v>2182</v>
      </c>
      <c r="B443" s="8634" t="s">
        <v>14</v>
      </c>
      <c r="C443" s="8634" t="s">
        <v>3860</v>
      </c>
      <c r="D443" s="8634" t="s">
        <v>3861</v>
      </c>
      <c r="E443" s="8634" t="s">
        <v>3862</v>
      </c>
      <c r="F443" s="8634" t="s">
        <v>2411</v>
      </c>
      <c r="G443" s="8634" t="s">
        <v>24</v>
      </c>
      <c r="H443" s="8634" t="s">
        <v>2187</v>
      </c>
      <c r="I443" s="8634" t="s">
        <v>722</v>
      </c>
    </row>
    <row customHeight="1" ht="11.25">
      <c r="A444" s="8634" t="s">
        <v>2182</v>
      </c>
      <c r="B444" s="8634" t="s">
        <v>14</v>
      </c>
      <c r="C444" s="8634" t="s">
        <v>3863</v>
      </c>
      <c r="D444" s="8634" t="s">
        <v>3864</v>
      </c>
      <c r="E444" s="8634" t="s">
        <v>3865</v>
      </c>
      <c r="F444" s="8634" t="s">
        <v>2492</v>
      </c>
      <c r="G444" s="8634" t="s">
        <v>24</v>
      </c>
      <c r="H444" s="8634" t="s">
        <v>24</v>
      </c>
      <c r="I444" s="8634" t="s">
        <v>722</v>
      </c>
    </row>
    <row customHeight="1" ht="11.25">
      <c r="A445" s="8634" t="s">
        <v>2182</v>
      </c>
      <c r="B445" s="8634" t="s">
        <v>14</v>
      </c>
      <c r="C445" s="8634" t="s">
        <v>3866</v>
      </c>
      <c r="D445" s="8634" t="s">
        <v>3867</v>
      </c>
      <c r="E445" s="8634" t="s">
        <v>3868</v>
      </c>
      <c r="F445" s="8634" t="s">
        <v>2398</v>
      </c>
      <c r="G445" s="8634" t="s">
        <v>24</v>
      </c>
      <c r="H445" s="8634" t="s">
        <v>2187</v>
      </c>
      <c r="I445" s="8634" t="s">
        <v>722</v>
      </c>
    </row>
    <row customHeight="1" ht="11.25">
      <c r="A446" s="8634" t="s">
        <v>2182</v>
      </c>
      <c r="B446" s="8634" t="s">
        <v>14</v>
      </c>
      <c r="C446" s="8634" t="s">
        <v>3869</v>
      </c>
      <c r="D446" s="8634" t="s">
        <v>3870</v>
      </c>
      <c r="E446" s="8634" t="s">
        <v>3871</v>
      </c>
      <c r="F446" s="8634" t="s">
        <v>2284</v>
      </c>
      <c r="G446" s="8634" t="s">
        <v>24</v>
      </c>
      <c r="H446" s="8634" t="s">
        <v>24</v>
      </c>
      <c r="I446" s="8634" t="s">
        <v>722</v>
      </c>
    </row>
    <row customHeight="1" ht="11.25">
      <c r="A447" s="8634" t="s">
        <v>2182</v>
      </c>
      <c r="B447" s="8634" t="s">
        <v>14</v>
      </c>
      <c r="C447" s="8634" t="s">
        <v>3872</v>
      </c>
      <c r="D447" s="8634" t="s">
        <v>3873</v>
      </c>
      <c r="E447" s="8634" t="s">
        <v>3874</v>
      </c>
      <c r="F447" s="8634" t="s">
        <v>2213</v>
      </c>
      <c r="G447" s="8634" t="s">
        <v>3875</v>
      </c>
      <c r="H447" s="8634" t="s">
        <v>24</v>
      </c>
      <c r="I447" s="8634" t="s">
        <v>722</v>
      </c>
    </row>
    <row customHeight="1" ht="11.25">
      <c r="A448" s="8634" t="s">
        <v>2182</v>
      </c>
      <c r="B448" s="8634" t="s">
        <v>14</v>
      </c>
      <c r="C448" s="8634" t="s">
        <v>3876</v>
      </c>
      <c r="D448" s="8634" t="s">
        <v>3877</v>
      </c>
      <c r="E448" s="8634" t="s">
        <v>3878</v>
      </c>
      <c r="F448" s="8634" t="s">
        <v>2322</v>
      </c>
      <c r="G448" s="8634" t="s">
        <v>24</v>
      </c>
      <c r="H448" s="8634" t="s">
        <v>2400</v>
      </c>
      <c r="I448" s="8634" t="s">
        <v>722</v>
      </c>
    </row>
    <row customHeight="1" ht="11.25">
      <c r="A449" s="8634" t="s">
        <v>2182</v>
      </c>
      <c r="B449" s="8634" t="s">
        <v>14</v>
      </c>
      <c r="C449" s="8634" t="s">
        <v>3879</v>
      </c>
      <c r="D449" s="8634" t="s">
        <v>3880</v>
      </c>
      <c r="E449" s="8634" t="s">
        <v>3881</v>
      </c>
      <c r="F449" s="8634" t="s">
        <v>2563</v>
      </c>
      <c r="G449" s="8634" t="s">
        <v>24</v>
      </c>
      <c r="H449" s="8634" t="s">
        <v>2993</v>
      </c>
      <c r="I449" s="8634" t="s">
        <v>722</v>
      </c>
    </row>
    <row customHeight="1" ht="11.25">
      <c r="A450" s="8634" t="s">
        <v>2182</v>
      </c>
      <c r="B450" s="8634" t="s">
        <v>14</v>
      </c>
      <c r="C450" s="8634" t="s">
        <v>3882</v>
      </c>
      <c r="D450" s="8634" t="s">
        <v>3883</v>
      </c>
      <c r="E450" s="8634" t="s">
        <v>3884</v>
      </c>
      <c r="F450" s="8634" t="s">
        <v>2300</v>
      </c>
      <c r="G450" s="8634" t="s">
        <v>24</v>
      </c>
      <c r="H450" s="8634" t="s">
        <v>2187</v>
      </c>
      <c r="I450" s="8634" t="s">
        <v>722</v>
      </c>
    </row>
    <row customHeight="1" ht="11.25">
      <c r="A451" s="8634" t="s">
        <v>2182</v>
      </c>
      <c r="B451" s="8634" t="s">
        <v>14</v>
      </c>
      <c r="C451" s="8634" t="s">
        <v>3885</v>
      </c>
      <c r="D451" s="8634" t="s">
        <v>3886</v>
      </c>
      <c r="E451" s="8634" t="s">
        <v>3887</v>
      </c>
      <c r="F451" s="8634" t="s">
        <v>2398</v>
      </c>
      <c r="G451" s="8634" t="s">
        <v>24</v>
      </c>
      <c r="H451" s="8634" t="s">
        <v>2187</v>
      </c>
      <c r="I451" s="8634" t="s">
        <v>722</v>
      </c>
    </row>
    <row customHeight="1" ht="11.25">
      <c r="A452" s="8634" t="s">
        <v>2182</v>
      </c>
      <c r="B452" s="8634" t="s">
        <v>14</v>
      </c>
      <c r="C452" s="8634" t="s">
        <v>3888</v>
      </c>
      <c r="D452" s="8634" t="s">
        <v>3889</v>
      </c>
      <c r="E452" s="8634" t="s">
        <v>3890</v>
      </c>
      <c r="F452" s="8634" t="s">
        <v>3235</v>
      </c>
      <c r="G452" s="8634" t="s">
        <v>24</v>
      </c>
      <c r="H452" s="8634" t="s">
        <v>24</v>
      </c>
      <c r="I452" s="8634" t="s">
        <v>722</v>
      </c>
    </row>
    <row customHeight="1" ht="11.25">
      <c r="A453" s="8634" t="s">
        <v>2182</v>
      </c>
      <c r="B453" s="8634" t="s">
        <v>14</v>
      </c>
      <c r="C453" s="8634" t="s">
        <v>3891</v>
      </c>
      <c r="D453" s="8634" t="s">
        <v>3892</v>
      </c>
      <c r="E453" s="8634" t="s">
        <v>3893</v>
      </c>
      <c r="F453" s="8634" t="s">
        <v>3894</v>
      </c>
      <c r="G453" s="8634" t="s">
        <v>24</v>
      </c>
      <c r="H453" s="8634" t="s">
        <v>24</v>
      </c>
      <c r="I453" s="8634" t="s">
        <v>722</v>
      </c>
    </row>
    <row customHeight="1" ht="11.25">
      <c r="A454" s="8634" t="s">
        <v>2182</v>
      </c>
      <c r="B454" s="8634" t="s">
        <v>14</v>
      </c>
      <c r="C454" s="8634" t="s">
        <v>3895</v>
      </c>
      <c r="D454" s="8634" t="s">
        <v>3896</v>
      </c>
      <c r="E454" s="8634" t="s">
        <v>3897</v>
      </c>
      <c r="F454" s="8634" t="s">
        <v>2721</v>
      </c>
      <c r="G454" s="8634" t="s">
        <v>24</v>
      </c>
      <c r="H454" s="8634" t="s">
        <v>2993</v>
      </c>
      <c r="I454" s="8634" t="s">
        <v>722</v>
      </c>
    </row>
    <row customHeight="1" ht="11.25">
      <c r="A455" s="8634" t="s">
        <v>2182</v>
      </c>
      <c r="B455" s="8634" t="s">
        <v>14</v>
      </c>
      <c r="C455" s="8634" t="s">
        <v>3898</v>
      </c>
      <c r="D455" s="8634" t="s">
        <v>3899</v>
      </c>
      <c r="E455" s="8634" t="s">
        <v>3900</v>
      </c>
      <c r="F455" s="8634" t="s">
        <v>2705</v>
      </c>
      <c r="G455" s="8634" t="s">
        <v>24</v>
      </c>
      <c r="H455" s="8634" t="s">
        <v>24</v>
      </c>
      <c r="I455" s="8634" t="s">
        <v>722</v>
      </c>
    </row>
    <row customHeight="1" ht="11.25">
      <c r="A456" s="8634" t="s">
        <v>2182</v>
      </c>
      <c r="B456" s="8634" t="s">
        <v>14</v>
      </c>
      <c r="C456" s="8634" t="s">
        <v>3901</v>
      </c>
      <c r="D456" s="8634" t="s">
        <v>3902</v>
      </c>
      <c r="E456" s="8634" t="s">
        <v>3903</v>
      </c>
      <c r="F456" s="8634" t="s">
        <v>2349</v>
      </c>
      <c r="G456" s="8634" t="s">
        <v>24</v>
      </c>
      <c r="H456" s="8634" t="s">
        <v>2187</v>
      </c>
      <c r="I456" s="8634" t="s">
        <v>722</v>
      </c>
    </row>
    <row customHeight="1" ht="11.25">
      <c r="A457" s="8634" t="s">
        <v>2182</v>
      </c>
      <c r="B457" s="8634" t="s">
        <v>14</v>
      </c>
      <c r="C457" s="8634" t="s">
        <v>3904</v>
      </c>
      <c r="D457" s="8634" t="s">
        <v>3905</v>
      </c>
      <c r="E457" s="8634" t="s">
        <v>3906</v>
      </c>
      <c r="F457" s="8634" t="s">
        <v>2213</v>
      </c>
      <c r="G457" s="8634" t="s">
        <v>24</v>
      </c>
      <c r="H457" s="8634" t="s">
        <v>2187</v>
      </c>
      <c r="I457" s="8634" t="s">
        <v>722</v>
      </c>
    </row>
    <row customHeight="1" ht="11.25">
      <c r="A458" s="8634" t="s">
        <v>2182</v>
      </c>
      <c r="B458" s="8634" t="s">
        <v>14</v>
      </c>
      <c r="C458" s="8634" t="s">
        <v>3907</v>
      </c>
      <c r="D458" s="8634" t="s">
        <v>3908</v>
      </c>
      <c r="E458" s="8634" t="s">
        <v>3909</v>
      </c>
      <c r="F458" s="8634" t="s">
        <v>2626</v>
      </c>
      <c r="G458" s="8634" t="s">
        <v>24</v>
      </c>
      <c r="H458" s="8634" t="s">
        <v>2400</v>
      </c>
      <c r="I458" s="8634" t="s">
        <v>722</v>
      </c>
    </row>
    <row customHeight="1" ht="11.25">
      <c r="A459" s="8634" t="s">
        <v>2182</v>
      </c>
      <c r="B459" s="8634" t="s">
        <v>14</v>
      </c>
      <c r="C459" s="8634" t="s">
        <v>3910</v>
      </c>
      <c r="D459" s="8634" t="s">
        <v>3911</v>
      </c>
      <c r="E459" s="8634" t="s">
        <v>3912</v>
      </c>
      <c r="F459" s="8634" t="s">
        <v>2363</v>
      </c>
      <c r="G459" s="8634" t="s">
        <v>24</v>
      </c>
      <c r="H459" s="8634" t="s">
        <v>2993</v>
      </c>
      <c r="I459" s="8634" t="s">
        <v>722</v>
      </c>
    </row>
    <row customHeight="1" ht="11.25">
      <c r="A460" s="8634" t="s">
        <v>2182</v>
      </c>
      <c r="B460" s="8634" t="s">
        <v>14</v>
      </c>
      <c r="C460" s="8634" t="s">
        <v>3913</v>
      </c>
      <c r="D460" s="8634" t="s">
        <v>3914</v>
      </c>
      <c r="E460" s="8634" t="s">
        <v>3915</v>
      </c>
      <c r="F460" s="8634" t="s">
        <v>2218</v>
      </c>
      <c r="G460" s="8634" t="s">
        <v>24</v>
      </c>
      <c r="H460" s="8634" t="s">
        <v>3916</v>
      </c>
      <c r="I460" s="8634" t="s">
        <v>722</v>
      </c>
    </row>
    <row customHeight="1" ht="11.25">
      <c r="A461" s="8634" t="s">
        <v>2182</v>
      </c>
      <c r="B461" s="8634" t="s">
        <v>14</v>
      </c>
      <c r="C461" s="8634" t="s">
        <v>3917</v>
      </c>
      <c r="D461" s="8634" t="s">
        <v>3918</v>
      </c>
      <c r="E461" s="8634" t="s">
        <v>3919</v>
      </c>
      <c r="F461" s="8634" t="s">
        <v>2600</v>
      </c>
      <c r="G461" s="8634" t="s">
        <v>24</v>
      </c>
      <c r="H461" s="8634" t="s">
        <v>2187</v>
      </c>
      <c r="I461" s="8634" t="s">
        <v>722</v>
      </c>
    </row>
    <row customHeight="1" ht="11.25">
      <c r="A462" s="8634" t="s">
        <v>2182</v>
      </c>
      <c r="B462" s="8634" t="s">
        <v>14</v>
      </c>
      <c r="C462" s="8634" t="s">
        <v>3920</v>
      </c>
      <c r="D462" s="8634" t="s">
        <v>3921</v>
      </c>
      <c r="E462" s="8634" t="s">
        <v>3922</v>
      </c>
      <c r="F462" s="8634" t="s">
        <v>2228</v>
      </c>
      <c r="G462" s="8634" t="s">
        <v>24</v>
      </c>
      <c r="H462" s="8634" t="s">
        <v>24</v>
      </c>
      <c r="I462" s="8634" t="s">
        <v>722</v>
      </c>
    </row>
    <row customHeight="1" ht="11.25">
      <c r="A463" s="8634" t="s">
        <v>2182</v>
      </c>
      <c r="B463" s="8634" t="s">
        <v>14</v>
      </c>
      <c r="C463" s="8634" t="s">
        <v>3923</v>
      </c>
      <c r="D463" s="8634" t="s">
        <v>3924</v>
      </c>
      <c r="E463" s="8634" t="s">
        <v>3925</v>
      </c>
      <c r="F463" s="8634" t="s">
        <v>2389</v>
      </c>
      <c r="G463" s="8634" t="s">
        <v>24</v>
      </c>
      <c r="H463" s="8634" t="s">
        <v>2187</v>
      </c>
      <c r="I463" s="8634" t="s">
        <v>722</v>
      </c>
    </row>
    <row customHeight="1" ht="11.25">
      <c r="A464" s="8634" t="s">
        <v>2182</v>
      </c>
      <c r="B464" s="8634" t="s">
        <v>14</v>
      </c>
      <c r="C464" s="8634" t="s">
        <v>3926</v>
      </c>
      <c r="D464" s="8634" t="s">
        <v>3927</v>
      </c>
      <c r="E464" s="8634" t="s">
        <v>3928</v>
      </c>
      <c r="F464" s="8634" t="s">
        <v>2976</v>
      </c>
      <c r="G464" s="8634" t="s">
        <v>3929</v>
      </c>
      <c r="H464" s="8634" t="s">
        <v>24</v>
      </c>
      <c r="I464" s="8634" t="s">
        <v>722</v>
      </c>
    </row>
    <row customHeight="1" ht="11.25">
      <c r="A465" s="8634" t="s">
        <v>2182</v>
      </c>
      <c r="B465" s="8634" t="s">
        <v>14</v>
      </c>
      <c r="C465" s="8634" t="s">
        <v>3930</v>
      </c>
      <c r="D465" s="8634" t="s">
        <v>3931</v>
      </c>
      <c r="E465" s="8634" t="s">
        <v>3932</v>
      </c>
      <c r="F465" s="8634" t="s">
        <v>3437</v>
      </c>
      <c r="G465" s="8634" t="s">
        <v>24</v>
      </c>
      <c r="H465" s="8634" t="s">
        <v>2187</v>
      </c>
      <c r="I465" s="8634" t="s">
        <v>722</v>
      </c>
    </row>
    <row customHeight="1" ht="11.25">
      <c r="A466" s="8634" t="s">
        <v>2182</v>
      </c>
      <c r="B466" s="8634" t="s">
        <v>14</v>
      </c>
      <c r="C466" s="8634" t="s">
        <v>3933</v>
      </c>
      <c r="D466" s="8634" t="s">
        <v>3934</v>
      </c>
      <c r="E466" s="8634" t="s">
        <v>3935</v>
      </c>
      <c r="F466" s="8634" t="s">
        <v>2460</v>
      </c>
      <c r="G466" s="8634" t="s">
        <v>24</v>
      </c>
      <c r="H466" s="8634" t="s">
        <v>2187</v>
      </c>
      <c r="I466" s="8634" t="s">
        <v>722</v>
      </c>
    </row>
    <row customHeight="1" ht="11.25">
      <c r="A467" s="8634" t="s">
        <v>2182</v>
      </c>
      <c r="B467" s="8634" t="s">
        <v>14</v>
      </c>
      <c r="C467" s="8634" t="s">
        <v>3936</v>
      </c>
      <c r="D467" s="8634" t="s">
        <v>3937</v>
      </c>
      <c r="E467" s="8634" t="s">
        <v>3938</v>
      </c>
      <c r="F467" s="8634" t="s">
        <v>2460</v>
      </c>
      <c r="G467" s="8634" t="s">
        <v>24</v>
      </c>
      <c r="H467" s="8634" t="s">
        <v>2400</v>
      </c>
      <c r="I467" s="8634" t="s">
        <v>722</v>
      </c>
    </row>
    <row customHeight="1" ht="11.25">
      <c r="A468" s="8634" t="s">
        <v>2182</v>
      </c>
      <c r="B468" s="8634" t="s">
        <v>14</v>
      </c>
      <c r="C468" s="8634" t="s">
        <v>3939</v>
      </c>
      <c r="D468" s="8634" t="s">
        <v>3940</v>
      </c>
      <c r="E468" s="8634" t="s">
        <v>3941</v>
      </c>
      <c r="F468" s="8634" t="s">
        <v>2600</v>
      </c>
      <c r="G468" s="8634" t="s">
        <v>24</v>
      </c>
      <c r="H468" s="8634" t="s">
        <v>2187</v>
      </c>
      <c r="I468" s="8634" t="s">
        <v>722</v>
      </c>
    </row>
    <row customHeight="1" ht="11.25">
      <c r="A469" s="8634" t="s">
        <v>2182</v>
      </c>
      <c r="B469" s="8634" t="s">
        <v>14</v>
      </c>
      <c r="C469" s="8634" t="s">
        <v>3942</v>
      </c>
      <c r="D469" s="8634" t="s">
        <v>3943</v>
      </c>
      <c r="E469" s="8634" t="s">
        <v>3944</v>
      </c>
      <c r="F469" s="8634" t="s">
        <v>3945</v>
      </c>
      <c r="G469" s="8634" t="s">
        <v>24</v>
      </c>
      <c r="H469" s="8634" t="s">
        <v>2187</v>
      </c>
      <c r="I469" s="8634" t="s">
        <v>722</v>
      </c>
    </row>
    <row customHeight="1" ht="11.25">
      <c r="A470" s="8634" t="s">
        <v>2182</v>
      </c>
      <c r="B470" s="8634" t="s">
        <v>14</v>
      </c>
      <c r="C470" s="8634" t="s">
        <v>3946</v>
      </c>
      <c r="D470" s="8634" t="s">
        <v>3947</v>
      </c>
      <c r="E470" s="8634" t="s">
        <v>3948</v>
      </c>
      <c r="F470" s="8634" t="s">
        <v>3949</v>
      </c>
      <c r="G470" s="8634" t="s">
        <v>24</v>
      </c>
      <c r="H470" s="8634" t="s">
        <v>24</v>
      </c>
      <c r="I470" s="8634" t="s">
        <v>722</v>
      </c>
    </row>
    <row customHeight="1" ht="11.25">
      <c r="A471" s="8634" t="s">
        <v>2182</v>
      </c>
      <c r="B471" s="8634" t="s">
        <v>14</v>
      </c>
      <c r="C471" s="8634" t="s">
        <v>3950</v>
      </c>
      <c r="D471" s="8634" t="s">
        <v>3951</v>
      </c>
      <c r="E471" s="8634" t="s">
        <v>3952</v>
      </c>
      <c r="F471" s="8634" t="s">
        <v>2398</v>
      </c>
      <c r="G471" s="8634" t="s">
        <v>3953</v>
      </c>
      <c r="H471" s="8634" t="s">
        <v>24</v>
      </c>
      <c r="I471" s="8634" t="s">
        <v>722</v>
      </c>
    </row>
    <row customHeight="1" ht="11.25">
      <c r="A472" s="8634" t="s">
        <v>2182</v>
      </c>
      <c r="B472" s="8634" t="s">
        <v>14</v>
      </c>
      <c r="C472" s="8634" t="s">
        <v>3954</v>
      </c>
      <c r="D472" s="8634" t="s">
        <v>3955</v>
      </c>
      <c r="E472" s="8634" t="s">
        <v>3956</v>
      </c>
      <c r="F472" s="8634" t="s">
        <v>3346</v>
      </c>
      <c r="G472" s="8634" t="s">
        <v>24</v>
      </c>
      <c r="H472" s="8634" t="s">
        <v>24</v>
      </c>
      <c r="I472" s="8634" t="s">
        <v>722</v>
      </c>
    </row>
    <row customHeight="1" ht="11.25">
      <c r="A473" s="8634" t="s">
        <v>2182</v>
      </c>
      <c r="B473" s="8634" t="s">
        <v>14</v>
      </c>
      <c r="C473" s="8634" t="s">
        <v>3957</v>
      </c>
      <c r="D473" s="8634" t="s">
        <v>3958</v>
      </c>
      <c r="E473" s="8634" t="s">
        <v>3959</v>
      </c>
      <c r="F473" s="8634" t="s">
        <v>3960</v>
      </c>
      <c r="G473" s="8634" t="s">
        <v>24</v>
      </c>
      <c r="H473" s="8634" t="s">
        <v>2187</v>
      </c>
      <c r="I473" s="8634" t="s">
        <v>722</v>
      </c>
    </row>
    <row customHeight="1" ht="11.25">
      <c r="A474" s="8634" t="s">
        <v>2182</v>
      </c>
      <c r="B474" s="8634" t="s">
        <v>14</v>
      </c>
      <c r="C474" s="8634" t="s">
        <v>3961</v>
      </c>
      <c r="D474" s="8634" t="s">
        <v>3962</v>
      </c>
      <c r="E474" s="8634" t="s">
        <v>3963</v>
      </c>
      <c r="F474" s="8634" t="s">
        <v>2322</v>
      </c>
      <c r="G474" s="8634" t="s">
        <v>24</v>
      </c>
      <c r="H474" s="8634" t="s">
        <v>2400</v>
      </c>
      <c r="I474" s="8634" t="s">
        <v>722</v>
      </c>
    </row>
    <row customHeight="1" ht="11.25">
      <c r="A475" s="8634" t="s">
        <v>2182</v>
      </c>
      <c r="B475" s="8634" t="s">
        <v>14</v>
      </c>
      <c r="C475" s="8634" t="s">
        <v>3964</v>
      </c>
      <c r="D475" s="8634" t="s">
        <v>3965</v>
      </c>
      <c r="E475" s="8634" t="s">
        <v>3966</v>
      </c>
      <c r="F475" s="8634" t="s">
        <v>2727</v>
      </c>
      <c r="G475" s="8634" t="s">
        <v>24</v>
      </c>
      <c r="H475" s="8634" t="s">
        <v>3967</v>
      </c>
      <c r="I475" s="8634" t="s">
        <v>722</v>
      </c>
    </row>
    <row customHeight="1" ht="11.25">
      <c r="A476" s="8634" t="s">
        <v>2182</v>
      </c>
      <c r="B476" s="8634" t="s">
        <v>14</v>
      </c>
      <c r="C476" s="8634" t="s">
        <v>3968</v>
      </c>
      <c r="D476" s="8634" t="s">
        <v>3969</v>
      </c>
      <c r="E476" s="8634" t="s">
        <v>2362</v>
      </c>
      <c r="F476" s="8634" t="s">
        <v>2438</v>
      </c>
      <c r="G476" s="8634" t="s">
        <v>24</v>
      </c>
      <c r="H476" s="8634" t="s">
        <v>2187</v>
      </c>
      <c r="I476" s="8634" t="s">
        <v>722</v>
      </c>
    </row>
    <row customHeight="1" ht="11.25">
      <c r="A477" s="8634" t="s">
        <v>2182</v>
      </c>
      <c r="B477" s="8634" t="s">
        <v>14</v>
      </c>
      <c r="C477" s="8634" t="s">
        <v>3970</v>
      </c>
      <c r="D477" s="8634" t="s">
        <v>3971</v>
      </c>
      <c r="E477" s="8634" t="s">
        <v>3972</v>
      </c>
      <c r="F477" s="8634" t="s">
        <v>2274</v>
      </c>
      <c r="G477" s="8634" t="s">
        <v>24</v>
      </c>
      <c r="H477" s="8634" t="s">
        <v>2187</v>
      </c>
      <c r="I477" s="8634" t="s">
        <v>722</v>
      </c>
    </row>
    <row customHeight="1" ht="11.25">
      <c r="A478" s="8634" t="s">
        <v>2182</v>
      </c>
      <c r="B478" s="8634" t="s">
        <v>14</v>
      </c>
      <c r="C478" s="8634" t="s">
        <v>3973</v>
      </c>
      <c r="D478" s="8634" t="s">
        <v>3974</v>
      </c>
      <c r="E478" s="8634" t="s">
        <v>3975</v>
      </c>
      <c r="F478" s="8634" t="s">
        <v>2279</v>
      </c>
      <c r="G478" s="8634" t="s">
        <v>24</v>
      </c>
      <c r="H478" s="8634" t="s">
        <v>3438</v>
      </c>
      <c r="I478" s="8634" t="s">
        <v>722</v>
      </c>
    </row>
    <row customHeight="1" ht="11.25">
      <c r="A479" s="8634" t="s">
        <v>2182</v>
      </c>
      <c r="B479" s="8634" t="s">
        <v>14</v>
      </c>
      <c r="C479" s="8634" t="s">
        <v>3976</v>
      </c>
      <c r="D479" s="8634" t="s">
        <v>3977</v>
      </c>
      <c r="E479" s="8634" t="s">
        <v>3978</v>
      </c>
      <c r="F479" s="8634" t="s">
        <v>2721</v>
      </c>
      <c r="G479" s="8634" t="s">
        <v>24</v>
      </c>
      <c r="H479" s="8634" t="s">
        <v>3222</v>
      </c>
      <c r="I479" s="8634" t="s">
        <v>722</v>
      </c>
    </row>
    <row customHeight="1" ht="11.25">
      <c r="A480" s="8634" t="s">
        <v>2182</v>
      </c>
      <c r="B480" s="8634" t="s">
        <v>14</v>
      </c>
      <c r="C480" s="8634" t="s">
        <v>3979</v>
      </c>
      <c r="D480" s="8634" t="s">
        <v>3980</v>
      </c>
      <c r="E480" s="8634" t="s">
        <v>3981</v>
      </c>
      <c r="F480" s="8634" t="s">
        <v>2469</v>
      </c>
      <c r="G480" s="8634" t="s">
        <v>24</v>
      </c>
      <c r="H480" s="8634" t="s">
        <v>3982</v>
      </c>
      <c r="I480" s="8634" t="s">
        <v>722</v>
      </c>
    </row>
    <row customHeight="1" ht="11.25">
      <c r="A481" s="8634" t="s">
        <v>2182</v>
      </c>
      <c r="B481" s="8634" t="s">
        <v>14</v>
      </c>
      <c r="C481" s="8634" t="s">
        <v>3983</v>
      </c>
      <c r="D481" s="8634" t="s">
        <v>3984</v>
      </c>
      <c r="E481" s="8634" t="s">
        <v>3985</v>
      </c>
      <c r="F481" s="8634" t="s">
        <v>3986</v>
      </c>
      <c r="G481" s="8634" t="s">
        <v>24</v>
      </c>
      <c r="H481" s="8634" t="s">
        <v>24</v>
      </c>
      <c r="I481" s="8634" t="s">
        <v>722</v>
      </c>
    </row>
    <row customHeight="1" ht="11.25">
      <c r="A482" s="8634" t="s">
        <v>2182</v>
      </c>
      <c r="B482" s="8634" t="s">
        <v>14</v>
      </c>
      <c r="C482" s="8634" t="s">
        <v>3987</v>
      </c>
      <c r="D482" s="8634" t="s">
        <v>3988</v>
      </c>
      <c r="E482" s="8634" t="s">
        <v>3989</v>
      </c>
      <c r="F482" s="8634" t="s">
        <v>2477</v>
      </c>
      <c r="G482" s="8634" t="s">
        <v>24</v>
      </c>
      <c r="H482" s="8634" t="s">
        <v>2187</v>
      </c>
      <c r="I482" s="8634" t="s">
        <v>722</v>
      </c>
    </row>
    <row customHeight="1" ht="11.25">
      <c r="A483" s="8634" t="s">
        <v>2182</v>
      </c>
      <c r="B483" s="8634" t="s">
        <v>14</v>
      </c>
      <c r="C483" s="8634" t="s">
        <v>3990</v>
      </c>
      <c r="D483" s="8634" t="s">
        <v>3991</v>
      </c>
      <c r="E483" s="8634" t="s">
        <v>3992</v>
      </c>
      <c r="F483" s="8634" t="s">
        <v>2600</v>
      </c>
      <c r="G483" s="8634" t="s">
        <v>3993</v>
      </c>
      <c r="H483" s="8634" t="s">
        <v>24</v>
      </c>
      <c r="I483" s="8634" t="s">
        <v>722</v>
      </c>
    </row>
    <row customHeight="1" ht="11.25">
      <c r="A484" s="8634" t="s">
        <v>2182</v>
      </c>
      <c r="B484" s="8634" t="s">
        <v>14</v>
      </c>
      <c r="C484" s="8634" t="s">
        <v>3994</v>
      </c>
      <c r="D484" s="8634" t="s">
        <v>3995</v>
      </c>
      <c r="E484" s="8634" t="s">
        <v>3996</v>
      </c>
      <c r="F484" s="8634" t="s">
        <v>2228</v>
      </c>
      <c r="G484" s="8634" t="s">
        <v>24</v>
      </c>
      <c r="H484" s="8634" t="s">
        <v>24</v>
      </c>
      <c r="I484" s="8634" t="s">
        <v>722</v>
      </c>
    </row>
    <row customHeight="1" ht="11.25">
      <c r="A485" s="8634" t="s">
        <v>2182</v>
      </c>
      <c r="B485" s="8634" t="s">
        <v>14</v>
      </c>
      <c r="C485" s="8634" t="s">
        <v>3997</v>
      </c>
      <c r="D485" s="8634" t="s">
        <v>3998</v>
      </c>
      <c r="E485" s="8634" t="s">
        <v>3999</v>
      </c>
      <c r="F485" s="8634" t="s">
        <v>2228</v>
      </c>
      <c r="G485" s="8634" t="s">
        <v>24</v>
      </c>
      <c r="H485" s="8634" t="s">
        <v>24</v>
      </c>
      <c r="I485" s="8634" t="s">
        <v>722</v>
      </c>
    </row>
    <row customHeight="1" ht="11.25">
      <c r="A486" s="8634" t="s">
        <v>2182</v>
      </c>
      <c r="B486" s="8634" t="s">
        <v>14</v>
      </c>
      <c r="C486" s="8634" t="s">
        <v>4000</v>
      </c>
      <c r="D486" s="8634" t="s">
        <v>4001</v>
      </c>
      <c r="E486" s="8634" t="s">
        <v>4002</v>
      </c>
      <c r="F486" s="8634" t="s">
        <v>2228</v>
      </c>
      <c r="G486" s="8634" t="s">
        <v>24</v>
      </c>
      <c r="H486" s="8634" t="s">
        <v>24</v>
      </c>
      <c r="I486" s="8634" t="s">
        <v>722</v>
      </c>
    </row>
    <row customHeight="1" ht="11.25">
      <c r="A487" s="8634" t="s">
        <v>2182</v>
      </c>
      <c r="B487" s="8634" t="s">
        <v>14</v>
      </c>
      <c r="C487" s="8634" t="s">
        <v>4003</v>
      </c>
      <c r="D487" s="8634" t="s">
        <v>4004</v>
      </c>
      <c r="E487" s="8634" t="s">
        <v>4005</v>
      </c>
      <c r="F487" s="8634" t="s">
        <v>2438</v>
      </c>
      <c r="G487" s="8634" t="s">
        <v>24</v>
      </c>
      <c r="H487" s="8634" t="s">
        <v>2187</v>
      </c>
      <c r="I487" s="8634" t="s">
        <v>722</v>
      </c>
    </row>
    <row customHeight="1" ht="11.25">
      <c r="A488" s="8634" t="s">
        <v>2182</v>
      </c>
      <c r="B488" s="8634" t="s">
        <v>14</v>
      </c>
      <c r="C488" s="8634" t="s">
        <v>4006</v>
      </c>
      <c r="D488" s="8634" t="s">
        <v>4007</v>
      </c>
      <c r="E488" s="8634" t="s">
        <v>4008</v>
      </c>
      <c r="F488" s="8634" t="s">
        <v>2705</v>
      </c>
      <c r="G488" s="8634" t="s">
        <v>24</v>
      </c>
      <c r="H488" s="8634" t="s">
        <v>4009</v>
      </c>
      <c r="I488" s="8634" t="s">
        <v>722</v>
      </c>
    </row>
    <row customHeight="1" ht="11.25">
      <c r="A489" s="8634" t="s">
        <v>2182</v>
      </c>
      <c r="B489" s="8634" t="s">
        <v>14</v>
      </c>
      <c r="C489" s="8634" t="s">
        <v>4010</v>
      </c>
      <c r="D489" s="8634" t="s">
        <v>4011</v>
      </c>
      <c r="E489" s="8634" t="s">
        <v>4012</v>
      </c>
      <c r="F489" s="8634" t="s">
        <v>2334</v>
      </c>
      <c r="G489" s="8634" t="s">
        <v>24</v>
      </c>
      <c r="H489" s="8634" t="s">
        <v>2697</v>
      </c>
      <c r="I489" s="8634" t="s">
        <v>722</v>
      </c>
    </row>
    <row customHeight="1" ht="11.25">
      <c r="A490" s="8634" t="s">
        <v>2182</v>
      </c>
      <c r="B490" s="8634" t="s">
        <v>14</v>
      </c>
      <c r="C490" s="8634" t="s">
        <v>4013</v>
      </c>
      <c r="D490" s="8634" t="s">
        <v>4014</v>
      </c>
      <c r="E490" s="8634" t="s">
        <v>4015</v>
      </c>
      <c r="F490" s="8634" t="s">
        <v>2186</v>
      </c>
      <c r="G490" s="8634" t="s">
        <v>24</v>
      </c>
      <c r="H490" s="8634" t="s">
        <v>24</v>
      </c>
      <c r="I490" s="8634" t="s">
        <v>722</v>
      </c>
    </row>
    <row customHeight="1" ht="11.25">
      <c r="A491" s="8634" t="s">
        <v>2182</v>
      </c>
      <c r="B491" s="8634" t="s">
        <v>14</v>
      </c>
      <c r="C491" s="8634" t="s">
        <v>4016</v>
      </c>
      <c r="D491" s="8634" t="s">
        <v>4017</v>
      </c>
      <c r="E491" s="8634" t="s">
        <v>4018</v>
      </c>
      <c r="F491" s="8634" t="s">
        <v>2228</v>
      </c>
      <c r="G491" s="8634" t="s">
        <v>24</v>
      </c>
      <c r="H491" s="8634" t="s">
        <v>24</v>
      </c>
      <c r="I491" s="8634" t="s">
        <v>722</v>
      </c>
    </row>
    <row customHeight="1" ht="11.25">
      <c r="A492" s="8634" t="s">
        <v>2182</v>
      </c>
      <c r="B492" s="8634" t="s">
        <v>14</v>
      </c>
      <c r="C492" s="8634" t="s">
        <v>4019</v>
      </c>
      <c r="D492" s="8634" t="s">
        <v>4020</v>
      </c>
      <c r="E492" s="8634" t="s">
        <v>4021</v>
      </c>
      <c r="F492" s="8634" t="s">
        <v>2334</v>
      </c>
      <c r="G492" s="8634" t="s">
        <v>4022</v>
      </c>
      <c r="H492" s="8634" t="s">
        <v>24</v>
      </c>
      <c r="I492" s="8634" t="s">
        <v>722</v>
      </c>
    </row>
    <row customHeight="1" ht="11.25">
      <c r="A493" s="8634" t="s">
        <v>2182</v>
      </c>
      <c r="B493" s="8634" t="s">
        <v>14</v>
      </c>
      <c r="C493" s="8634" t="s">
        <v>4023</v>
      </c>
      <c r="D493" s="8634" t="s">
        <v>4024</v>
      </c>
      <c r="E493" s="8634" t="s">
        <v>4025</v>
      </c>
      <c r="F493" s="8634" t="s">
        <v>2438</v>
      </c>
      <c r="G493" s="8634" t="s">
        <v>24</v>
      </c>
      <c r="H493" s="8634" t="s">
        <v>2993</v>
      </c>
      <c r="I493" s="8634" t="s">
        <v>722</v>
      </c>
    </row>
    <row customHeight="1" ht="11.25">
      <c r="A494" s="8634" t="s">
        <v>2182</v>
      </c>
      <c r="B494" s="8634" t="s">
        <v>14</v>
      </c>
      <c r="C494" s="8634" t="s">
        <v>4026</v>
      </c>
      <c r="D494" s="8634" t="s">
        <v>4027</v>
      </c>
      <c r="E494" s="8634" t="s">
        <v>4028</v>
      </c>
      <c r="F494" s="8634" t="s">
        <v>2322</v>
      </c>
      <c r="G494" s="8634" t="s">
        <v>4029</v>
      </c>
      <c r="H494" s="8634" t="s">
        <v>2400</v>
      </c>
      <c r="I494" s="8634" t="s">
        <v>722</v>
      </c>
    </row>
    <row customHeight="1" ht="11.25">
      <c r="A495" s="8634" t="s">
        <v>2182</v>
      </c>
      <c r="B495" s="8634" t="s">
        <v>14</v>
      </c>
      <c r="C495" s="8634" t="s">
        <v>4030</v>
      </c>
      <c r="D495" s="8634" t="s">
        <v>4031</v>
      </c>
      <c r="E495" s="8634" t="s">
        <v>4032</v>
      </c>
      <c r="F495" s="8634" t="s">
        <v>2671</v>
      </c>
      <c r="G495" s="8634" t="s">
        <v>4033</v>
      </c>
      <c r="H495" s="8634" t="s">
        <v>2400</v>
      </c>
      <c r="I495" s="8634" t="s">
        <v>722</v>
      </c>
    </row>
    <row customHeight="1" ht="11.25">
      <c r="A496" s="8634" t="s">
        <v>2182</v>
      </c>
      <c r="B496" s="8634" t="s">
        <v>14</v>
      </c>
      <c r="C496" s="8634" t="s">
        <v>4034</v>
      </c>
      <c r="D496" s="8634" t="s">
        <v>4035</v>
      </c>
      <c r="E496" s="8634" t="s">
        <v>4036</v>
      </c>
      <c r="F496" s="8634" t="s">
        <v>2300</v>
      </c>
      <c r="G496" s="8634" t="s">
        <v>24</v>
      </c>
      <c r="H496" s="8634" t="s">
        <v>2238</v>
      </c>
      <c r="I496" s="8634" t="s">
        <v>722</v>
      </c>
    </row>
    <row customHeight="1" ht="11.25">
      <c r="A497" s="8634" t="s">
        <v>2182</v>
      </c>
      <c r="B497" s="8634" t="s">
        <v>14</v>
      </c>
      <c r="C497" s="8634" t="s">
        <v>4037</v>
      </c>
      <c r="D497" s="8634" t="s">
        <v>4038</v>
      </c>
      <c r="E497" s="8634" t="s">
        <v>4039</v>
      </c>
      <c r="F497" s="8634" t="s">
        <v>2394</v>
      </c>
      <c r="G497" s="8634" t="s">
        <v>24</v>
      </c>
      <c r="H497" s="8634" t="s">
        <v>24</v>
      </c>
      <c r="I497" s="8634" t="s">
        <v>722</v>
      </c>
    </row>
    <row customHeight="1" ht="11.25">
      <c r="A498" s="8634" t="s">
        <v>2182</v>
      </c>
      <c r="B498" s="8634" t="s">
        <v>14</v>
      </c>
      <c r="C498" s="8634" t="s">
        <v>4040</v>
      </c>
      <c r="D498" s="8634" t="s">
        <v>4041</v>
      </c>
      <c r="E498" s="8634" t="s">
        <v>4042</v>
      </c>
      <c r="F498" s="8634" t="s">
        <v>3508</v>
      </c>
      <c r="G498" s="8634" t="s">
        <v>24</v>
      </c>
      <c r="H498" s="8634" t="s">
        <v>24</v>
      </c>
      <c r="I498" s="8634" t="s">
        <v>722</v>
      </c>
    </row>
    <row customHeight="1" ht="11.25">
      <c r="A499" s="8634" t="s">
        <v>2182</v>
      </c>
      <c r="B499" s="8634" t="s">
        <v>14</v>
      </c>
      <c r="C499" s="8634" t="s">
        <v>4043</v>
      </c>
      <c r="D499" s="8634" t="s">
        <v>4044</v>
      </c>
      <c r="E499" s="8634" t="s">
        <v>4045</v>
      </c>
      <c r="F499" s="8634" t="s">
        <v>2854</v>
      </c>
      <c r="G499" s="8634" t="s">
        <v>24</v>
      </c>
      <c r="H499" s="8634" t="s">
        <v>3222</v>
      </c>
      <c r="I499" s="8634" t="s">
        <v>722</v>
      </c>
    </row>
    <row customHeight="1" ht="11.25">
      <c r="A500" s="8634" t="s">
        <v>2182</v>
      </c>
      <c r="B500" s="8634" t="s">
        <v>14</v>
      </c>
      <c r="C500" s="8634" t="s">
        <v>4046</v>
      </c>
      <c r="D500" s="8634" t="s">
        <v>4047</v>
      </c>
      <c r="E500" s="8634" t="s">
        <v>4048</v>
      </c>
      <c r="F500" s="8634" t="s">
        <v>2854</v>
      </c>
      <c r="G500" s="8634" t="s">
        <v>24</v>
      </c>
      <c r="H500" s="8634" t="s">
        <v>2187</v>
      </c>
      <c r="I500" s="8634" t="s">
        <v>722</v>
      </c>
    </row>
    <row customHeight="1" ht="11.25">
      <c r="A501" s="8634" t="s">
        <v>2182</v>
      </c>
      <c r="B501" s="8634" t="s">
        <v>14</v>
      </c>
      <c r="C501" s="8634" t="s">
        <v>4049</v>
      </c>
      <c r="D501" s="8634" t="s">
        <v>4050</v>
      </c>
      <c r="E501" s="8634" t="s">
        <v>4051</v>
      </c>
      <c r="F501" s="8634" t="s">
        <v>2567</v>
      </c>
      <c r="G501" s="8634" t="s">
        <v>24</v>
      </c>
      <c r="H501" s="8634" t="s">
        <v>2187</v>
      </c>
      <c r="I501" s="8634" t="s">
        <v>722</v>
      </c>
    </row>
    <row customHeight="1" ht="11.25">
      <c r="A502" s="8634" t="s">
        <v>2182</v>
      </c>
      <c r="B502" s="8634" t="s">
        <v>14</v>
      </c>
      <c r="C502" s="8634" t="s">
        <v>4052</v>
      </c>
      <c r="D502" s="8634" t="s">
        <v>4053</v>
      </c>
      <c r="E502" s="8634" t="s">
        <v>4054</v>
      </c>
      <c r="F502" s="8634" t="s">
        <v>2213</v>
      </c>
      <c r="G502" s="8634" t="s">
        <v>24</v>
      </c>
      <c r="H502" s="8634" t="s">
        <v>24</v>
      </c>
      <c r="I502" s="8634" t="s">
        <v>722</v>
      </c>
    </row>
    <row customHeight="1" ht="11.25">
      <c r="A503" s="8634" t="s">
        <v>2182</v>
      </c>
      <c r="B503" s="8634" t="s">
        <v>14</v>
      </c>
      <c r="C503" s="8634" t="s">
        <v>4055</v>
      </c>
      <c r="D503" s="8634" t="s">
        <v>4056</v>
      </c>
      <c r="E503" s="8634" t="s">
        <v>4057</v>
      </c>
      <c r="F503" s="8634" t="s">
        <v>3986</v>
      </c>
      <c r="G503" s="8634" t="s">
        <v>24</v>
      </c>
      <c r="H503" s="8634" t="s">
        <v>2400</v>
      </c>
      <c r="I503" s="8634" t="s">
        <v>722</v>
      </c>
    </row>
    <row customHeight="1" ht="11.25">
      <c r="A504" s="8634" t="s">
        <v>2182</v>
      </c>
      <c r="B504" s="8634" t="s">
        <v>14</v>
      </c>
      <c r="C504" s="8634" t="s">
        <v>4058</v>
      </c>
      <c r="D504" s="8634" t="s">
        <v>4059</v>
      </c>
      <c r="E504" s="8634" t="s">
        <v>4060</v>
      </c>
      <c r="F504" s="8634" t="s">
        <v>3130</v>
      </c>
      <c r="G504" s="8634" t="s">
        <v>24</v>
      </c>
      <c r="H504" s="8634" t="s">
        <v>24</v>
      </c>
      <c r="I504" s="8634" t="s">
        <v>722</v>
      </c>
    </row>
    <row customHeight="1" ht="11.25">
      <c r="A505" s="8634" t="s">
        <v>2182</v>
      </c>
      <c r="B505" s="8634" t="s">
        <v>14</v>
      </c>
      <c r="C505" s="8634" t="s">
        <v>4061</v>
      </c>
      <c r="D505" s="8634" t="s">
        <v>4062</v>
      </c>
      <c r="E505" s="8634" t="s">
        <v>4039</v>
      </c>
      <c r="F505" s="8634" t="s">
        <v>2705</v>
      </c>
      <c r="G505" s="8634" t="s">
        <v>24</v>
      </c>
      <c r="H505" s="8634" t="s">
        <v>24</v>
      </c>
      <c r="I505" s="8634" t="s">
        <v>722</v>
      </c>
    </row>
    <row customHeight="1" ht="11.25">
      <c r="A506" s="8634" t="s">
        <v>2182</v>
      </c>
      <c r="B506" s="8634" t="s">
        <v>14</v>
      </c>
      <c r="C506" s="8634" t="s">
        <v>4063</v>
      </c>
      <c r="D506" s="8634" t="s">
        <v>4064</v>
      </c>
      <c r="E506" s="8634" t="s">
        <v>4065</v>
      </c>
      <c r="F506" s="8634" t="s">
        <v>2363</v>
      </c>
      <c r="G506" s="8634" t="s">
        <v>24</v>
      </c>
      <c r="H506" s="8634" t="s">
        <v>24</v>
      </c>
      <c r="I506" s="8634" t="s">
        <v>722</v>
      </c>
    </row>
    <row customHeight="1" ht="11.25">
      <c r="A507" s="8634" t="s">
        <v>2182</v>
      </c>
      <c r="B507" s="8634" t="s">
        <v>14</v>
      </c>
      <c r="C507" s="8634" t="s">
        <v>4066</v>
      </c>
      <c r="D507" s="8634" t="s">
        <v>4067</v>
      </c>
      <c r="E507" s="8634" t="s">
        <v>4068</v>
      </c>
      <c r="F507" s="8634" t="s">
        <v>2363</v>
      </c>
      <c r="G507" s="8634" t="s">
        <v>24</v>
      </c>
      <c r="H507" s="8634" t="s">
        <v>2187</v>
      </c>
      <c r="I507" s="8634" t="s">
        <v>722</v>
      </c>
    </row>
    <row customHeight="1" ht="11.25">
      <c r="A508" s="8634" t="s">
        <v>2182</v>
      </c>
      <c r="B508" s="8634" t="s">
        <v>14</v>
      </c>
      <c r="C508" s="8634" t="s">
        <v>4069</v>
      </c>
      <c r="D508" s="8634" t="s">
        <v>4070</v>
      </c>
      <c r="E508" s="8634" t="s">
        <v>4071</v>
      </c>
      <c r="F508" s="8634" t="s">
        <v>2363</v>
      </c>
      <c r="G508" s="8634" t="s">
        <v>24</v>
      </c>
      <c r="H508" s="8634" t="s">
        <v>2187</v>
      </c>
      <c r="I508" s="8634" t="s">
        <v>722</v>
      </c>
    </row>
    <row customHeight="1" ht="11.25">
      <c r="A509" s="8634" t="s">
        <v>2182</v>
      </c>
      <c r="B509" s="8634" t="s">
        <v>14</v>
      </c>
      <c r="C509" s="8634" t="s">
        <v>4072</v>
      </c>
      <c r="D509" s="8634" t="s">
        <v>4073</v>
      </c>
      <c r="E509" s="8634" t="s">
        <v>4074</v>
      </c>
      <c r="F509" s="8634" t="s">
        <v>2363</v>
      </c>
      <c r="G509" s="8634" t="s">
        <v>24</v>
      </c>
      <c r="H509" s="8634" t="s">
        <v>2187</v>
      </c>
      <c r="I509" s="8634" t="s">
        <v>722</v>
      </c>
    </row>
    <row customHeight="1" ht="11.25">
      <c r="A510" s="8634" t="s">
        <v>2182</v>
      </c>
      <c r="B510" s="8634" t="s">
        <v>14</v>
      </c>
      <c r="C510" s="8634" t="s">
        <v>4075</v>
      </c>
      <c r="D510" s="8634" t="s">
        <v>4076</v>
      </c>
      <c r="E510" s="8634" t="s">
        <v>4077</v>
      </c>
      <c r="F510" s="8634" t="s">
        <v>2363</v>
      </c>
      <c r="G510" s="8634" t="s">
        <v>24</v>
      </c>
      <c r="H510" s="8634" t="s">
        <v>2697</v>
      </c>
      <c r="I510" s="8634" t="s">
        <v>722</v>
      </c>
    </row>
    <row customHeight="1" ht="11.25">
      <c r="A511" s="8634" t="s">
        <v>2182</v>
      </c>
      <c r="B511" s="8634" t="s">
        <v>14</v>
      </c>
      <c r="C511" s="8634" t="s">
        <v>4078</v>
      </c>
      <c r="D511" s="8634" t="s">
        <v>4079</v>
      </c>
      <c r="E511" s="8634" t="s">
        <v>4080</v>
      </c>
      <c r="F511" s="8634" t="s">
        <v>2339</v>
      </c>
      <c r="G511" s="8634" t="s">
        <v>24</v>
      </c>
      <c r="H511" s="8634" t="s">
        <v>2187</v>
      </c>
      <c r="I511" s="8634" t="s">
        <v>722</v>
      </c>
    </row>
    <row customHeight="1" ht="11.25">
      <c r="A512" s="8634" t="s">
        <v>2182</v>
      </c>
      <c r="B512" s="8634" t="s">
        <v>14</v>
      </c>
      <c r="C512" s="8634" t="s">
        <v>4081</v>
      </c>
      <c r="D512" s="8634" t="s">
        <v>4082</v>
      </c>
      <c r="E512" s="8634" t="s">
        <v>4083</v>
      </c>
      <c r="F512" s="8634" t="s">
        <v>2213</v>
      </c>
      <c r="G512" s="8634" t="s">
        <v>24</v>
      </c>
      <c r="H512" s="8634" t="s">
        <v>2187</v>
      </c>
      <c r="I512" s="8634" t="s">
        <v>722</v>
      </c>
    </row>
    <row customHeight="1" ht="11.25">
      <c r="A513" s="8634" t="s">
        <v>2182</v>
      </c>
      <c r="B513" s="8634" t="s">
        <v>14</v>
      </c>
      <c r="C513" s="8634" t="s">
        <v>4084</v>
      </c>
      <c r="D513" s="8634" t="s">
        <v>4085</v>
      </c>
      <c r="E513" s="8634" t="s">
        <v>4086</v>
      </c>
      <c r="F513" s="8634" t="s">
        <v>2389</v>
      </c>
      <c r="G513" s="8634" t="s">
        <v>24</v>
      </c>
      <c r="H513" s="8634" t="s">
        <v>2187</v>
      </c>
      <c r="I513" s="8634" t="s">
        <v>722</v>
      </c>
    </row>
    <row customHeight="1" ht="11.25">
      <c r="A514" s="8634" t="s">
        <v>2182</v>
      </c>
      <c r="B514" s="8634" t="s">
        <v>14</v>
      </c>
      <c r="C514" s="8634" t="s">
        <v>4087</v>
      </c>
      <c r="D514" s="8634" t="s">
        <v>4088</v>
      </c>
      <c r="E514" s="8634" t="s">
        <v>4089</v>
      </c>
      <c r="F514" s="8634" t="s">
        <v>4090</v>
      </c>
      <c r="G514" s="8634" t="s">
        <v>24</v>
      </c>
      <c r="H514" s="8634" t="s">
        <v>24</v>
      </c>
      <c r="I514" s="8634" t="s">
        <v>722</v>
      </c>
    </row>
    <row customHeight="1" ht="11.25">
      <c r="A515" s="8634" t="s">
        <v>2182</v>
      </c>
      <c r="B515" s="8634" t="s">
        <v>14</v>
      </c>
      <c r="C515" s="8634" t="s">
        <v>4091</v>
      </c>
      <c r="D515" s="8634" t="s">
        <v>4092</v>
      </c>
      <c r="E515" s="8634" t="s">
        <v>4093</v>
      </c>
      <c r="F515" s="8634" t="s">
        <v>2339</v>
      </c>
      <c r="G515" s="8634" t="s">
        <v>4094</v>
      </c>
      <c r="H515" s="8634" t="s">
        <v>24</v>
      </c>
      <c r="I515" s="8634" t="s">
        <v>722</v>
      </c>
    </row>
    <row customHeight="1" ht="11.25">
      <c r="A516" s="8634" t="s">
        <v>2182</v>
      </c>
      <c r="B516" s="8634" t="s">
        <v>14</v>
      </c>
      <c r="C516" s="8634" t="s">
        <v>4095</v>
      </c>
      <c r="D516" s="8634" t="s">
        <v>4096</v>
      </c>
      <c r="E516" s="8634" t="s">
        <v>4097</v>
      </c>
      <c r="F516" s="8634" t="s">
        <v>2339</v>
      </c>
      <c r="G516" s="8634" t="s">
        <v>24</v>
      </c>
      <c r="H516" s="8634" t="s">
        <v>2187</v>
      </c>
      <c r="I516" s="8634" t="s">
        <v>722</v>
      </c>
    </row>
    <row customHeight="1" ht="11.25">
      <c r="A517" s="8634" t="s">
        <v>2182</v>
      </c>
      <c r="B517" s="8634" t="s">
        <v>14</v>
      </c>
      <c r="C517" s="8634" t="s">
        <v>4098</v>
      </c>
      <c r="D517" s="8634" t="s">
        <v>4099</v>
      </c>
      <c r="E517" s="8634" t="s">
        <v>4100</v>
      </c>
      <c r="F517" s="8634" t="s">
        <v>2339</v>
      </c>
      <c r="G517" s="8634" t="s">
        <v>24</v>
      </c>
      <c r="H517" s="8634" t="s">
        <v>24</v>
      </c>
      <c r="I517" s="8634" t="s">
        <v>722</v>
      </c>
    </row>
    <row customHeight="1" ht="11.25">
      <c r="A518" s="8634" t="s">
        <v>2182</v>
      </c>
      <c r="B518" s="8634" t="s">
        <v>14</v>
      </c>
      <c r="C518" s="8634" t="s">
        <v>4101</v>
      </c>
      <c r="D518" s="8634" t="s">
        <v>4102</v>
      </c>
      <c r="E518" s="8634" t="s">
        <v>3039</v>
      </c>
      <c r="F518" s="8634" t="s">
        <v>4103</v>
      </c>
      <c r="G518" s="8634" t="s">
        <v>24</v>
      </c>
      <c r="H518" s="8634" t="s">
        <v>4104</v>
      </c>
      <c r="I518" s="8634" t="s">
        <v>722</v>
      </c>
    </row>
    <row customHeight="1" ht="11.25">
      <c r="A519" s="8634" t="s">
        <v>2182</v>
      </c>
      <c r="B519" s="8634" t="s">
        <v>14</v>
      </c>
      <c r="C519" s="8634" t="s">
        <v>4105</v>
      </c>
      <c r="D519" s="8634" t="s">
        <v>4106</v>
      </c>
      <c r="E519" s="8634" t="s">
        <v>3039</v>
      </c>
      <c r="F519" s="8634" t="s">
        <v>4107</v>
      </c>
      <c r="G519" s="8634" t="s">
        <v>4108</v>
      </c>
      <c r="H519" s="8634" t="s">
        <v>4109</v>
      </c>
      <c r="I519" s="8634" t="s">
        <v>722</v>
      </c>
    </row>
    <row customHeight="1" ht="11.25">
      <c r="A520" s="8634" t="s">
        <v>2182</v>
      </c>
      <c r="B520" s="8634" t="s">
        <v>14</v>
      </c>
      <c r="C520" s="8634" t="s">
        <v>4110</v>
      </c>
      <c r="D520" s="8634" t="s">
        <v>4111</v>
      </c>
      <c r="E520" s="8634" t="s">
        <v>3039</v>
      </c>
      <c r="F520" s="8634" t="s">
        <v>4112</v>
      </c>
      <c r="G520" s="8634" t="s">
        <v>24</v>
      </c>
      <c r="H520" s="8634" t="s">
        <v>24</v>
      </c>
      <c r="I520" s="8634" t="s">
        <v>722</v>
      </c>
    </row>
    <row customHeight="1" ht="11.25">
      <c r="A521" s="8634" t="s">
        <v>2182</v>
      </c>
      <c r="B521" s="8634" t="s">
        <v>14</v>
      </c>
      <c r="C521" s="8634" t="s">
        <v>4113</v>
      </c>
      <c r="D521" s="8634" t="s">
        <v>4114</v>
      </c>
      <c r="E521" s="8634" t="s">
        <v>4115</v>
      </c>
      <c r="F521" s="8634" t="s">
        <v>2213</v>
      </c>
      <c r="G521" s="8634" t="s">
        <v>24</v>
      </c>
      <c r="H521" s="8634" t="s">
        <v>2187</v>
      </c>
      <c r="I521" s="8634" t="s">
        <v>722</v>
      </c>
    </row>
    <row customHeight="1" ht="11.25">
      <c r="A522" s="8634" t="s">
        <v>2182</v>
      </c>
      <c r="B522" s="8634" t="s">
        <v>14</v>
      </c>
      <c r="C522" s="8634" t="s">
        <v>4116</v>
      </c>
      <c r="D522" s="8634" t="s">
        <v>4117</v>
      </c>
      <c r="E522" s="8634" t="s">
        <v>4118</v>
      </c>
      <c r="F522" s="8634" t="s">
        <v>2213</v>
      </c>
      <c r="G522" s="8634" t="s">
        <v>24</v>
      </c>
      <c r="H522" s="8634" t="s">
        <v>2187</v>
      </c>
      <c r="I522" s="8634" t="s">
        <v>722</v>
      </c>
    </row>
    <row customHeight="1" ht="11.25">
      <c r="A523" s="8634" t="s">
        <v>2182</v>
      </c>
      <c r="B523" s="8634" t="s">
        <v>14</v>
      </c>
      <c r="C523" s="8634" t="s">
        <v>4119</v>
      </c>
      <c r="D523" s="8634" t="s">
        <v>4120</v>
      </c>
      <c r="E523" s="8634" t="s">
        <v>4121</v>
      </c>
      <c r="F523" s="8634" t="s">
        <v>2563</v>
      </c>
      <c r="G523" s="8634" t="s">
        <v>24</v>
      </c>
      <c r="H523" s="8634" t="s">
        <v>2187</v>
      </c>
      <c r="I523" s="8634" t="s">
        <v>722</v>
      </c>
    </row>
    <row customHeight="1" ht="11.25">
      <c r="A524" s="8634" t="s">
        <v>2182</v>
      </c>
      <c r="B524" s="8634" t="s">
        <v>14</v>
      </c>
      <c r="C524" s="8634" t="s">
        <v>4122</v>
      </c>
      <c r="D524" s="8634" t="s">
        <v>4123</v>
      </c>
      <c r="E524" s="8634" t="s">
        <v>4124</v>
      </c>
      <c r="F524" s="8634" t="s">
        <v>2705</v>
      </c>
      <c r="G524" s="8634" t="s">
        <v>24</v>
      </c>
      <c r="H524" s="8634" t="s">
        <v>2187</v>
      </c>
      <c r="I524" s="8634" t="s">
        <v>722</v>
      </c>
    </row>
    <row customHeight="1" ht="11.25">
      <c r="A525" s="8634" t="s">
        <v>2182</v>
      </c>
      <c r="B525" s="8634" t="s">
        <v>14</v>
      </c>
      <c r="C525" s="8634" t="s">
        <v>4125</v>
      </c>
      <c r="D525" s="8634" t="s">
        <v>4126</v>
      </c>
      <c r="E525" s="8634" t="s">
        <v>4127</v>
      </c>
      <c r="F525" s="8634" t="s">
        <v>2567</v>
      </c>
      <c r="G525" s="8634" t="s">
        <v>24</v>
      </c>
      <c r="H525" s="8634" t="s">
        <v>2187</v>
      </c>
      <c r="I525" s="8634" t="s">
        <v>722</v>
      </c>
    </row>
    <row customHeight="1" ht="11.25">
      <c r="A526" s="8634" t="s">
        <v>2182</v>
      </c>
      <c r="B526" s="8634" t="s">
        <v>14</v>
      </c>
      <c r="C526" s="8634" t="s">
        <v>4128</v>
      </c>
      <c r="D526" s="8634" t="s">
        <v>4126</v>
      </c>
      <c r="E526" s="8634" t="s">
        <v>4127</v>
      </c>
      <c r="F526" s="8634" t="s">
        <v>2899</v>
      </c>
      <c r="G526" s="8634" t="s">
        <v>4129</v>
      </c>
      <c r="H526" s="8634" t="s">
        <v>4130</v>
      </c>
      <c r="I526" s="8634" t="s">
        <v>722</v>
      </c>
    </row>
    <row customHeight="1" ht="11.25">
      <c r="A527" s="8634" t="s">
        <v>2182</v>
      </c>
      <c r="B527" s="8634" t="s">
        <v>14</v>
      </c>
      <c r="C527" s="8634" t="s">
        <v>4131</v>
      </c>
      <c r="D527" s="8634" t="s">
        <v>4132</v>
      </c>
      <c r="E527" s="8634" t="s">
        <v>4133</v>
      </c>
      <c r="F527" s="8634" t="s">
        <v>3007</v>
      </c>
      <c r="G527" s="8634" t="s">
        <v>4134</v>
      </c>
      <c r="H527" s="8634" t="s">
        <v>2870</v>
      </c>
      <c r="I527" s="8634" t="s">
        <v>722</v>
      </c>
    </row>
    <row customHeight="1" ht="11.25">
      <c r="A528" s="8634" t="s">
        <v>2182</v>
      </c>
      <c r="B528" s="8634" t="s">
        <v>14</v>
      </c>
      <c r="C528" s="8634" t="s">
        <v>4135</v>
      </c>
      <c r="D528" s="8634" t="s">
        <v>4136</v>
      </c>
      <c r="E528" s="8634" t="s">
        <v>4137</v>
      </c>
      <c r="F528" s="8634" t="s">
        <v>2322</v>
      </c>
      <c r="G528" s="8634" t="s">
        <v>24</v>
      </c>
      <c r="H528" s="8634" t="s">
        <v>2187</v>
      </c>
      <c r="I528" s="8634" t="s">
        <v>722</v>
      </c>
    </row>
    <row customHeight="1" ht="11.25">
      <c r="A529" s="8634" t="s">
        <v>2182</v>
      </c>
      <c r="B529" s="8634" t="s">
        <v>14</v>
      </c>
      <c r="C529" s="8634" t="s">
        <v>4138</v>
      </c>
      <c r="D529" s="8634" t="s">
        <v>4139</v>
      </c>
      <c r="E529" s="8634" t="s">
        <v>4140</v>
      </c>
      <c r="F529" s="8634" t="s">
        <v>2334</v>
      </c>
      <c r="G529" s="8634" t="s">
        <v>24</v>
      </c>
      <c r="H529" s="8634" t="s">
        <v>2187</v>
      </c>
      <c r="I529" s="8634" t="s">
        <v>722</v>
      </c>
    </row>
    <row customHeight="1" ht="11.25">
      <c r="A530" s="8634" t="s">
        <v>2182</v>
      </c>
      <c r="B530" s="8634" t="s">
        <v>14</v>
      </c>
      <c r="C530" s="8634" t="s">
        <v>4141</v>
      </c>
      <c r="D530" s="8634" t="s">
        <v>4142</v>
      </c>
      <c r="E530" s="8634" t="s">
        <v>4143</v>
      </c>
      <c r="F530" s="8634" t="s">
        <v>2411</v>
      </c>
      <c r="G530" s="8634" t="s">
        <v>24</v>
      </c>
      <c r="H530" s="8634" t="s">
        <v>2187</v>
      </c>
      <c r="I530" s="8634" t="s">
        <v>722</v>
      </c>
    </row>
    <row customHeight="1" ht="11.25">
      <c r="A531" s="8634" t="s">
        <v>2182</v>
      </c>
      <c r="B531" s="8634" t="s">
        <v>14</v>
      </c>
      <c r="C531" s="8634" t="s">
        <v>4144</v>
      </c>
      <c r="D531" s="8634" t="s">
        <v>4145</v>
      </c>
      <c r="E531" s="8634" t="s">
        <v>4146</v>
      </c>
      <c r="F531" s="8634" t="s">
        <v>2339</v>
      </c>
      <c r="G531" s="8634" t="s">
        <v>24</v>
      </c>
      <c r="H531" s="8634" t="s">
        <v>2187</v>
      </c>
      <c r="I531" s="8634" t="s">
        <v>722</v>
      </c>
    </row>
    <row customHeight="1" ht="11.25">
      <c r="A532" s="8634" t="s">
        <v>2182</v>
      </c>
      <c r="B532" s="8634" t="s">
        <v>14</v>
      </c>
      <c r="C532" s="8634" t="s">
        <v>4147</v>
      </c>
      <c r="D532" s="8634" t="s">
        <v>4148</v>
      </c>
      <c r="E532" s="8634" t="s">
        <v>4149</v>
      </c>
      <c r="F532" s="8634" t="s">
        <v>4150</v>
      </c>
      <c r="G532" s="8634" t="s">
        <v>24</v>
      </c>
      <c r="H532" s="8634" t="s">
        <v>2187</v>
      </c>
      <c r="I532" s="8634" t="s">
        <v>722</v>
      </c>
    </row>
    <row customHeight="1" ht="11.25">
      <c r="A533" s="8634" t="s">
        <v>2182</v>
      </c>
      <c r="B533" s="8634" t="s">
        <v>14</v>
      </c>
      <c r="C533" s="8634" t="s">
        <v>4151</v>
      </c>
      <c r="D533" s="8634" t="s">
        <v>4152</v>
      </c>
      <c r="E533" s="8634" t="s">
        <v>4153</v>
      </c>
      <c r="F533" s="8634" t="s">
        <v>2344</v>
      </c>
      <c r="G533" s="8634" t="s">
        <v>24</v>
      </c>
      <c r="H533" s="8634" t="s">
        <v>2187</v>
      </c>
      <c r="I533" s="8634" t="s">
        <v>722</v>
      </c>
    </row>
    <row customHeight="1" ht="11.25">
      <c r="A534" s="8634" t="s">
        <v>2182</v>
      </c>
      <c r="B534" s="8634" t="s">
        <v>14</v>
      </c>
      <c r="C534" s="8634" t="s">
        <v>4154</v>
      </c>
      <c r="D534" s="8634" t="s">
        <v>4155</v>
      </c>
      <c r="E534" s="8634" t="s">
        <v>4156</v>
      </c>
      <c r="F534" s="8634" t="s">
        <v>2300</v>
      </c>
      <c r="G534" s="8634" t="s">
        <v>4157</v>
      </c>
      <c r="H534" s="8634" t="s">
        <v>24</v>
      </c>
      <c r="I534" s="8634" t="s">
        <v>722</v>
      </c>
    </row>
    <row customHeight="1" ht="11.25">
      <c r="A535" s="8634" t="s">
        <v>2182</v>
      </c>
      <c r="B535" s="8634" t="s">
        <v>14</v>
      </c>
      <c r="C535" s="8634" t="s">
        <v>4158</v>
      </c>
      <c r="D535" s="8634" t="s">
        <v>4159</v>
      </c>
      <c r="E535" s="8634" t="s">
        <v>4160</v>
      </c>
      <c r="F535" s="8634" t="s">
        <v>2696</v>
      </c>
      <c r="G535" s="8634" t="s">
        <v>24</v>
      </c>
      <c r="H535" s="8634" t="s">
        <v>2993</v>
      </c>
      <c r="I535" s="8634" t="s">
        <v>722</v>
      </c>
    </row>
    <row customHeight="1" ht="11.25">
      <c r="A536" s="8634" t="s">
        <v>2182</v>
      </c>
      <c r="B536" s="8634" t="s">
        <v>14</v>
      </c>
      <c r="C536" s="8634" t="s">
        <v>4161</v>
      </c>
      <c r="D536" s="8634" t="s">
        <v>4162</v>
      </c>
      <c r="E536" s="8634" t="s">
        <v>4163</v>
      </c>
      <c r="F536" s="8634" t="s">
        <v>2186</v>
      </c>
      <c r="G536" s="8634" t="s">
        <v>4164</v>
      </c>
      <c r="H536" s="8634" t="s">
        <v>24</v>
      </c>
      <c r="I536" s="8634" t="s">
        <v>722</v>
      </c>
    </row>
    <row customHeight="1" ht="11.25">
      <c r="A537" s="8634" t="s">
        <v>2182</v>
      </c>
      <c r="B537" s="8634" t="s">
        <v>14</v>
      </c>
      <c r="C537" s="8634" t="s">
        <v>4165</v>
      </c>
      <c r="D537" s="8634" t="s">
        <v>4166</v>
      </c>
      <c r="E537" s="8634" t="s">
        <v>4167</v>
      </c>
      <c r="F537" s="8634" t="s">
        <v>2322</v>
      </c>
      <c r="G537" s="8634" t="s">
        <v>24</v>
      </c>
      <c r="H537" s="8634" t="s">
        <v>2187</v>
      </c>
      <c r="I537" s="8634" t="s">
        <v>722</v>
      </c>
    </row>
    <row customHeight="1" ht="11.25">
      <c r="A538" s="8634" t="s">
        <v>2182</v>
      </c>
      <c r="B538" s="8634" t="s">
        <v>14</v>
      </c>
      <c r="C538" s="8634" t="s">
        <v>4168</v>
      </c>
      <c r="D538" s="8634" t="s">
        <v>4169</v>
      </c>
      <c r="E538" s="8634" t="s">
        <v>2646</v>
      </c>
      <c r="F538" s="8634" t="s">
        <v>3200</v>
      </c>
      <c r="G538" s="8634" t="s">
        <v>24</v>
      </c>
      <c r="H538" s="8634" t="s">
        <v>2187</v>
      </c>
      <c r="I538" s="8634" t="s">
        <v>722</v>
      </c>
    </row>
    <row customHeight="1" ht="11.25">
      <c r="A539" s="8634" t="s">
        <v>2182</v>
      </c>
      <c r="B539" s="8634" t="s">
        <v>14</v>
      </c>
      <c r="C539" s="8634" t="s">
        <v>4170</v>
      </c>
      <c r="D539" s="8634" t="s">
        <v>4171</v>
      </c>
      <c r="E539" s="8634" t="s">
        <v>4172</v>
      </c>
      <c r="F539" s="8634" t="s">
        <v>2322</v>
      </c>
      <c r="G539" s="8634" t="s">
        <v>24</v>
      </c>
      <c r="H539" s="8634" t="s">
        <v>24</v>
      </c>
      <c r="I539" s="8634" t="s">
        <v>722</v>
      </c>
    </row>
    <row customHeight="1" ht="11.25">
      <c r="A540" s="8634" t="s">
        <v>2182</v>
      </c>
      <c r="B540" s="8634" t="s">
        <v>14</v>
      </c>
      <c r="C540" s="8634" t="s">
        <v>4173</v>
      </c>
      <c r="D540" s="8634" t="s">
        <v>4174</v>
      </c>
      <c r="E540" s="8634" t="s">
        <v>4175</v>
      </c>
      <c r="F540" s="8634" t="s">
        <v>3437</v>
      </c>
      <c r="G540" s="8634" t="s">
        <v>24</v>
      </c>
      <c r="H540" s="8634" t="s">
        <v>24</v>
      </c>
      <c r="I540" s="8634" t="s">
        <v>722</v>
      </c>
    </row>
    <row customHeight="1" ht="11.25">
      <c r="A541" s="8634" t="s">
        <v>2182</v>
      </c>
      <c r="B541" s="8634" t="s">
        <v>14</v>
      </c>
      <c r="C541" s="8634" t="s">
        <v>4176</v>
      </c>
      <c r="D541" s="8634" t="s">
        <v>4177</v>
      </c>
      <c r="E541" s="8634" t="s">
        <v>4178</v>
      </c>
      <c r="F541" s="8634" t="s">
        <v>2460</v>
      </c>
      <c r="G541" s="8634" t="s">
        <v>24</v>
      </c>
      <c r="H541" s="8634" t="s">
        <v>2187</v>
      </c>
      <c r="I541" s="8634" t="s">
        <v>722</v>
      </c>
    </row>
    <row customHeight="1" ht="11.25">
      <c r="A542" s="8634" t="s">
        <v>2182</v>
      </c>
      <c r="B542" s="8634" t="s">
        <v>14</v>
      </c>
      <c r="C542" s="8634" t="s">
        <v>4179</v>
      </c>
      <c r="D542" s="8634" t="s">
        <v>4180</v>
      </c>
      <c r="E542" s="8634" t="s">
        <v>4181</v>
      </c>
      <c r="F542" s="8634" t="s">
        <v>2600</v>
      </c>
      <c r="G542" s="8634" t="s">
        <v>24</v>
      </c>
      <c r="H542" s="8634" t="s">
        <v>2187</v>
      </c>
      <c r="I542" s="8634" t="s">
        <v>722</v>
      </c>
    </row>
    <row customHeight="1" ht="11.25">
      <c r="A543" s="8634" t="s">
        <v>2182</v>
      </c>
      <c r="B543" s="8634" t="s">
        <v>14</v>
      </c>
      <c r="C543" s="8634" t="s">
        <v>4182</v>
      </c>
      <c r="D543" s="8634" t="s">
        <v>4183</v>
      </c>
      <c r="E543" s="8634" t="s">
        <v>3804</v>
      </c>
      <c r="F543" s="8634" t="s">
        <v>2284</v>
      </c>
      <c r="G543" s="8634" t="s">
        <v>24</v>
      </c>
      <c r="H543" s="8634" t="s">
        <v>24</v>
      </c>
      <c r="I543" s="8634" t="s">
        <v>722</v>
      </c>
    </row>
    <row customHeight="1" ht="11.25">
      <c r="A544" s="8634" t="s">
        <v>2182</v>
      </c>
      <c r="B544" s="8634" t="s">
        <v>14</v>
      </c>
      <c r="C544" s="8634" t="s">
        <v>4184</v>
      </c>
      <c r="D544" s="8634" t="s">
        <v>4185</v>
      </c>
      <c r="E544" s="8634" t="s">
        <v>4186</v>
      </c>
      <c r="F544" s="8634" t="s">
        <v>2613</v>
      </c>
      <c r="G544" s="8634" t="s">
        <v>24</v>
      </c>
      <c r="H544" s="8634" t="s">
        <v>24</v>
      </c>
      <c r="I544" s="8634" t="s">
        <v>722</v>
      </c>
    </row>
    <row customHeight="1" ht="11.25">
      <c r="A545" s="8634" t="s">
        <v>2182</v>
      </c>
      <c r="B545" s="8634" t="s">
        <v>14</v>
      </c>
      <c r="C545" s="8634" t="s">
        <v>4187</v>
      </c>
      <c r="D545" s="8634" t="s">
        <v>4188</v>
      </c>
      <c r="E545" s="8634" t="s">
        <v>4189</v>
      </c>
      <c r="F545" s="8634" t="s">
        <v>3437</v>
      </c>
      <c r="G545" s="8634" t="s">
        <v>24</v>
      </c>
      <c r="H545" s="8634" t="s">
        <v>2187</v>
      </c>
      <c r="I545" s="8634" t="s">
        <v>722</v>
      </c>
    </row>
    <row customHeight="1" ht="11.25">
      <c r="A546" s="8634" t="s">
        <v>2182</v>
      </c>
      <c r="B546" s="8634" t="s">
        <v>14</v>
      </c>
      <c r="C546" s="8634" t="s">
        <v>4190</v>
      </c>
      <c r="D546" s="8634" t="s">
        <v>4191</v>
      </c>
      <c r="E546" s="8634" t="s">
        <v>4192</v>
      </c>
      <c r="F546" s="8634" t="s">
        <v>2269</v>
      </c>
      <c r="G546" s="8634" t="s">
        <v>24</v>
      </c>
      <c r="H546" s="8634" t="s">
        <v>2187</v>
      </c>
      <c r="I546" s="8634" t="s">
        <v>722</v>
      </c>
    </row>
    <row customHeight="1" ht="11.25">
      <c r="A547" s="8634" t="s">
        <v>2182</v>
      </c>
      <c r="B547" s="8634" t="s">
        <v>14</v>
      </c>
      <c r="C547" s="8634" t="s">
        <v>4193</v>
      </c>
      <c r="D547" s="8634" t="s">
        <v>4194</v>
      </c>
      <c r="E547" s="8634" t="s">
        <v>4195</v>
      </c>
      <c r="F547" s="8634" t="s">
        <v>2890</v>
      </c>
      <c r="G547" s="8634" t="s">
        <v>24</v>
      </c>
      <c r="H547" s="8634" t="s">
        <v>2993</v>
      </c>
      <c r="I547" s="8634" t="s">
        <v>722</v>
      </c>
    </row>
    <row customHeight="1" ht="11.25">
      <c r="A548" s="8634" t="s">
        <v>2182</v>
      </c>
      <c r="B548" s="8634" t="s">
        <v>14</v>
      </c>
      <c r="C548" s="8634" t="s">
        <v>4196</v>
      </c>
      <c r="D548" s="8634" t="s">
        <v>4197</v>
      </c>
      <c r="E548" s="8634" t="s">
        <v>4198</v>
      </c>
      <c r="F548" s="8634" t="s">
        <v>2890</v>
      </c>
      <c r="G548" s="8634" t="s">
        <v>24</v>
      </c>
      <c r="H548" s="8634" t="s">
        <v>2187</v>
      </c>
      <c r="I548" s="8634" t="s">
        <v>722</v>
      </c>
    </row>
    <row customHeight="1" ht="11.25">
      <c r="A549" s="8634" t="s">
        <v>2182</v>
      </c>
      <c r="B549" s="8634" t="s">
        <v>14</v>
      </c>
      <c r="C549" s="8634" t="s">
        <v>4199</v>
      </c>
      <c r="D549" s="8634" t="s">
        <v>4200</v>
      </c>
      <c r="E549" s="8634" t="s">
        <v>4201</v>
      </c>
      <c r="F549" s="8634" t="s">
        <v>2322</v>
      </c>
      <c r="G549" s="8634" t="s">
        <v>24</v>
      </c>
      <c r="H549" s="8634" t="s">
        <v>2187</v>
      </c>
      <c r="I549" s="8634" t="s">
        <v>722</v>
      </c>
    </row>
    <row customHeight="1" ht="11.25">
      <c r="A550" s="8634" t="s">
        <v>2182</v>
      </c>
      <c r="B550" s="8634" t="s">
        <v>14</v>
      </c>
      <c r="C550" s="8634" t="s">
        <v>4202</v>
      </c>
      <c r="D550" s="8634" t="s">
        <v>4203</v>
      </c>
      <c r="E550" s="8634" t="s">
        <v>4204</v>
      </c>
      <c r="F550" s="8634" t="s">
        <v>4205</v>
      </c>
      <c r="G550" s="8634" t="s">
        <v>4206</v>
      </c>
      <c r="H550" s="8634" t="s">
        <v>2187</v>
      </c>
      <c r="I550" s="8634" t="s">
        <v>722</v>
      </c>
    </row>
    <row customHeight="1" ht="11.25">
      <c r="A551" s="8634" t="s">
        <v>2182</v>
      </c>
      <c r="B551" s="8634" t="s">
        <v>14</v>
      </c>
      <c r="C551" s="8634" t="s">
        <v>4207</v>
      </c>
      <c r="D551" s="8634" t="s">
        <v>4208</v>
      </c>
      <c r="E551" s="8634" t="s">
        <v>4204</v>
      </c>
      <c r="F551" s="8634" t="s">
        <v>2269</v>
      </c>
      <c r="G551" s="8634" t="s">
        <v>4206</v>
      </c>
      <c r="H551" s="8634" t="s">
        <v>24</v>
      </c>
      <c r="I551" s="8634" t="s">
        <v>722</v>
      </c>
    </row>
    <row customHeight="1" ht="11.25">
      <c r="A552" s="8634" t="s">
        <v>2182</v>
      </c>
      <c r="B552" s="8634" t="s">
        <v>14</v>
      </c>
      <c r="C552" s="8634" t="s">
        <v>4209</v>
      </c>
      <c r="D552" s="8634" t="s">
        <v>4210</v>
      </c>
      <c r="E552" s="8634" t="s">
        <v>4211</v>
      </c>
      <c r="F552" s="8634" t="s">
        <v>2438</v>
      </c>
      <c r="G552" s="8634" t="s">
        <v>24</v>
      </c>
      <c r="H552" s="8634" t="s">
        <v>2187</v>
      </c>
      <c r="I552" s="8634" t="s">
        <v>722</v>
      </c>
    </row>
    <row customHeight="1" ht="11.25">
      <c r="A553" s="8634" t="s">
        <v>2182</v>
      </c>
      <c r="B553" s="8634" t="s">
        <v>14</v>
      </c>
      <c r="C553" s="8634" t="s">
        <v>4212</v>
      </c>
      <c r="D553" s="8634" t="s">
        <v>4213</v>
      </c>
      <c r="E553" s="8634" t="s">
        <v>4214</v>
      </c>
      <c r="F553" s="8634" t="s">
        <v>2322</v>
      </c>
      <c r="G553" s="8634" t="s">
        <v>24</v>
      </c>
      <c r="H553" s="8634" t="s">
        <v>2187</v>
      </c>
      <c r="I553" s="8634" t="s">
        <v>722</v>
      </c>
    </row>
    <row customHeight="1" ht="11.25">
      <c r="A554" s="8634" t="s">
        <v>2182</v>
      </c>
      <c r="B554" s="8634" t="s">
        <v>14</v>
      </c>
      <c r="C554" s="8634" t="s">
        <v>4215</v>
      </c>
      <c r="D554" s="8634" t="s">
        <v>4216</v>
      </c>
      <c r="E554" s="8634" t="s">
        <v>4217</v>
      </c>
      <c r="F554" s="8634" t="s">
        <v>2339</v>
      </c>
      <c r="G554" s="8634" t="s">
        <v>4218</v>
      </c>
      <c r="H554" s="8634" t="s">
        <v>24</v>
      </c>
      <c r="I554" s="8634" t="s">
        <v>722</v>
      </c>
    </row>
    <row customHeight="1" ht="11.25">
      <c r="A555" s="8634" t="s">
        <v>2182</v>
      </c>
      <c r="B555" s="8634" t="s">
        <v>14</v>
      </c>
      <c r="C555" s="8634" t="s">
        <v>4219</v>
      </c>
      <c r="D555" s="8634" t="s">
        <v>4220</v>
      </c>
      <c r="E555" s="8634" t="s">
        <v>4221</v>
      </c>
      <c r="F555" s="8634" t="s">
        <v>2322</v>
      </c>
      <c r="G555" s="8634" t="s">
        <v>24</v>
      </c>
      <c r="H555" s="8634" t="s">
        <v>24</v>
      </c>
      <c r="I555" s="8634" t="s">
        <v>722</v>
      </c>
    </row>
    <row customHeight="1" ht="11.25">
      <c r="A556" s="8634" t="s">
        <v>2182</v>
      </c>
      <c r="B556" s="8634" t="s">
        <v>14</v>
      </c>
      <c r="C556" s="8634" t="s">
        <v>4222</v>
      </c>
      <c r="D556" s="8634" t="s">
        <v>4223</v>
      </c>
      <c r="E556" s="8634" t="s">
        <v>4224</v>
      </c>
      <c r="F556" s="8634" t="s">
        <v>2344</v>
      </c>
      <c r="G556" s="8634" t="s">
        <v>24</v>
      </c>
      <c r="H556" s="8634" t="s">
        <v>24</v>
      </c>
      <c r="I556" s="8634" t="s">
        <v>722</v>
      </c>
    </row>
    <row customHeight="1" ht="11.25">
      <c r="A557" s="8634" t="s">
        <v>2182</v>
      </c>
      <c r="B557" s="8634" t="s">
        <v>14</v>
      </c>
      <c r="C557" s="8634" t="s">
        <v>4225</v>
      </c>
      <c r="D557" s="8634" t="s">
        <v>4226</v>
      </c>
      <c r="E557" s="8634" t="s">
        <v>4227</v>
      </c>
      <c r="F557" s="8634" t="s">
        <v>2398</v>
      </c>
      <c r="G557" s="8634" t="s">
        <v>24</v>
      </c>
      <c r="H557" s="8634" t="s">
        <v>2187</v>
      </c>
      <c r="I557" s="8634" t="s">
        <v>722</v>
      </c>
    </row>
    <row customHeight="1" ht="11.25">
      <c r="A558" s="8634" t="s">
        <v>2182</v>
      </c>
      <c r="B558" s="8634" t="s">
        <v>14</v>
      </c>
      <c r="C558" s="8634" t="s">
        <v>4228</v>
      </c>
      <c r="D558" s="8634" t="s">
        <v>4229</v>
      </c>
      <c r="E558" s="8634" t="s">
        <v>4230</v>
      </c>
      <c r="F558" s="8634" t="s">
        <v>2213</v>
      </c>
      <c r="G558" s="8634" t="s">
        <v>24</v>
      </c>
      <c r="H558" s="8634" t="s">
        <v>2187</v>
      </c>
      <c r="I558" s="8634" t="s">
        <v>722</v>
      </c>
    </row>
    <row customHeight="1" ht="11.25">
      <c r="A559" s="8634" t="s">
        <v>2182</v>
      </c>
      <c r="B559" s="8634" t="s">
        <v>14</v>
      </c>
      <c r="C559" s="8634" t="s">
        <v>4231</v>
      </c>
      <c r="D559" s="8634" t="s">
        <v>4232</v>
      </c>
      <c r="E559" s="8634" t="s">
        <v>3956</v>
      </c>
      <c r="F559" s="8634" t="s">
        <v>2438</v>
      </c>
      <c r="G559" s="8634" t="s">
        <v>24</v>
      </c>
      <c r="H559" s="8634" t="s">
        <v>24</v>
      </c>
      <c r="I559" s="8634" t="s">
        <v>722</v>
      </c>
    </row>
    <row customHeight="1" ht="11.25">
      <c r="A560" s="8634" t="s">
        <v>2182</v>
      </c>
      <c r="B560" s="8634" t="s">
        <v>14</v>
      </c>
      <c r="C560" s="8634" t="s">
        <v>4233</v>
      </c>
      <c r="D560" s="8634" t="s">
        <v>4234</v>
      </c>
      <c r="E560" s="8634" t="s">
        <v>4235</v>
      </c>
      <c r="F560" s="8634" t="s">
        <v>2339</v>
      </c>
      <c r="G560" s="8634" t="s">
        <v>24</v>
      </c>
      <c r="H560" s="8634" t="s">
        <v>2187</v>
      </c>
      <c r="I560" s="8634" t="s">
        <v>722</v>
      </c>
    </row>
    <row customHeight="1" ht="11.25">
      <c r="A561" s="8634" t="s">
        <v>2182</v>
      </c>
      <c r="B561" s="8634" t="s">
        <v>14</v>
      </c>
      <c r="C561" s="8634" t="s">
        <v>4236</v>
      </c>
      <c r="D561" s="8634" t="s">
        <v>4237</v>
      </c>
      <c r="E561" s="8634" t="s">
        <v>4238</v>
      </c>
      <c r="F561" s="8634" t="s">
        <v>2389</v>
      </c>
      <c r="G561" s="8634" t="s">
        <v>24</v>
      </c>
      <c r="H561" s="8634" t="s">
        <v>2187</v>
      </c>
      <c r="I561" s="8634" t="s">
        <v>722</v>
      </c>
    </row>
    <row customHeight="1" ht="11.25">
      <c r="A562" s="8634" t="s">
        <v>2182</v>
      </c>
      <c r="B562" s="8634" t="s">
        <v>14</v>
      </c>
      <c r="C562" s="8634" t="s">
        <v>4239</v>
      </c>
      <c r="D562" s="8634" t="s">
        <v>4240</v>
      </c>
      <c r="E562" s="8634" t="s">
        <v>4241</v>
      </c>
      <c r="F562" s="8634" t="s">
        <v>2213</v>
      </c>
      <c r="G562" s="8634" t="s">
        <v>24</v>
      </c>
      <c r="H562" s="8634" t="s">
        <v>2187</v>
      </c>
      <c r="I562" s="8634" t="s">
        <v>722</v>
      </c>
    </row>
    <row customHeight="1" ht="11.25">
      <c r="A563" s="8634" t="s">
        <v>2182</v>
      </c>
      <c r="B563" s="8634" t="s">
        <v>14</v>
      </c>
      <c r="C563" s="8634" t="s">
        <v>4242</v>
      </c>
      <c r="D563" s="8634" t="s">
        <v>4243</v>
      </c>
      <c r="E563" s="8634" t="s">
        <v>4244</v>
      </c>
      <c r="F563" s="8634" t="s">
        <v>2213</v>
      </c>
      <c r="G563" s="8634" t="s">
        <v>24</v>
      </c>
      <c r="H563" s="8634" t="s">
        <v>2187</v>
      </c>
      <c r="I563" s="8634" t="s">
        <v>722</v>
      </c>
    </row>
    <row customHeight="1" ht="11.25">
      <c r="A564" s="8634" t="s">
        <v>2182</v>
      </c>
      <c r="B564" s="8634" t="s">
        <v>14</v>
      </c>
      <c r="C564" s="8634" t="s">
        <v>4245</v>
      </c>
      <c r="D564" s="8634" t="s">
        <v>4246</v>
      </c>
      <c r="E564" s="8634" t="s">
        <v>4247</v>
      </c>
      <c r="F564" s="8634" t="s">
        <v>2438</v>
      </c>
      <c r="G564" s="8634" t="s">
        <v>24</v>
      </c>
      <c r="H564" s="8634" t="s">
        <v>24</v>
      </c>
      <c r="I564" s="8634" t="s">
        <v>722</v>
      </c>
    </row>
    <row customHeight="1" ht="11.25">
      <c r="A565" s="8634" t="s">
        <v>2182</v>
      </c>
      <c r="B565" s="8634" t="s">
        <v>14</v>
      </c>
      <c r="C565" s="8634" t="s">
        <v>4248</v>
      </c>
      <c r="D565" s="8634" t="s">
        <v>4249</v>
      </c>
      <c r="E565" s="8634" t="s">
        <v>4250</v>
      </c>
      <c r="F565" s="8634" t="s">
        <v>2854</v>
      </c>
      <c r="G565" s="8634" t="s">
        <v>24</v>
      </c>
      <c r="H565" s="8634" t="s">
        <v>2187</v>
      </c>
      <c r="I565" s="8634" t="s">
        <v>722</v>
      </c>
    </row>
    <row customHeight="1" ht="11.25">
      <c r="A566" s="8634" t="s">
        <v>2182</v>
      </c>
      <c r="B566" s="8634" t="s">
        <v>14</v>
      </c>
      <c r="C566" s="8634" t="s">
        <v>4251</v>
      </c>
      <c r="D566" s="8634" t="s">
        <v>4252</v>
      </c>
      <c r="E566" s="8634" t="s">
        <v>4253</v>
      </c>
      <c r="F566" s="8634" t="s">
        <v>2398</v>
      </c>
      <c r="G566" s="8634" t="s">
        <v>24</v>
      </c>
      <c r="H566" s="8634" t="s">
        <v>2187</v>
      </c>
      <c r="I566" s="8634" t="s">
        <v>722</v>
      </c>
    </row>
    <row customHeight="1" ht="11.25">
      <c r="A567" s="8634" t="s">
        <v>2182</v>
      </c>
      <c r="B567" s="8634" t="s">
        <v>14</v>
      </c>
      <c r="C567" s="8634" t="s">
        <v>4254</v>
      </c>
      <c r="D567" s="8634" t="s">
        <v>4255</v>
      </c>
      <c r="E567" s="8634" t="s">
        <v>4256</v>
      </c>
      <c r="F567" s="8634" t="s">
        <v>2438</v>
      </c>
      <c r="G567" s="8634" t="s">
        <v>24</v>
      </c>
      <c r="H567" s="8634" t="s">
        <v>2187</v>
      </c>
      <c r="I567" s="8634" t="s">
        <v>722</v>
      </c>
    </row>
    <row customHeight="1" ht="11.25">
      <c r="A568" s="8634" t="s">
        <v>2182</v>
      </c>
      <c r="B568" s="8634" t="s">
        <v>14</v>
      </c>
      <c r="C568" s="8634" t="s">
        <v>4257</v>
      </c>
      <c r="D568" s="8634" t="s">
        <v>4258</v>
      </c>
      <c r="E568" s="8634" t="s">
        <v>4259</v>
      </c>
      <c r="F568" s="8634" t="s">
        <v>2213</v>
      </c>
      <c r="G568" s="8634" t="s">
        <v>24</v>
      </c>
      <c r="H568" s="8634" t="s">
        <v>24</v>
      </c>
      <c r="I568" s="8634" t="s">
        <v>722</v>
      </c>
    </row>
    <row customHeight="1" ht="11.25">
      <c r="A569" s="8634" t="s">
        <v>2182</v>
      </c>
      <c r="B569" s="8634" t="s">
        <v>14</v>
      </c>
      <c r="C569" s="8634" t="s">
        <v>4260</v>
      </c>
      <c r="D569" s="8634" t="s">
        <v>4261</v>
      </c>
      <c r="E569" s="8634" t="s">
        <v>4262</v>
      </c>
      <c r="F569" s="8634" t="s">
        <v>2213</v>
      </c>
      <c r="G569" s="8634" t="s">
        <v>4263</v>
      </c>
      <c r="H569" s="8634" t="s">
        <v>24</v>
      </c>
      <c r="I569" s="8634" t="s">
        <v>722</v>
      </c>
    </row>
    <row customHeight="1" ht="11.25">
      <c r="A570" s="8634" t="s">
        <v>2182</v>
      </c>
      <c r="B570" s="8634" t="s">
        <v>14</v>
      </c>
      <c r="C570" s="8634" t="s">
        <v>4264</v>
      </c>
      <c r="D570" s="8634" t="s">
        <v>4265</v>
      </c>
      <c r="E570" s="8634" t="s">
        <v>4266</v>
      </c>
      <c r="F570" s="8634" t="s">
        <v>2233</v>
      </c>
      <c r="G570" s="8634" t="s">
        <v>24</v>
      </c>
      <c r="H570" s="8634" t="s">
        <v>24</v>
      </c>
      <c r="I570" s="8634" t="s">
        <v>722</v>
      </c>
    </row>
    <row customHeight="1" ht="11.25">
      <c r="A571" s="8634" t="s">
        <v>2182</v>
      </c>
      <c r="B571" s="8634" t="s">
        <v>14</v>
      </c>
      <c r="C571" s="8634" t="s">
        <v>4267</v>
      </c>
      <c r="D571" s="8634" t="s">
        <v>4268</v>
      </c>
      <c r="E571" s="8634" t="s">
        <v>4269</v>
      </c>
      <c r="F571" s="8634" t="s">
        <v>2492</v>
      </c>
      <c r="G571" s="8634" t="s">
        <v>2555</v>
      </c>
      <c r="H571" s="8634" t="s">
        <v>24</v>
      </c>
      <c r="I571" s="8634" t="s">
        <v>722</v>
      </c>
    </row>
    <row customHeight="1" ht="11.25">
      <c r="A572" s="8634" t="s">
        <v>2182</v>
      </c>
      <c r="B572" s="8634" t="s">
        <v>14</v>
      </c>
      <c r="C572" s="8634" t="s">
        <v>4270</v>
      </c>
      <c r="D572" s="8634" t="s">
        <v>4271</v>
      </c>
      <c r="E572" s="8634" t="s">
        <v>4272</v>
      </c>
      <c r="F572" s="8634" t="s">
        <v>2751</v>
      </c>
      <c r="G572" s="8634" t="s">
        <v>4273</v>
      </c>
      <c r="H572" s="8634" t="s">
        <v>24</v>
      </c>
      <c r="I572" s="8634" t="s">
        <v>722</v>
      </c>
    </row>
    <row customHeight="1" ht="11.25">
      <c r="A573" s="8634" t="s">
        <v>2182</v>
      </c>
      <c r="B573" s="8634" t="s">
        <v>14</v>
      </c>
      <c r="C573" s="8634" t="s">
        <v>4274</v>
      </c>
      <c r="D573" s="8634" t="s">
        <v>4275</v>
      </c>
      <c r="E573" s="8634" t="s">
        <v>4276</v>
      </c>
      <c r="F573" s="8634" t="s">
        <v>2512</v>
      </c>
      <c r="G573" s="8634" t="s">
        <v>4277</v>
      </c>
      <c r="H573" s="8634" t="s">
        <v>2187</v>
      </c>
      <c r="I573" s="8634" t="s">
        <v>722</v>
      </c>
    </row>
    <row customHeight="1" ht="11.25">
      <c r="A574" s="8634" t="s">
        <v>2182</v>
      </c>
      <c r="B574" s="8634" t="s">
        <v>14</v>
      </c>
      <c r="C574" s="8634" t="s">
        <v>4278</v>
      </c>
      <c r="D574" s="8634" t="s">
        <v>4279</v>
      </c>
      <c r="E574" s="8634" t="s">
        <v>4280</v>
      </c>
      <c r="F574" s="8634" t="s">
        <v>2245</v>
      </c>
      <c r="G574" s="8634" t="s">
        <v>4281</v>
      </c>
      <c r="H574" s="8634" t="s">
        <v>4282</v>
      </c>
      <c r="I574" s="8634" t="s">
        <v>722</v>
      </c>
    </row>
    <row customHeight="1" ht="11.25">
      <c r="A575" s="8634" t="s">
        <v>2182</v>
      </c>
      <c r="B575" s="8634" t="s">
        <v>14</v>
      </c>
      <c r="C575" s="8634" t="s">
        <v>4283</v>
      </c>
      <c r="D575" s="8634" t="s">
        <v>4279</v>
      </c>
      <c r="E575" s="8634" t="s">
        <v>4284</v>
      </c>
      <c r="F575" s="8634" t="s">
        <v>2245</v>
      </c>
      <c r="G575" s="8634" t="s">
        <v>4285</v>
      </c>
      <c r="H575" s="8634" t="s">
        <v>24</v>
      </c>
      <c r="I575" s="8634" t="s">
        <v>722</v>
      </c>
    </row>
    <row customHeight="1" ht="11.25">
      <c r="A576" s="8634" t="s">
        <v>2182</v>
      </c>
      <c r="B576" s="8634" t="s">
        <v>14</v>
      </c>
      <c r="C576" s="8634" t="s">
        <v>4286</v>
      </c>
      <c r="D576" s="8634" t="s">
        <v>4287</v>
      </c>
      <c r="E576" s="8634" t="s">
        <v>4288</v>
      </c>
      <c r="F576" s="8634" t="s">
        <v>2213</v>
      </c>
      <c r="G576" s="8634" t="s">
        <v>4289</v>
      </c>
      <c r="H576" s="8634" t="s">
        <v>24</v>
      </c>
      <c r="I576" s="8634" t="s">
        <v>722</v>
      </c>
    </row>
    <row customHeight="1" ht="11.25">
      <c r="A577" s="8634" t="s">
        <v>2182</v>
      </c>
      <c r="B577" s="8634" t="s">
        <v>14</v>
      </c>
      <c r="C577" s="8634" t="s">
        <v>4290</v>
      </c>
      <c r="D577" s="8634" t="s">
        <v>4291</v>
      </c>
      <c r="E577" s="8634" t="s">
        <v>4292</v>
      </c>
      <c r="F577" s="8634" t="s">
        <v>2354</v>
      </c>
      <c r="G577" s="8634" t="s">
        <v>24</v>
      </c>
      <c r="H577" s="8634" t="s">
        <v>24</v>
      </c>
      <c r="I577" s="8634" t="s">
        <v>722</v>
      </c>
    </row>
    <row customHeight="1" ht="11.25">
      <c r="A578" s="8634" t="s">
        <v>2182</v>
      </c>
      <c r="B578" s="8634" t="s">
        <v>14</v>
      </c>
      <c r="C578" s="8634" t="s">
        <v>4293</v>
      </c>
      <c r="D578" s="8634" t="s">
        <v>4294</v>
      </c>
      <c r="E578" s="8634" t="s">
        <v>4295</v>
      </c>
      <c r="F578" s="8634" t="s">
        <v>4296</v>
      </c>
      <c r="G578" s="8634" t="s">
        <v>4297</v>
      </c>
      <c r="H578" s="8634" t="s">
        <v>24</v>
      </c>
      <c r="I578" s="8634" t="s">
        <v>722</v>
      </c>
    </row>
    <row customHeight="1" ht="11.25">
      <c r="A579" s="8634" t="s">
        <v>2182</v>
      </c>
      <c r="B579" s="8634" t="s">
        <v>14</v>
      </c>
      <c r="C579" s="8634" t="s">
        <v>4298</v>
      </c>
      <c r="D579" s="8634" t="s">
        <v>4299</v>
      </c>
      <c r="E579" s="8634" t="s">
        <v>4300</v>
      </c>
      <c r="F579" s="8634" t="s">
        <v>2492</v>
      </c>
      <c r="G579" s="8634" t="s">
        <v>4301</v>
      </c>
      <c r="H579" s="8634" t="s">
        <v>24</v>
      </c>
      <c r="I579" s="8634" t="s">
        <v>722</v>
      </c>
    </row>
    <row customHeight="1" ht="11.25">
      <c r="A580" s="8634" t="s">
        <v>2182</v>
      </c>
      <c r="B580" s="8634" t="s">
        <v>14</v>
      </c>
      <c r="C580" s="8634" t="s">
        <v>4302</v>
      </c>
      <c r="D580" s="8634" t="s">
        <v>4303</v>
      </c>
      <c r="E580" s="8634" t="s">
        <v>4304</v>
      </c>
      <c r="F580" s="8634" t="s">
        <v>2274</v>
      </c>
      <c r="G580" s="8634" t="s">
        <v>24</v>
      </c>
      <c r="H580" s="8634" t="s">
        <v>24</v>
      </c>
      <c r="I580" s="8634" t="s">
        <v>722</v>
      </c>
    </row>
    <row customHeight="1" ht="11.25">
      <c r="A581" s="8634" t="s">
        <v>2182</v>
      </c>
      <c r="B581" s="8634" t="s">
        <v>14</v>
      </c>
      <c r="C581" s="8634" t="s">
        <v>4305</v>
      </c>
      <c r="D581" s="8634" t="s">
        <v>4306</v>
      </c>
      <c r="E581" s="8634" t="s">
        <v>4307</v>
      </c>
      <c r="F581" s="8634" t="s">
        <v>2218</v>
      </c>
      <c r="G581" s="8634" t="s">
        <v>4308</v>
      </c>
      <c r="H581" s="8634" t="s">
        <v>24</v>
      </c>
      <c r="I581" s="8634" t="s">
        <v>722</v>
      </c>
    </row>
    <row customHeight="1" ht="11.25">
      <c r="A582" s="8634" t="s">
        <v>2182</v>
      </c>
      <c r="B582" s="8634" t="s">
        <v>14</v>
      </c>
      <c r="C582" s="8634" t="s">
        <v>4309</v>
      </c>
      <c r="D582" s="8634" t="s">
        <v>4310</v>
      </c>
      <c r="E582" s="8634" t="s">
        <v>4311</v>
      </c>
      <c r="F582" s="8634" t="s">
        <v>2477</v>
      </c>
      <c r="G582" s="8634" t="s">
        <v>24</v>
      </c>
      <c r="H582" s="8634" t="s">
        <v>24</v>
      </c>
      <c r="I582" s="8634" t="s">
        <v>722</v>
      </c>
    </row>
    <row customHeight="1" ht="11.25">
      <c r="A583" s="8634" t="s">
        <v>2182</v>
      </c>
      <c r="B583" s="8634" t="s">
        <v>14</v>
      </c>
      <c r="C583" s="8634" t="s">
        <v>4312</v>
      </c>
      <c r="D583" s="8634" t="s">
        <v>4313</v>
      </c>
      <c r="E583" s="8634" t="s">
        <v>4314</v>
      </c>
      <c r="F583" s="8634" t="s">
        <v>4315</v>
      </c>
      <c r="G583" s="8634" t="s">
        <v>24</v>
      </c>
      <c r="H583" s="8634" t="s">
        <v>2187</v>
      </c>
      <c r="I583" s="8634" t="s">
        <v>722</v>
      </c>
    </row>
    <row customHeight="1" ht="11.25">
      <c r="A584" s="8634" t="s">
        <v>2182</v>
      </c>
      <c r="B584" s="8634" t="s">
        <v>14</v>
      </c>
      <c r="C584" s="8634" t="s">
        <v>4316</v>
      </c>
      <c r="D584" s="8634" t="s">
        <v>4317</v>
      </c>
      <c r="E584" s="8634" t="s">
        <v>4318</v>
      </c>
      <c r="F584" s="8634" t="s">
        <v>2854</v>
      </c>
      <c r="G584" s="8634" t="s">
        <v>4319</v>
      </c>
      <c r="H584" s="8634" t="s">
        <v>24</v>
      </c>
      <c r="I584" s="8634" t="s">
        <v>722</v>
      </c>
    </row>
    <row customHeight="1" ht="11.25">
      <c r="A585" s="8634" t="s">
        <v>2182</v>
      </c>
      <c r="B585" s="8634" t="s">
        <v>14</v>
      </c>
      <c r="C585" s="8634" t="s">
        <v>4320</v>
      </c>
      <c r="D585" s="8634" t="s">
        <v>4321</v>
      </c>
      <c r="E585" s="8634" t="s">
        <v>4322</v>
      </c>
      <c r="F585" s="8634" t="s">
        <v>2245</v>
      </c>
      <c r="G585" s="8634" t="s">
        <v>24</v>
      </c>
      <c r="H585" s="8634" t="s">
        <v>24</v>
      </c>
      <c r="I585" s="8634" t="s">
        <v>722</v>
      </c>
    </row>
    <row customHeight="1" ht="11.25">
      <c r="A586" s="8634" t="s">
        <v>2182</v>
      </c>
      <c r="B586" s="8634" t="s">
        <v>14</v>
      </c>
      <c r="C586" s="8634" t="s">
        <v>4323</v>
      </c>
      <c r="D586" s="8634" t="s">
        <v>4324</v>
      </c>
      <c r="E586" s="8634" t="s">
        <v>4325</v>
      </c>
      <c r="F586" s="8634" t="s">
        <v>2349</v>
      </c>
      <c r="G586" s="8634" t="s">
        <v>24</v>
      </c>
      <c r="H586" s="8634" t="s">
        <v>24</v>
      </c>
      <c r="I586" s="8634" t="s">
        <v>722</v>
      </c>
    </row>
    <row customHeight="1" ht="11.25">
      <c r="A587" s="8634" t="s">
        <v>2182</v>
      </c>
      <c r="B587" s="8634" t="s">
        <v>14</v>
      </c>
      <c r="C587" s="8634" t="s">
        <v>4326</v>
      </c>
      <c r="D587" s="8634" t="s">
        <v>4327</v>
      </c>
      <c r="E587" s="8634" t="s">
        <v>4328</v>
      </c>
      <c r="F587" s="8634" t="s">
        <v>2233</v>
      </c>
      <c r="G587" s="8634" t="s">
        <v>2368</v>
      </c>
      <c r="H587" s="8634" t="s">
        <v>24</v>
      </c>
      <c r="I587" s="8634" t="s">
        <v>722</v>
      </c>
    </row>
    <row customHeight="1" ht="11.25">
      <c r="A588" s="8634" t="s">
        <v>2182</v>
      </c>
      <c r="B588" s="8634" t="s">
        <v>14</v>
      </c>
      <c r="C588" s="8634" t="s">
        <v>4329</v>
      </c>
      <c r="D588" s="8634" t="s">
        <v>4327</v>
      </c>
      <c r="E588" s="8634" t="s">
        <v>4330</v>
      </c>
      <c r="F588" s="8634" t="s">
        <v>2228</v>
      </c>
      <c r="G588" s="8634" t="s">
        <v>24</v>
      </c>
      <c r="H588" s="8634" t="s">
        <v>24</v>
      </c>
      <c r="I588" s="8634" t="s">
        <v>722</v>
      </c>
    </row>
    <row customHeight="1" ht="11.25">
      <c r="A589" s="8634" t="s">
        <v>2182</v>
      </c>
      <c r="B589" s="8634" t="s">
        <v>14</v>
      </c>
      <c r="C589" s="8634" t="s">
        <v>4331</v>
      </c>
      <c r="D589" s="8634" t="s">
        <v>4327</v>
      </c>
      <c r="E589" s="8634" t="s">
        <v>4330</v>
      </c>
      <c r="F589" s="8634" t="s">
        <v>4332</v>
      </c>
      <c r="G589" s="8634" t="s">
        <v>4333</v>
      </c>
      <c r="H589" s="8634" t="s">
        <v>24</v>
      </c>
      <c r="I589" s="8634" t="s">
        <v>722</v>
      </c>
    </row>
    <row customHeight="1" ht="11.25">
      <c r="A590" s="8634" t="s">
        <v>2182</v>
      </c>
      <c r="B590" s="8634" t="s">
        <v>14</v>
      </c>
      <c r="C590" s="8634" t="s">
        <v>4334</v>
      </c>
      <c r="D590" s="8634" t="s">
        <v>4335</v>
      </c>
      <c r="E590" s="8634" t="s">
        <v>4336</v>
      </c>
      <c r="F590" s="8634" t="s">
        <v>2228</v>
      </c>
      <c r="G590" s="8634" t="s">
        <v>4337</v>
      </c>
      <c r="H590" s="8634" t="s">
        <v>24</v>
      </c>
      <c r="I590" s="8634" t="s">
        <v>722</v>
      </c>
    </row>
    <row customHeight="1" ht="11.25">
      <c r="A591" s="8634" t="s">
        <v>2182</v>
      </c>
      <c r="B591" s="8634" t="s">
        <v>14</v>
      </c>
      <c r="C591" s="8634" t="s">
        <v>4338</v>
      </c>
      <c r="D591" s="8634" t="s">
        <v>4339</v>
      </c>
      <c r="E591" s="8634" t="s">
        <v>4340</v>
      </c>
      <c r="F591" s="8634" t="s">
        <v>2233</v>
      </c>
      <c r="G591" s="8634" t="s">
        <v>4341</v>
      </c>
      <c r="H591" s="8634" t="s">
        <v>24</v>
      </c>
      <c r="I591" s="8634" t="s">
        <v>722</v>
      </c>
    </row>
    <row customHeight="1" ht="11.25">
      <c r="A592" s="8634" t="s">
        <v>2182</v>
      </c>
      <c r="B592" s="8634" t="s">
        <v>14</v>
      </c>
      <c r="C592" s="8634" t="s">
        <v>4342</v>
      </c>
      <c r="D592" s="8634" t="s">
        <v>4343</v>
      </c>
      <c r="E592" s="8634" t="s">
        <v>4344</v>
      </c>
      <c r="F592" s="8634" t="s">
        <v>2250</v>
      </c>
      <c r="G592" s="8634" t="s">
        <v>4345</v>
      </c>
      <c r="H592" s="8634" t="s">
        <v>24</v>
      </c>
      <c r="I592" s="8634" t="s">
        <v>722</v>
      </c>
    </row>
    <row customHeight="1" ht="11.25">
      <c r="A593" s="8634" t="s">
        <v>2182</v>
      </c>
      <c r="B593" s="8634" t="s">
        <v>14</v>
      </c>
      <c r="C593" s="8634" t="s">
        <v>4346</v>
      </c>
      <c r="D593" s="8634" t="s">
        <v>4347</v>
      </c>
      <c r="E593" s="8634" t="s">
        <v>4348</v>
      </c>
      <c r="F593" s="8634" t="s">
        <v>2213</v>
      </c>
      <c r="G593" s="8634" t="s">
        <v>24</v>
      </c>
      <c r="H593" s="8634" t="s">
        <v>24</v>
      </c>
      <c r="I593" s="8634" t="s">
        <v>722</v>
      </c>
    </row>
    <row customHeight="1" ht="11.25">
      <c r="A594" s="8634" t="s">
        <v>2182</v>
      </c>
      <c r="B594" s="8634" t="s">
        <v>14</v>
      </c>
      <c r="C594" s="8634" t="s">
        <v>4349</v>
      </c>
      <c r="D594" s="8634" t="s">
        <v>4350</v>
      </c>
      <c r="E594" s="8634" t="s">
        <v>4351</v>
      </c>
      <c r="F594" s="8634" t="s">
        <v>4352</v>
      </c>
      <c r="G594" s="8634" t="s">
        <v>24</v>
      </c>
      <c r="H594" s="8634" t="s">
        <v>2187</v>
      </c>
      <c r="I594" s="8634" t="s">
        <v>722</v>
      </c>
    </row>
    <row customHeight="1" ht="11.25">
      <c r="A595" s="8634" t="s">
        <v>2182</v>
      </c>
      <c r="B595" s="8634" t="s">
        <v>14</v>
      </c>
      <c r="C595" s="8634" t="s">
        <v>4353</v>
      </c>
      <c r="D595" s="8634" t="s">
        <v>4354</v>
      </c>
      <c r="E595" s="8634" t="s">
        <v>4355</v>
      </c>
      <c r="F595" s="8634" t="s">
        <v>2233</v>
      </c>
      <c r="G595" s="8634" t="s">
        <v>24</v>
      </c>
      <c r="H595" s="8634" t="s">
        <v>24</v>
      </c>
      <c r="I595" s="8634" t="s">
        <v>722</v>
      </c>
    </row>
    <row customHeight="1" ht="11.25">
      <c r="A596" s="8634" t="s">
        <v>2182</v>
      </c>
      <c r="B596" s="8634" t="s">
        <v>14</v>
      </c>
      <c r="C596" s="8634" t="s">
        <v>4356</v>
      </c>
      <c r="D596" s="8634" t="s">
        <v>4357</v>
      </c>
      <c r="E596" s="8634" t="s">
        <v>4358</v>
      </c>
      <c r="F596" s="8634" t="s">
        <v>4359</v>
      </c>
      <c r="G596" s="8634" t="s">
        <v>4360</v>
      </c>
      <c r="H596" s="8634" t="s">
        <v>24</v>
      </c>
      <c r="I596" s="8634" t="s">
        <v>722</v>
      </c>
    </row>
    <row customHeight="1" ht="11.25">
      <c r="A597" s="8634" t="s">
        <v>2182</v>
      </c>
      <c r="B597" s="8634" t="s">
        <v>14</v>
      </c>
      <c r="C597" s="8634" t="s">
        <v>4361</v>
      </c>
      <c r="D597" s="8634" t="s">
        <v>4362</v>
      </c>
      <c r="E597" s="8634" t="s">
        <v>4363</v>
      </c>
      <c r="F597" s="8634" t="s">
        <v>2233</v>
      </c>
      <c r="G597" s="8634" t="s">
        <v>24</v>
      </c>
      <c r="H597" s="8634" t="s">
        <v>2187</v>
      </c>
      <c r="I597" s="8634" t="s">
        <v>722</v>
      </c>
    </row>
    <row customHeight="1" ht="11.25">
      <c r="A598" s="8634" t="s">
        <v>2182</v>
      </c>
      <c r="B598" s="8634" t="s">
        <v>14</v>
      </c>
      <c r="C598" s="8634" t="s">
        <v>4364</v>
      </c>
      <c r="D598" s="8634" t="s">
        <v>4365</v>
      </c>
      <c r="E598" s="8634" t="s">
        <v>4366</v>
      </c>
      <c r="F598" s="8634" t="s">
        <v>2411</v>
      </c>
      <c r="G598" s="8634" t="s">
        <v>24</v>
      </c>
      <c r="H598" s="8634" t="s">
        <v>2187</v>
      </c>
      <c r="I598" s="8634" t="s">
        <v>722</v>
      </c>
    </row>
    <row customHeight="1" ht="11.25">
      <c r="A599" s="8634" t="s">
        <v>2182</v>
      </c>
      <c r="B599" s="8634" t="s">
        <v>14</v>
      </c>
      <c r="C599" s="8634" t="s">
        <v>4367</v>
      </c>
      <c r="D599" s="8634" t="s">
        <v>4368</v>
      </c>
      <c r="E599" s="8634" t="s">
        <v>4369</v>
      </c>
      <c r="F599" s="8634" t="s">
        <v>2344</v>
      </c>
      <c r="G599" s="8634" t="s">
        <v>24</v>
      </c>
      <c r="H599" s="8634" t="s">
        <v>24</v>
      </c>
      <c r="I599" s="8634" t="s">
        <v>722</v>
      </c>
    </row>
    <row customHeight="1" ht="11.25">
      <c r="A600" s="8634" t="s">
        <v>2182</v>
      </c>
      <c r="B600" s="8634" t="s">
        <v>14</v>
      </c>
      <c r="C600" s="8634" t="s">
        <v>4370</v>
      </c>
      <c r="D600" s="8634" t="s">
        <v>4371</v>
      </c>
      <c r="E600" s="8634" t="s">
        <v>4372</v>
      </c>
      <c r="F600" s="8634" t="s">
        <v>2696</v>
      </c>
      <c r="G600" s="8634" t="s">
        <v>4373</v>
      </c>
      <c r="H600" s="8634" t="s">
        <v>2187</v>
      </c>
      <c r="I600" s="8634" t="s">
        <v>722</v>
      </c>
    </row>
    <row customHeight="1" ht="11.25">
      <c r="A601" s="8634" t="s">
        <v>2182</v>
      </c>
      <c r="B601" s="8634" t="s">
        <v>14</v>
      </c>
      <c r="C601" s="8634" t="s">
        <v>4374</v>
      </c>
      <c r="D601" s="8634" t="s">
        <v>4375</v>
      </c>
      <c r="E601" s="8634" t="s">
        <v>4376</v>
      </c>
      <c r="F601" s="8634" t="s">
        <v>2600</v>
      </c>
      <c r="G601" s="8634" t="s">
        <v>24</v>
      </c>
      <c r="H601" s="8634" t="s">
        <v>2187</v>
      </c>
      <c r="I601" s="8634" t="s">
        <v>722</v>
      </c>
    </row>
    <row customHeight="1" ht="11.25">
      <c r="A602" s="8634" t="s">
        <v>2182</v>
      </c>
      <c r="B602" s="8634" t="s">
        <v>14</v>
      </c>
      <c r="C602" s="8634" t="s">
        <v>4377</v>
      </c>
      <c r="D602" s="8634" t="s">
        <v>4378</v>
      </c>
      <c r="E602" s="8634" t="s">
        <v>4379</v>
      </c>
      <c r="F602" s="8634" t="s">
        <v>2477</v>
      </c>
      <c r="G602" s="8634" t="s">
        <v>24</v>
      </c>
      <c r="H602" s="8634" t="s">
        <v>4380</v>
      </c>
      <c r="I602" s="8634" t="s">
        <v>722</v>
      </c>
    </row>
    <row customHeight="1" ht="11.25">
      <c r="A603" s="8634" t="s">
        <v>2182</v>
      </c>
      <c r="B603" s="8634" t="s">
        <v>14</v>
      </c>
      <c r="C603" s="8634" t="s">
        <v>4381</v>
      </c>
      <c r="D603" s="8634" t="s">
        <v>4382</v>
      </c>
      <c r="E603" s="8634" t="s">
        <v>4383</v>
      </c>
      <c r="F603" s="8634" t="s">
        <v>2300</v>
      </c>
      <c r="G603" s="8634" t="s">
        <v>24</v>
      </c>
      <c r="H603" s="8634" t="s">
        <v>24</v>
      </c>
      <c r="I603" s="8634" t="s">
        <v>722</v>
      </c>
    </row>
    <row customHeight="1" ht="11.25">
      <c r="A604" s="8634" t="s">
        <v>2182</v>
      </c>
      <c r="B604" s="8634" t="s">
        <v>14</v>
      </c>
      <c r="C604" s="8634" t="s">
        <v>4384</v>
      </c>
      <c r="D604" s="8634" t="s">
        <v>4385</v>
      </c>
      <c r="E604" s="8634" t="s">
        <v>4386</v>
      </c>
      <c r="F604" s="8634" t="s">
        <v>2250</v>
      </c>
      <c r="G604" s="8634" t="s">
        <v>24</v>
      </c>
      <c r="H604" s="8634" t="s">
        <v>24</v>
      </c>
      <c r="I604" s="8634" t="s">
        <v>722</v>
      </c>
    </row>
    <row customHeight="1" ht="11.25">
      <c r="A605" s="8634" t="s">
        <v>2182</v>
      </c>
      <c r="B605" s="8634" t="s">
        <v>14</v>
      </c>
      <c r="C605" s="8634" t="s">
        <v>4387</v>
      </c>
      <c r="D605" s="8634" t="s">
        <v>4388</v>
      </c>
      <c r="E605" s="8634" t="s">
        <v>4389</v>
      </c>
      <c r="F605" s="8634" t="s">
        <v>4390</v>
      </c>
      <c r="G605" s="8634" t="s">
        <v>24</v>
      </c>
      <c r="H605" s="8634" t="s">
        <v>24</v>
      </c>
      <c r="I605" s="8634" t="s">
        <v>722</v>
      </c>
    </row>
    <row customHeight="1" ht="11.25">
      <c r="A606" s="8634" t="s">
        <v>2182</v>
      </c>
      <c r="B606" s="8634" t="s">
        <v>14</v>
      </c>
      <c r="C606" s="8634" t="s">
        <v>4391</v>
      </c>
      <c r="D606" s="8634" t="s">
        <v>4392</v>
      </c>
      <c r="E606" s="8634" t="s">
        <v>4393</v>
      </c>
      <c r="F606" s="8634" t="s">
        <v>2322</v>
      </c>
      <c r="G606" s="8634" t="s">
        <v>24</v>
      </c>
      <c r="H606" s="8634" t="s">
        <v>2187</v>
      </c>
      <c r="I606" s="8634" t="s">
        <v>722</v>
      </c>
    </row>
    <row customHeight="1" ht="11.25">
      <c r="A607" s="8634" t="s">
        <v>2182</v>
      </c>
      <c r="B607" s="8634" t="s">
        <v>14</v>
      </c>
      <c r="C607" s="8634" t="s">
        <v>4394</v>
      </c>
      <c r="D607" s="8634" t="s">
        <v>4392</v>
      </c>
      <c r="E607" s="8634" t="s">
        <v>4395</v>
      </c>
      <c r="F607" s="8634" t="s">
        <v>2186</v>
      </c>
      <c r="G607" s="8634" t="s">
        <v>4396</v>
      </c>
      <c r="H607" s="8634" t="s">
        <v>24</v>
      </c>
      <c r="I607" s="8634" t="s">
        <v>722</v>
      </c>
    </row>
    <row customHeight="1" ht="11.25">
      <c r="A608" s="8634" t="s">
        <v>2182</v>
      </c>
      <c r="B608" s="8634" t="s">
        <v>14</v>
      </c>
      <c r="C608" s="8634" t="s">
        <v>4397</v>
      </c>
      <c r="D608" s="8634" t="s">
        <v>4398</v>
      </c>
      <c r="E608" s="8634" t="s">
        <v>4399</v>
      </c>
      <c r="F608" s="8634" t="s">
        <v>2447</v>
      </c>
      <c r="G608" s="8634" t="s">
        <v>24</v>
      </c>
      <c r="H608" s="8634" t="s">
        <v>24</v>
      </c>
      <c r="I608" s="8634" t="s">
        <v>722</v>
      </c>
    </row>
    <row customHeight="1" ht="11.25">
      <c r="A609" s="8634" t="s">
        <v>2182</v>
      </c>
      <c r="B609" s="8634" t="s">
        <v>14</v>
      </c>
      <c r="C609" s="8634" t="s">
        <v>4400</v>
      </c>
      <c r="D609" s="8634" t="s">
        <v>4401</v>
      </c>
      <c r="E609" s="8634" t="s">
        <v>4402</v>
      </c>
      <c r="F609" s="8634" t="s">
        <v>2284</v>
      </c>
      <c r="G609" s="8634" t="s">
        <v>24</v>
      </c>
      <c r="H609" s="8634" t="s">
        <v>2187</v>
      </c>
      <c r="I609" s="8634" t="s">
        <v>722</v>
      </c>
    </row>
    <row customHeight="1" ht="11.25">
      <c r="A610" s="8634" t="s">
        <v>2182</v>
      </c>
      <c r="B610" s="8634" t="s">
        <v>14</v>
      </c>
      <c r="C610" s="8634" t="s">
        <v>4403</v>
      </c>
      <c r="D610" s="8634" t="s">
        <v>4404</v>
      </c>
      <c r="E610" s="8634" t="s">
        <v>4405</v>
      </c>
      <c r="F610" s="8634" t="s">
        <v>2613</v>
      </c>
      <c r="G610" s="8634" t="s">
        <v>4406</v>
      </c>
      <c r="H610" s="8634" t="s">
        <v>2187</v>
      </c>
      <c r="I610" s="8634" t="s">
        <v>722</v>
      </c>
    </row>
    <row customHeight="1" ht="11.25">
      <c r="A611" s="8634" t="s">
        <v>2182</v>
      </c>
      <c r="B611" s="8634" t="s">
        <v>14</v>
      </c>
      <c r="C611" s="8634" t="s">
        <v>4407</v>
      </c>
      <c r="D611" s="8634" t="s">
        <v>4408</v>
      </c>
      <c r="E611" s="8634" t="s">
        <v>4409</v>
      </c>
      <c r="F611" s="8634" t="s">
        <v>2339</v>
      </c>
      <c r="G611" s="8634" t="s">
        <v>4410</v>
      </c>
      <c r="H611" s="8634" t="s">
        <v>24</v>
      </c>
      <c r="I611" s="8634" t="s">
        <v>722</v>
      </c>
    </row>
    <row customHeight="1" ht="11.25">
      <c r="A612" s="8634" t="s">
        <v>2182</v>
      </c>
      <c r="B612" s="8634" t="s">
        <v>14</v>
      </c>
      <c r="C612" s="8634" t="s">
        <v>4411</v>
      </c>
      <c r="D612" s="8634" t="s">
        <v>4412</v>
      </c>
      <c r="E612" s="8634" t="s">
        <v>4413</v>
      </c>
      <c r="F612" s="8634" t="s">
        <v>4414</v>
      </c>
      <c r="G612" s="8634" t="s">
        <v>24</v>
      </c>
      <c r="H612" s="8634" t="s">
        <v>24</v>
      </c>
      <c r="I612" s="8634" t="s">
        <v>722</v>
      </c>
    </row>
    <row customHeight="1" ht="11.25">
      <c r="A613" s="8634" t="s">
        <v>2182</v>
      </c>
      <c r="B613" s="8634" t="s">
        <v>14</v>
      </c>
      <c r="C613" s="8634" t="s">
        <v>4415</v>
      </c>
      <c r="D613" s="8634" t="s">
        <v>4416</v>
      </c>
      <c r="E613" s="8634" t="s">
        <v>4417</v>
      </c>
      <c r="F613" s="8634" t="s">
        <v>2218</v>
      </c>
      <c r="G613" s="8634" t="s">
        <v>24</v>
      </c>
      <c r="H613" s="8634" t="s">
        <v>24</v>
      </c>
      <c r="I613" s="8634" t="s">
        <v>722</v>
      </c>
    </row>
    <row customHeight="1" ht="11.25">
      <c r="A614" s="8634" t="s">
        <v>2182</v>
      </c>
      <c r="B614" s="8634" t="s">
        <v>14</v>
      </c>
      <c r="C614" s="8634" t="s">
        <v>4418</v>
      </c>
      <c r="D614" s="8634" t="s">
        <v>4419</v>
      </c>
      <c r="E614" s="8634" t="s">
        <v>4420</v>
      </c>
      <c r="F614" s="8634" t="s">
        <v>2394</v>
      </c>
      <c r="G614" s="8634" t="s">
        <v>4421</v>
      </c>
      <c r="H614" s="8634" t="s">
        <v>24</v>
      </c>
      <c r="I614" s="8634" t="s">
        <v>722</v>
      </c>
    </row>
    <row customHeight="1" ht="11.25">
      <c r="A615" s="8634" t="s">
        <v>2182</v>
      </c>
      <c r="B615" s="8634" t="s">
        <v>14</v>
      </c>
      <c r="C615" s="8634" t="s">
        <v>4422</v>
      </c>
      <c r="D615" s="8634" t="s">
        <v>4423</v>
      </c>
      <c r="E615" s="8634" t="s">
        <v>4424</v>
      </c>
      <c r="F615" s="8634" t="s">
        <v>2269</v>
      </c>
      <c r="G615" s="8634" t="s">
        <v>4425</v>
      </c>
      <c r="H615" s="8634" t="s">
        <v>24</v>
      </c>
      <c r="I615" s="8634" t="s">
        <v>722</v>
      </c>
    </row>
    <row customHeight="1" ht="11.25">
      <c r="A616" s="8634" t="s">
        <v>2182</v>
      </c>
      <c r="B616" s="8634" t="s">
        <v>14</v>
      </c>
      <c r="C616" s="8634" t="s">
        <v>4426</v>
      </c>
      <c r="D616" s="8634" t="s">
        <v>4427</v>
      </c>
      <c r="E616" s="8634" t="s">
        <v>4428</v>
      </c>
      <c r="F616" s="8634" t="s">
        <v>2976</v>
      </c>
      <c r="G616" s="8634" t="s">
        <v>24</v>
      </c>
      <c r="H616" s="8634" t="s">
        <v>2187</v>
      </c>
      <c r="I616" s="8634" t="s">
        <v>722</v>
      </c>
    </row>
    <row customHeight="1" ht="11.25">
      <c r="A617" s="8634" t="s">
        <v>2182</v>
      </c>
      <c r="B617" s="8634" t="s">
        <v>14</v>
      </c>
      <c r="C617" s="8634" t="s">
        <v>4429</v>
      </c>
      <c r="D617" s="8634" t="s">
        <v>4430</v>
      </c>
      <c r="E617" s="8634" t="s">
        <v>4431</v>
      </c>
      <c r="F617" s="8634" t="s">
        <v>2344</v>
      </c>
      <c r="G617" s="8634" t="s">
        <v>24</v>
      </c>
      <c r="H617" s="8634" t="s">
        <v>2187</v>
      </c>
      <c r="I617" s="8634" t="s">
        <v>722</v>
      </c>
    </row>
    <row customHeight="1" ht="11.25">
      <c r="A618" s="8634" t="s">
        <v>2182</v>
      </c>
      <c r="B618" s="8634" t="s">
        <v>14</v>
      </c>
      <c r="C618" s="8634" t="s">
        <v>4432</v>
      </c>
      <c r="D618" s="8634" t="s">
        <v>4433</v>
      </c>
      <c r="E618" s="8634" t="s">
        <v>4434</v>
      </c>
      <c r="F618" s="8634" t="s">
        <v>2233</v>
      </c>
      <c r="G618" s="8634" t="s">
        <v>24</v>
      </c>
      <c r="H618" s="8634" t="s">
        <v>24</v>
      </c>
      <c r="I618" s="8634" t="s">
        <v>722</v>
      </c>
    </row>
    <row customHeight="1" ht="11.25">
      <c r="A619" s="8634" t="s">
        <v>2182</v>
      </c>
      <c r="B619" s="8634" t="s">
        <v>14</v>
      </c>
      <c r="C619" s="8634" t="s">
        <v>4435</v>
      </c>
      <c r="D619" s="8634" t="s">
        <v>4436</v>
      </c>
      <c r="E619" s="8634" t="s">
        <v>4437</v>
      </c>
      <c r="F619" s="8634" t="s">
        <v>2233</v>
      </c>
      <c r="G619" s="8634" t="s">
        <v>4438</v>
      </c>
      <c r="H619" s="8634" t="s">
        <v>24</v>
      </c>
      <c r="I619" s="8634" t="s">
        <v>722</v>
      </c>
    </row>
    <row customHeight="1" ht="11.25">
      <c r="A620" s="8634" t="s">
        <v>2182</v>
      </c>
      <c r="B620" s="8634" t="s">
        <v>14</v>
      </c>
      <c r="C620" s="8634" t="s">
        <v>4439</v>
      </c>
      <c r="D620" s="8634" t="s">
        <v>4440</v>
      </c>
      <c r="E620" s="8634" t="s">
        <v>4441</v>
      </c>
      <c r="F620" s="8634" t="s">
        <v>2460</v>
      </c>
      <c r="G620" s="8634" t="s">
        <v>4442</v>
      </c>
      <c r="H620" s="8634" t="s">
        <v>24</v>
      </c>
      <c r="I620" s="8634" t="s">
        <v>722</v>
      </c>
    </row>
    <row customHeight="1" ht="11.25">
      <c r="A621" s="8634" t="s">
        <v>2182</v>
      </c>
      <c r="B621" s="8634" t="s">
        <v>14</v>
      </c>
      <c r="C621" s="8634" t="s">
        <v>4443</v>
      </c>
      <c r="D621" s="8634" t="s">
        <v>4444</v>
      </c>
      <c r="E621" s="8634" t="s">
        <v>4445</v>
      </c>
      <c r="F621" s="8634" t="s">
        <v>4446</v>
      </c>
      <c r="G621" s="8634" t="s">
        <v>4447</v>
      </c>
      <c r="H621" s="8634" t="s">
        <v>2187</v>
      </c>
      <c r="I621" s="8634" t="s">
        <v>722</v>
      </c>
    </row>
    <row customHeight="1" ht="11.25">
      <c r="A622" s="8634" t="s">
        <v>2182</v>
      </c>
      <c r="B622" s="8634" t="s">
        <v>14</v>
      </c>
      <c r="C622" s="8634" t="s">
        <v>4448</v>
      </c>
      <c r="D622" s="8634" t="s">
        <v>4449</v>
      </c>
      <c r="E622" s="8634" t="s">
        <v>4450</v>
      </c>
      <c r="F622" s="8634" t="s">
        <v>2245</v>
      </c>
      <c r="G622" s="8634" t="s">
        <v>24</v>
      </c>
      <c r="H622" s="8634" t="s">
        <v>24</v>
      </c>
      <c r="I622" s="8634" t="s">
        <v>722</v>
      </c>
    </row>
    <row customHeight="1" ht="11.25">
      <c r="A623" s="8634" t="s">
        <v>2182</v>
      </c>
      <c r="B623" s="8634" t="s">
        <v>14</v>
      </c>
      <c r="C623" s="8634" t="s">
        <v>4451</v>
      </c>
      <c r="D623" s="8634" t="s">
        <v>4452</v>
      </c>
      <c r="E623" s="8634" t="s">
        <v>4453</v>
      </c>
      <c r="F623" s="8634" t="s">
        <v>2344</v>
      </c>
      <c r="G623" s="8634" t="s">
        <v>3142</v>
      </c>
      <c r="H623" s="8634" t="s">
        <v>24</v>
      </c>
      <c r="I623" s="8634" t="s">
        <v>722</v>
      </c>
    </row>
    <row customHeight="1" ht="11.25">
      <c r="A624" s="8634" t="s">
        <v>2182</v>
      </c>
      <c r="B624" s="8634" t="s">
        <v>14</v>
      </c>
      <c r="C624" s="8634" t="s">
        <v>4454</v>
      </c>
      <c r="D624" s="8634" t="s">
        <v>4455</v>
      </c>
      <c r="E624" s="8634" t="s">
        <v>4456</v>
      </c>
      <c r="F624" s="8634" t="s">
        <v>2600</v>
      </c>
      <c r="G624" s="8634" t="s">
        <v>24</v>
      </c>
      <c r="H624" s="8634" t="s">
        <v>24</v>
      </c>
      <c r="I624" s="8634" t="s">
        <v>722</v>
      </c>
    </row>
    <row customHeight="1" ht="11.25">
      <c r="A625" s="8634" t="s">
        <v>2182</v>
      </c>
      <c r="B625" s="8634" t="s">
        <v>14</v>
      </c>
      <c r="C625" s="8634" t="s">
        <v>4457</v>
      </c>
      <c r="D625" s="8634" t="s">
        <v>4458</v>
      </c>
      <c r="E625" s="8634" t="s">
        <v>4459</v>
      </c>
      <c r="F625" s="8634" t="s">
        <v>2398</v>
      </c>
      <c r="G625" s="8634" t="s">
        <v>24</v>
      </c>
      <c r="H625" s="8634" t="s">
        <v>2187</v>
      </c>
      <c r="I625" s="8634" t="s">
        <v>722</v>
      </c>
    </row>
    <row customHeight="1" ht="11.25">
      <c r="A626" s="8634" t="s">
        <v>2182</v>
      </c>
      <c r="B626" s="8634" t="s">
        <v>14</v>
      </c>
      <c r="C626" s="8634" t="s">
        <v>4460</v>
      </c>
      <c r="D626" s="8634" t="s">
        <v>4461</v>
      </c>
      <c r="E626" s="8634" t="s">
        <v>4462</v>
      </c>
      <c r="F626" s="8634" t="s">
        <v>2322</v>
      </c>
      <c r="G626" s="8634" t="s">
        <v>24</v>
      </c>
      <c r="H626" s="8634" t="s">
        <v>2400</v>
      </c>
      <c r="I626" s="8634" t="s">
        <v>722</v>
      </c>
    </row>
    <row customHeight="1" ht="11.25">
      <c r="A627" s="8634" t="s">
        <v>2182</v>
      </c>
      <c r="B627" s="8634" t="s">
        <v>14</v>
      </c>
      <c r="C627" s="8634" t="s">
        <v>4463</v>
      </c>
      <c r="D627" s="8634" t="s">
        <v>4464</v>
      </c>
      <c r="E627" s="8634" t="s">
        <v>4465</v>
      </c>
      <c r="F627" s="8634" t="s">
        <v>2363</v>
      </c>
      <c r="G627" s="8634" t="s">
        <v>4466</v>
      </c>
      <c r="H627" s="8634" t="s">
        <v>2870</v>
      </c>
      <c r="I627" s="8634" t="s">
        <v>722</v>
      </c>
    </row>
    <row customHeight="1" ht="11.25">
      <c r="A628" s="8634" t="s">
        <v>2182</v>
      </c>
      <c r="B628" s="8634" t="s">
        <v>14</v>
      </c>
      <c r="C628" s="8634" t="s">
        <v>4467</v>
      </c>
      <c r="D628" s="8634" t="s">
        <v>4464</v>
      </c>
      <c r="E628" s="8634" t="s">
        <v>4468</v>
      </c>
      <c r="F628" s="8634" t="s">
        <v>2363</v>
      </c>
      <c r="G628" s="8634" t="s">
        <v>24</v>
      </c>
      <c r="H628" s="8634" t="s">
        <v>24</v>
      </c>
      <c r="I628" s="8634" t="s">
        <v>722</v>
      </c>
    </row>
    <row customHeight="1" ht="11.25">
      <c r="A629" s="8634" t="s">
        <v>2182</v>
      </c>
      <c r="B629" s="8634" t="s">
        <v>14</v>
      </c>
      <c r="C629" s="8634" t="s">
        <v>4469</v>
      </c>
      <c r="D629" s="8634" t="s">
        <v>4470</v>
      </c>
      <c r="E629" s="8634" t="s">
        <v>4471</v>
      </c>
      <c r="F629" s="8634" t="s">
        <v>2245</v>
      </c>
      <c r="G629" s="8634" t="s">
        <v>4472</v>
      </c>
      <c r="H629" s="8634" t="s">
        <v>24</v>
      </c>
      <c r="I629" s="8634" t="s">
        <v>722</v>
      </c>
    </row>
    <row customHeight="1" ht="11.25">
      <c r="A630" s="8634" t="s">
        <v>2182</v>
      </c>
      <c r="B630" s="8634" t="s">
        <v>14</v>
      </c>
      <c r="C630" s="8634" t="s">
        <v>4473</v>
      </c>
      <c r="D630" s="8634" t="s">
        <v>4474</v>
      </c>
      <c r="E630" s="8634" t="s">
        <v>4475</v>
      </c>
      <c r="F630" s="8634" t="s">
        <v>2344</v>
      </c>
      <c r="G630" s="8634" t="s">
        <v>4476</v>
      </c>
      <c r="H630" s="8634" t="s">
        <v>24</v>
      </c>
      <c r="I630" s="8634" t="s">
        <v>722</v>
      </c>
    </row>
    <row customHeight="1" ht="11.25">
      <c r="A631" s="8634" t="s">
        <v>2182</v>
      </c>
      <c r="B631" s="8634" t="s">
        <v>14</v>
      </c>
      <c r="C631" s="8634" t="s">
        <v>4477</v>
      </c>
      <c r="D631" s="8634" t="s">
        <v>4478</v>
      </c>
      <c r="E631" s="8634" t="s">
        <v>4479</v>
      </c>
      <c r="F631" s="8634" t="s">
        <v>3437</v>
      </c>
      <c r="G631" s="8634" t="s">
        <v>4480</v>
      </c>
      <c r="H631" s="8634" t="s">
        <v>24</v>
      </c>
      <c r="I631" s="8634" t="s">
        <v>722</v>
      </c>
    </row>
    <row customHeight="1" ht="11.25">
      <c r="A632" s="8634" t="s">
        <v>2182</v>
      </c>
      <c r="B632" s="8634" t="s">
        <v>14</v>
      </c>
      <c r="C632" s="8634" t="s">
        <v>4481</v>
      </c>
      <c r="D632" s="8634" t="s">
        <v>4482</v>
      </c>
      <c r="E632" s="8634" t="s">
        <v>4483</v>
      </c>
      <c r="F632" s="8634" t="s">
        <v>2339</v>
      </c>
      <c r="G632" s="8634" t="s">
        <v>24</v>
      </c>
      <c r="H632" s="8634" t="s">
        <v>2187</v>
      </c>
      <c r="I632" s="8634" t="s">
        <v>722</v>
      </c>
    </row>
    <row customHeight="1" ht="11.25">
      <c r="A633" s="8634" t="s">
        <v>2182</v>
      </c>
      <c r="B633" s="8634" t="s">
        <v>14</v>
      </c>
      <c r="C633" s="8634" t="s">
        <v>4484</v>
      </c>
      <c r="D633" s="8634" t="s">
        <v>4485</v>
      </c>
      <c r="E633" s="8634" t="s">
        <v>4486</v>
      </c>
      <c r="F633" s="8634" t="s">
        <v>2832</v>
      </c>
      <c r="G633" s="8634" t="s">
        <v>24</v>
      </c>
      <c r="H633" s="8634" t="s">
        <v>2187</v>
      </c>
      <c r="I633" s="8634" t="s">
        <v>722</v>
      </c>
    </row>
    <row customHeight="1" ht="11.25">
      <c r="A634" s="8634" t="s">
        <v>2182</v>
      </c>
      <c r="B634" s="8634" t="s">
        <v>14</v>
      </c>
      <c r="C634" s="8634" t="s">
        <v>4487</v>
      </c>
      <c r="D634" s="8634" t="s">
        <v>4488</v>
      </c>
      <c r="E634" s="8634" t="s">
        <v>4489</v>
      </c>
      <c r="F634" s="8634" t="s">
        <v>4490</v>
      </c>
      <c r="G634" s="8634" t="s">
        <v>4491</v>
      </c>
      <c r="H634" s="8634" t="s">
        <v>24</v>
      </c>
      <c r="I634" s="8634" t="s">
        <v>722</v>
      </c>
    </row>
    <row customHeight="1" ht="11.25">
      <c r="A635" s="8634" t="s">
        <v>2182</v>
      </c>
      <c r="B635" s="8634" t="s">
        <v>14</v>
      </c>
      <c r="C635" s="8634" t="s">
        <v>4492</v>
      </c>
      <c r="D635" s="8634" t="s">
        <v>4493</v>
      </c>
      <c r="E635" s="8634" t="s">
        <v>4494</v>
      </c>
      <c r="F635" s="8634" t="s">
        <v>2339</v>
      </c>
      <c r="G635" s="8634" t="s">
        <v>4495</v>
      </c>
      <c r="H635" s="8634" t="s">
        <v>24</v>
      </c>
      <c r="I635" s="8634" t="s">
        <v>722</v>
      </c>
    </row>
    <row customHeight="1" ht="11.25">
      <c r="A636" s="8634" t="s">
        <v>2182</v>
      </c>
      <c r="B636" s="8634" t="s">
        <v>14</v>
      </c>
      <c r="C636" s="8634" t="s">
        <v>4496</v>
      </c>
      <c r="D636" s="8634" t="s">
        <v>4497</v>
      </c>
      <c r="E636" s="8634" t="s">
        <v>4498</v>
      </c>
      <c r="F636" s="8634" t="s">
        <v>2349</v>
      </c>
      <c r="G636" s="8634" t="s">
        <v>24</v>
      </c>
      <c r="H636" s="8634" t="s">
        <v>24</v>
      </c>
      <c r="I636" s="8634" t="s">
        <v>722</v>
      </c>
    </row>
    <row customHeight="1" ht="11.25">
      <c r="A637" s="8634" t="s">
        <v>2182</v>
      </c>
      <c r="B637" s="8634" t="s">
        <v>14</v>
      </c>
      <c r="C637" s="8634" t="s">
        <v>4499</v>
      </c>
      <c r="D637" s="8634" t="s">
        <v>4500</v>
      </c>
      <c r="E637" s="8634" t="s">
        <v>4501</v>
      </c>
      <c r="F637" s="8634" t="s">
        <v>2213</v>
      </c>
      <c r="G637" s="8634" t="s">
        <v>4502</v>
      </c>
      <c r="H637" s="8634" t="s">
        <v>24</v>
      </c>
      <c r="I637" s="8634" t="s">
        <v>722</v>
      </c>
    </row>
    <row customHeight="1" ht="11.25">
      <c r="A638" s="8634" t="s">
        <v>2182</v>
      </c>
      <c r="B638" s="8634" t="s">
        <v>14</v>
      </c>
      <c r="C638" s="8634" t="s">
        <v>4503</v>
      </c>
      <c r="D638" s="8634" t="s">
        <v>4504</v>
      </c>
      <c r="E638" s="8634" t="s">
        <v>4505</v>
      </c>
      <c r="F638" s="8634" t="s">
        <v>2213</v>
      </c>
      <c r="G638" s="8634" t="s">
        <v>24</v>
      </c>
      <c r="H638" s="8634" t="s">
        <v>2187</v>
      </c>
      <c r="I638" s="8634" t="s">
        <v>722</v>
      </c>
    </row>
    <row customHeight="1" ht="11.25">
      <c r="A639" s="8634" t="s">
        <v>2182</v>
      </c>
      <c r="B639" s="8634" t="s">
        <v>14</v>
      </c>
      <c r="C639" s="8634" t="s">
        <v>4506</v>
      </c>
      <c r="D639" s="8634" t="s">
        <v>4507</v>
      </c>
      <c r="E639" s="8634" t="s">
        <v>4508</v>
      </c>
      <c r="F639" s="8634" t="s">
        <v>2344</v>
      </c>
      <c r="G639" s="8634" t="s">
        <v>24</v>
      </c>
      <c r="H639" s="8634" t="s">
        <v>2187</v>
      </c>
      <c r="I639" s="8634" t="s">
        <v>722</v>
      </c>
    </row>
    <row customHeight="1" ht="11.25">
      <c r="A640" s="8634" t="s">
        <v>2182</v>
      </c>
      <c r="B640" s="8634" t="s">
        <v>14</v>
      </c>
      <c r="C640" s="8634" t="s">
        <v>4509</v>
      </c>
      <c r="D640" s="8634" t="s">
        <v>4510</v>
      </c>
      <c r="E640" s="8634" t="s">
        <v>4511</v>
      </c>
      <c r="F640" s="8634" t="s">
        <v>4512</v>
      </c>
      <c r="G640" s="8634" t="s">
        <v>4360</v>
      </c>
      <c r="H640" s="8634" t="s">
        <v>24</v>
      </c>
      <c r="I640" s="8634" t="s">
        <v>722</v>
      </c>
    </row>
    <row customHeight="1" ht="11.25">
      <c r="A641" s="8634" t="s">
        <v>2182</v>
      </c>
      <c r="B641" s="8634" t="s">
        <v>14</v>
      </c>
      <c r="C641" s="8634" t="s">
        <v>4513</v>
      </c>
      <c r="D641" s="8634" t="s">
        <v>4514</v>
      </c>
      <c r="E641" s="8634" t="s">
        <v>4515</v>
      </c>
      <c r="F641" s="8634" t="s">
        <v>2626</v>
      </c>
      <c r="G641" s="8634" t="s">
        <v>24</v>
      </c>
      <c r="H641" s="8634" t="s">
        <v>2187</v>
      </c>
      <c r="I641" s="8634" t="s">
        <v>722</v>
      </c>
    </row>
    <row customHeight="1" ht="11.25">
      <c r="A642" s="8634" t="s">
        <v>2182</v>
      </c>
      <c r="B642" s="8634" t="s">
        <v>14</v>
      </c>
      <c r="C642" s="8634" t="s">
        <v>4516</v>
      </c>
      <c r="D642" s="8634" t="s">
        <v>4517</v>
      </c>
      <c r="E642" s="8634" t="s">
        <v>4518</v>
      </c>
      <c r="F642" s="8634" t="s">
        <v>2626</v>
      </c>
      <c r="G642" s="8634" t="s">
        <v>24</v>
      </c>
      <c r="H642" s="8634" t="s">
        <v>24</v>
      </c>
      <c r="I642" s="8634" t="s">
        <v>722</v>
      </c>
    </row>
    <row customHeight="1" ht="11.25">
      <c r="A643" s="8634" t="s">
        <v>2182</v>
      </c>
      <c r="B643" s="8634" t="s">
        <v>14</v>
      </c>
      <c r="C643" s="8634" t="s">
        <v>4519</v>
      </c>
      <c r="D643" s="8634" t="s">
        <v>4520</v>
      </c>
      <c r="E643" s="8634" t="s">
        <v>4521</v>
      </c>
      <c r="F643" s="8634" t="s">
        <v>2626</v>
      </c>
      <c r="G643" s="8634" t="s">
        <v>4522</v>
      </c>
      <c r="H643" s="8634" t="s">
        <v>24</v>
      </c>
      <c r="I643" s="8634" t="s">
        <v>722</v>
      </c>
    </row>
    <row customHeight="1" ht="11.25">
      <c r="A644" s="8634" t="s">
        <v>2182</v>
      </c>
      <c r="B644" s="8634" t="s">
        <v>14</v>
      </c>
      <c r="C644" s="8634" t="s">
        <v>4523</v>
      </c>
      <c r="D644" s="8634" t="s">
        <v>4524</v>
      </c>
      <c r="E644" s="8634" t="s">
        <v>4525</v>
      </c>
      <c r="F644" s="8634" t="s">
        <v>2411</v>
      </c>
      <c r="G644" s="8634" t="s">
        <v>24</v>
      </c>
      <c r="H644" s="8634" t="s">
        <v>3222</v>
      </c>
      <c r="I644" s="8634" t="s">
        <v>722</v>
      </c>
    </row>
    <row customHeight="1" ht="11.25">
      <c r="A645" s="8634" t="s">
        <v>2182</v>
      </c>
      <c r="B645" s="8634" t="s">
        <v>14</v>
      </c>
      <c r="C645" s="8634" t="s">
        <v>4526</v>
      </c>
      <c r="D645" s="8634" t="s">
        <v>4527</v>
      </c>
      <c r="E645" s="8634" t="s">
        <v>4528</v>
      </c>
      <c r="F645" s="8634" t="s">
        <v>2477</v>
      </c>
      <c r="G645" s="8634" t="s">
        <v>24</v>
      </c>
      <c r="H645" s="8634" t="s">
        <v>24</v>
      </c>
      <c r="I645" s="8634" t="s">
        <v>722</v>
      </c>
    </row>
    <row customHeight="1" ht="11.25">
      <c r="A646" s="8634" t="s">
        <v>2182</v>
      </c>
      <c r="B646" s="8634" t="s">
        <v>14</v>
      </c>
      <c r="C646" s="8634" t="s">
        <v>4529</v>
      </c>
      <c r="D646" s="8634" t="s">
        <v>4530</v>
      </c>
      <c r="E646" s="8634" t="s">
        <v>4531</v>
      </c>
      <c r="F646" s="8634" t="s">
        <v>2411</v>
      </c>
      <c r="G646" s="8634" t="s">
        <v>4532</v>
      </c>
      <c r="H646" s="8634" t="s">
        <v>24</v>
      </c>
      <c r="I646" s="8634" t="s">
        <v>722</v>
      </c>
    </row>
    <row customHeight="1" ht="11.25">
      <c r="A647" s="8634" t="s">
        <v>2182</v>
      </c>
      <c r="B647" s="8634" t="s">
        <v>14</v>
      </c>
      <c r="C647" s="8634" t="s">
        <v>4533</v>
      </c>
      <c r="D647" s="8634" t="s">
        <v>4534</v>
      </c>
      <c r="E647" s="8634" t="s">
        <v>4535</v>
      </c>
      <c r="F647" s="8634" t="s">
        <v>2376</v>
      </c>
      <c r="G647" s="8634" t="s">
        <v>24</v>
      </c>
      <c r="H647" s="8634" t="s">
        <v>24</v>
      </c>
      <c r="I647" s="8634" t="s">
        <v>722</v>
      </c>
    </row>
    <row customHeight="1" ht="11.25">
      <c r="A648" s="8634" t="s">
        <v>2182</v>
      </c>
      <c r="B648" s="8634" t="s">
        <v>14</v>
      </c>
      <c r="C648" s="8634" t="s">
        <v>4536</v>
      </c>
      <c r="D648" s="8634" t="s">
        <v>4537</v>
      </c>
      <c r="E648" s="8634" t="s">
        <v>4538</v>
      </c>
      <c r="F648" s="8634" t="s">
        <v>2349</v>
      </c>
      <c r="G648" s="8634" t="s">
        <v>24</v>
      </c>
      <c r="H648" s="8634" t="s">
        <v>24</v>
      </c>
      <c r="I648" s="8634" t="s">
        <v>722</v>
      </c>
    </row>
    <row customHeight="1" ht="11.25">
      <c r="A649" s="8634" t="s">
        <v>2182</v>
      </c>
      <c r="B649" s="8634" t="s">
        <v>14</v>
      </c>
      <c r="C649" s="8634" t="s">
        <v>4539</v>
      </c>
      <c r="D649" s="8634" t="s">
        <v>4540</v>
      </c>
      <c r="E649" s="8634" t="s">
        <v>4541</v>
      </c>
      <c r="F649" s="8634" t="s">
        <v>2460</v>
      </c>
      <c r="G649" s="8634" t="s">
        <v>24</v>
      </c>
      <c r="H649" s="8634" t="s">
        <v>24</v>
      </c>
      <c r="I649" s="8634" t="s">
        <v>722</v>
      </c>
    </row>
    <row customHeight="1" ht="11.25">
      <c r="A650" s="8634" t="s">
        <v>2182</v>
      </c>
      <c r="B650" s="8634" t="s">
        <v>14</v>
      </c>
      <c r="C650" s="8634" t="s">
        <v>4542</v>
      </c>
      <c r="D650" s="8634" t="s">
        <v>4543</v>
      </c>
      <c r="E650" s="8634" t="s">
        <v>4544</v>
      </c>
      <c r="F650" s="8634" t="s">
        <v>2213</v>
      </c>
      <c r="G650" s="8634" t="s">
        <v>4545</v>
      </c>
      <c r="H650" s="8634" t="s">
        <v>24</v>
      </c>
      <c r="I650" s="8634" t="s">
        <v>722</v>
      </c>
    </row>
    <row customHeight="1" ht="11.25">
      <c r="A651" s="8634" t="s">
        <v>2182</v>
      </c>
      <c r="B651" s="8634" t="s">
        <v>14</v>
      </c>
      <c r="C651" s="8634" t="s">
        <v>4546</v>
      </c>
      <c r="D651" s="8634" t="s">
        <v>4547</v>
      </c>
      <c r="E651" s="8634" t="s">
        <v>4548</v>
      </c>
      <c r="F651" s="8634" t="s">
        <v>2389</v>
      </c>
      <c r="G651" s="8634" t="s">
        <v>4549</v>
      </c>
      <c r="H651" s="8634" t="s">
        <v>24</v>
      </c>
      <c r="I651" s="8634" t="s">
        <v>722</v>
      </c>
    </row>
    <row customHeight="1" ht="11.25">
      <c r="A652" s="8634" t="s">
        <v>2182</v>
      </c>
      <c r="B652" s="8634" t="s">
        <v>14</v>
      </c>
      <c r="C652" s="8634" t="s">
        <v>4550</v>
      </c>
      <c r="D652" s="8634" t="s">
        <v>4551</v>
      </c>
      <c r="E652" s="8634" t="s">
        <v>4552</v>
      </c>
      <c r="F652" s="8634" t="s">
        <v>2447</v>
      </c>
      <c r="G652" s="8634" t="s">
        <v>24</v>
      </c>
      <c r="H652" s="8634" t="s">
        <v>2187</v>
      </c>
      <c r="I652" s="8634" t="s">
        <v>722</v>
      </c>
    </row>
    <row customHeight="1" ht="11.25">
      <c r="A653" s="8634" t="s">
        <v>2182</v>
      </c>
      <c r="B653" s="8634" t="s">
        <v>14</v>
      </c>
      <c r="C653" s="8634" t="s">
        <v>4553</v>
      </c>
      <c r="D653" s="8634" t="s">
        <v>4554</v>
      </c>
      <c r="E653" s="8634" t="s">
        <v>4555</v>
      </c>
      <c r="F653" s="8634" t="s">
        <v>2447</v>
      </c>
      <c r="G653" s="8634" t="s">
        <v>4556</v>
      </c>
      <c r="H653" s="8634" t="s">
        <v>24</v>
      </c>
      <c r="I653" s="8634" t="s">
        <v>722</v>
      </c>
    </row>
    <row customHeight="1" ht="11.25">
      <c r="A654" s="8634" t="s">
        <v>2182</v>
      </c>
      <c r="B654" s="8634" t="s">
        <v>14</v>
      </c>
      <c r="C654" s="8634" t="s">
        <v>4557</v>
      </c>
      <c r="D654" s="8634" t="s">
        <v>4558</v>
      </c>
      <c r="E654" s="8634" t="s">
        <v>4559</v>
      </c>
      <c r="F654" s="8634" t="s">
        <v>2218</v>
      </c>
      <c r="G654" s="8634" t="s">
        <v>24</v>
      </c>
      <c r="H654" s="8634" t="s">
        <v>2187</v>
      </c>
      <c r="I654" s="8634" t="s">
        <v>722</v>
      </c>
    </row>
    <row customHeight="1" ht="11.25">
      <c r="A655" s="8634" t="s">
        <v>2182</v>
      </c>
      <c r="B655" s="8634" t="s">
        <v>14</v>
      </c>
      <c r="C655" s="8634" t="s">
        <v>4560</v>
      </c>
      <c r="D655" s="8634" t="s">
        <v>4561</v>
      </c>
      <c r="E655" s="8634" t="s">
        <v>4562</v>
      </c>
      <c r="F655" s="8634" t="s">
        <v>2339</v>
      </c>
      <c r="G655" s="8634" t="s">
        <v>4563</v>
      </c>
      <c r="H655" s="8634" t="s">
        <v>24</v>
      </c>
      <c r="I655" s="8634" t="s">
        <v>722</v>
      </c>
    </row>
    <row customHeight="1" ht="11.25">
      <c r="A656" s="8634" t="s">
        <v>2182</v>
      </c>
      <c r="B656" s="8634" t="s">
        <v>14</v>
      </c>
      <c r="C656" s="8634" t="s">
        <v>4564</v>
      </c>
      <c r="D656" s="8634" t="s">
        <v>4565</v>
      </c>
      <c r="E656" s="8634" t="s">
        <v>4566</v>
      </c>
      <c r="F656" s="8634" t="s">
        <v>4090</v>
      </c>
      <c r="G656" s="8634" t="s">
        <v>24</v>
      </c>
      <c r="H656" s="8634" t="s">
        <v>2993</v>
      </c>
      <c r="I656" s="8634" t="s">
        <v>722</v>
      </c>
    </row>
    <row customHeight="1" ht="11.25">
      <c r="A657" s="8634" t="s">
        <v>2182</v>
      </c>
      <c r="B657" s="8634" t="s">
        <v>14</v>
      </c>
      <c r="C657" s="8634" t="s">
        <v>4567</v>
      </c>
      <c r="D657" s="8634" t="s">
        <v>4568</v>
      </c>
      <c r="E657" s="8634" t="s">
        <v>4569</v>
      </c>
      <c r="F657" s="8634" t="s">
        <v>4570</v>
      </c>
      <c r="G657" s="8634" t="s">
        <v>24</v>
      </c>
      <c r="H657" s="8634" t="s">
        <v>24</v>
      </c>
      <c r="I657" s="8634" t="s">
        <v>722</v>
      </c>
    </row>
    <row customHeight="1" ht="11.25">
      <c r="A658" s="8634" t="s">
        <v>2182</v>
      </c>
      <c r="B658" s="8634" t="s">
        <v>14</v>
      </c>
      <c r="C658" s="8634" t="s">
        <v>4571</v>
      </c>
      <c r="D658" s="8634" t="s">
        <v>4572</v>
      </c>
      <c r="E658" s="8634" t="s">
        <v>4573</v>
      </c>
      <c r="F658" s="8634" t="s">
        <v>2788</v>
      </c>
      <c r="G658" s="8634" t="s">
        <v>24</v>
      </c>
      <c r="H658" s="8634" t="s">
        <v>24</v>
      </c>
      <c r="I658" s="8634" t="s">
        <v>722</v>
      </c>
    </row>
    <row customHeight="1" ht="11.25">
      <c r="A659" s="8634" t="s">
        <v>2182</v>
      </c>
      <c r="B659" s="8634" t="s">
        <v>14</v>
      </c>
      <c r="C659" s="8634" t="s">
        <v>4574</v>
      </c>
      <c r="D659" s="8634" t="s">
        <v>4575</v>
      </c>
      <c r="E659" s="8634" t="s">
        <v>4576</v>
      </c>
      <c r="F659" s="8634" t="s">
        <v>2411</v>
      </c>
      <c r="G659" s="8634" t="s">
        <v>24</v>
      </c>
      <c r="H659" s="8634" t="s">
        <v>24</v>
      </c>
      <c r="I659" s="8634" t="s">
        <v>722</v>
      </c>
    </row>
    <row customHeight="1" ht="11.25">
      <c r="A660" s="8634" t="s">
        <v>2182</v>
      </c>
      <c r="B660" s="8634" t="s">
        <v>14</v>
      </c>
      <c r="C660" s="8634" t="s">
        <v>4577</v>
      </c>
      <c r="D660" s="8634" t="s">
        <v>4578</v>
      </c>
      <c r="E660" s="8634" t="s">
        <v>4579</v>
      </c>
      <c r="F660" s="8634" t="s">
        <v>2563</v>
      </c>
      <c r="G660" s="8634" t="s">
        <v>24</v>
      </c>
      <c r="H660" s="8634" t="s">
        <v>3093</v>
      </c>
      <c r="I660" s="8634" t="s">
        <v>722</v>
      </c>
    </row>
    <row customHeight="1" ht="11.25">
      <c r="A661" s="8634" t="s">
        <v>2182</v>
      </c>
      <c r="B661" s="8634" t="s">
        <v>14</v>
      </c>
      <c r="C661" s="8634" t="s">
        <v>4580</v>
      </c>
      <c r="D661" s="8634" t="s">
        <v>4581</v>
      </c>
      <c r="E661" s="8634" t="s">
        <v>4582</v>
      </c>
      <c r="F661" s="8634" t="s">
        <v>2339</v>
      </c>
      <c r="G661" s="8634" t="s">
        <v>4583</v>
      </c>
      <c r="H661" s="8634" t="s">
        <v>24</v>
      </c>
      <c r="I661" s="8634" t="s">
        <v>722</v>
      </c>
    </row>
    <row customHeight="1" ht="11.25">
      <c r="A662" s="8634" t="s">
        <v>2182</v>
      </c>
      <c r="B662" s="8634" t="s">
        <v>14</v>
      </c>
      <c r="C662" s="8634" t="s">
        <v>4584</v>
      </c>
      <c r="D662" s="8634" t="s">
        <v>4585</v>
      </c>
      <c r="E662" s="8634" t="s">
        <v>4586</v>
      </c>
      <c r="F662" s="8634" t="s">
        <v>2600</v>
      </c>
      <c r="G662" s="8634" t="s">
        <v>4587</v>
      </c>
      <c r="H662" s="8634" t="s">
        <v>24</v>
      </c>
      <c r="I662" s="8634" t="s">
        <v>722</v>
      </c>
    </row>
    <row customHeight="1" ht="11.25">
      <c r="A663" s="8634" t="s">
        <v>2182</v>
      </c>
      <c r="B663" s="8634" t="s">
        <v>14</v>
      </c>
      <c r="C663" s="8634" t="s">
        <v>4588</v>
      </c>
      <c r="D663" s="8634" t="s">
        <v>4589</v>
      </c>
      <c r="E663" s="8634" t="s">
        <v>4590</v>
      </c>
      <c r="F663" s="8634" t="s">
        <v>2218</v>
      </c>
      <c r="G663" s="8634" t="s">
        <v>4591</v>
      </c>
      <c r="H663" s="8634" t="s">
        <v>2400</v>
      </c>
      <c r="I663" s="8634" t="s">
        <v>722</v>
      </c>
    </row>
    <row customHeight="1" ht="11.25">
      <c r="A664" s="8634" t="s">
        <v>2182</v>
      </c>
      <c r="B664" s="8634" t="s">
        <v>14</v>
      </c>
      <c r="C664" s="8634" t="s">
        <v>4592</v>
      </c>
      <c r="D664" s="8634" t="s">
        <v>4593</v>
      </c>
      <c r="E664" s="8634" t="s">
        <v>4594</v>
      </c>
      <c r="F664" s="8634" t="s">
        <v>2339</v>
      </c>
      <c r="G664" s="8634" t="s">
        <v>4595</v>
      </c>
      <c r="H664" s="8634" t="s">
        <v>24</v>
      </c>
      <c r="I664" s="8634" t="s">
        <v>722</v>
      </c>
    </row>
    <row customHeight="1" ht="11.25">
      <c r="A665" s="8634" t="s">
        <v>2182</v>
      </c>
      <c r="B665" s="8634" t="s">
        <v>14</v>
      </c>
      <c r="C665" s="8634" t="s">
        <v>4596</v>
      </c>
      <c r="D665" s="8634" t="s">
        <v>4597</v>
      </c>
      <c r="E665" s="8634" t="s">
        <v>4598</v>
      </c>
      <c r="F665" s="8634" t="s">
        <v>2322</v>
      </c>
      <c r="G665" s="8634" t="s">
        <v>4599</v>
      </c>
      <c r="H665" s="8634" t="s">
        <v>24</v>
      </c>
      <c r="I665" s="8634" t="s">
        <v>722</v>
      </c>
    </row>
    <row customHeight="1" ht="11.25">
      <c r="A666" s="8634" t="s">
        <v>2182</v>
      </c>
      <c r="B666" s="8634" t="s">
        <v>14</v>
      </c>
      <c r="C666" s="8634" t="s">
        <v>4600</v>
      </c>
      <c r="D666" s="8634" t="s">
        <v>4601</v>
      </c>
      <c r="E666" s="8634" t="s">
        <v>4602</v>
      </c>
      <c r="F666" s="8634" t="s">
        <v>2438</v>
      </c>
      <c r="G666" s="8634" t="s">
        <v>24</v>
      </c>
      <c r="H666" s="8634" t="s">
        <v>2187</v>
      </c>
      <c r="I666" s="8634" t="s">
        <v>722</v>
      </c>
    </row>
    <row customHeight="1" ht="11.25">
      <c r="A667" s="8634" t="s">
        <v>2182</v>
      </c>
      <c r="B667" s="8634" t="s">
        <v>14</v>
      </c>
      <c r="C667" s="8634" t="s">
        <v>4603</v>
      </c>
      <c r="D667" s="8634" t="s">
        <v>4604</v>
      </c>
      <c r="E667" s="8634" t="s">
        <v>4605</v>
      </c>
      <c r="F667" s="8634" t="s">
        <v>2600</v>
      </c>
      <c r="G667" s="8634" t="s">
        <v>4606</v>
      </c>
      <c r="H667" s="8634" t="s">
        <v>24</v>
      </c>
      <c r="I667" s="8634" t="s">
        <v>722</v>
      </c>
    </row>
    <row customHeight="1" ht="11.25">
      <c r="A668" s="8634" t="s">
        <v>2182</v>
      </c>
      <c r="B668" s="8634" t="s">
        <v>14</v>
      </c>
      <c r="C668" s="8634" t="s">
        <v>4607</v>
      </c>
      <c r="D668" s="8634" t="s">
        <v>4608</v>
      </c>
      <c r="E668" s="8634" t="s">
        <v>4609</v>
      </c>
      <c r="F668" s="8634" t="s">
        <v>2218</v>
      </c>
      <c r="G668" s="8634" t="s">
        <v>24</v>
      </c>
      <c r="H668" s="8634" t="s">
        <v>24</v>
      </c>
      <c r="I668" s="8634" t="s">
        <v>722</v>
      </c>
    </row>
    <row customHeight="1" ht="11.25">
      <c r="A669" s="8634" t="s">
        <v>2182</v>
      </c>
      <c r="B669" s="8634" t="s">
        <v>14</v>
      </c>
      <c r="C669" s="8634" t="s">
        <v>4610</v>
      </c>
      <c r="D669" s="8634" t="s">
        <v>4611</v>
      </c>
      <c r="E669" s="8634" t="s">
        <v>4612</v>
      </c>
      <c r="F669" s="8634" t="s">
        <v>2213</v>
      </c>
      <c r="G669" s="8634" t="s">
        <v>4613</v>
      </c>
      <c r="H669" s="8634" t="s">
        <v>24</v>
      </c>
      <c r="I669" s="8634" t="s">
        <v>722</v>
      </c>
    </row>
    <row customHeight="1" ht="11.25">
      <c r="A670" s="8634" t="s">
        <v>2182</v>
      </c>
      <c r="B670" s="8634" t="s">
        <v>14</v>
      </c>
      <c r="C670" s="8634" t="s">
        <v>4614</v>
      </c>
      <c r="D670" s="8634" t="s">
        <v>4615</v>
      </c>
      <c r="E670" s="8634" t="s">
        <v>4616</v>
      </c>
      <c r="F670" s="8634" t="s">
        <v>2213</v>
      </c>
      <c r="G670" s="8634" t="s">
        <v>4617</v>
      </c>
      <c r="H670" s="8634" t="s">
        <v>24</v>
      </c>
      <c r="I670" s="8634" t="s">
        <v>722</v>
      </c>
    </row>
    <row customHeight="1" ht="11.25">
      <c r="A671" s="8634" t="s">
        <v>2182</v>
      </c>
      <c r="B671" s="8634" t="s">
        <v>14</v>
      </c>
      <c r="C671" s="8634" t="s">
        <v>4618</v>
      </c>
      <c r="D671" s="8634" t="s">
        <v>4619</v>
      </c>
      <c r="E671" s="8634" t="s">
        <v>4620</v>
      </c>
      <c r="F671" s="8634" t="s">
        <v>2279</v>
      </c>
      <c r="G671" s="8634" t="s">
        <v>24</v>
      </c>
      <c r="H671" s="8634" t="s">
        <v>2993</v>
      </c>
      <c r="I671" s="8634" t="s">
        <v>722</v>
      </c>
    </row>
    <row customHeight="1" ht="11.25">
      <c r="A672" s="8634" t="s">
        <v>2182</v>
      </c>
      <c r="B672" s="8634" t="s">
        <v>14</v>
      </c>
      <c r="C672" s="8634" t="s">
        <v>4621</v>
      </c>
      <c r="D672" s="8634" t="s">
        <v>4622</v>
      </c>
      <c r="E672" s="8634" t="s">
        <v>4623</v>
      </c>
      <c r="F672" s="8634" t="s">
        <v>2322</v>
      </c>
      <c r="G672" s="8634" t="s">
        <v>4624</v>
      </c>
      <c r="H672" s="8634" t="s">
        <v>24</v>
      </c>
      <c r="I672" s="8634" t="s">
        <v>722</v>
      </c>
    </row>
    <row customHeight="1" ht="11.25">
      <c r="A673" s="8634" t="s">
        <v>2182</v>
      </c>
      <c r="B673" s="8634" t="s">
        <v>14</v>
      </c>
      <c r="C673" s="8634" t="s">
        <v>4625</v>
      </c>
      <c r="D673" s="8634" t="s">
        <v>4626</v>
      </c>
      <c r="E673" s="8634" t="s">
        <v>4627</v>
      </c>
      <c r="F673" s="8634" t="s">
        <v>2245</v>
      </c>
      <c r="G673" s="8634" t="s">
        <v>4628</v>
      </c>
      <c r="H673" s="8634" t="s">
        <v>24</v>
      </c>
      <c r="I673" s="8634" t="s">
        <v>722</v>
      </c>
    </row>
    <row customHeight="1" ht="11.25">
      <c r="A674" s="8634" t="s">
        <v>2182</v>
      </c>
      <c r="B674" s="8634" t="s">
        <v>14</v>
      </c>
      <c r="C674" s="8634" t="s">
        <v>4629</v>
      </c>
      <c r="D674" s="8634" t="s">
        <v>4630</v>
      </c>
      <c r="E674" s="8634" t="s">
        <v>4631</v>
      </c>
      <c r="F674" s="8634" t="s">
        <v>3437</v>
      </c>
      <c r="G674" s="8634" t="s">
        <v>24</v>
      </c>
      <c r="H674" s="8634" t="s">
        <v>24</v>
      </c>
      <c r="I674" s="8634" t="s">
        <v>722</v>
      </c>
    </row>
    <row customHeight="1" ht="11.25">
      <c r="A675" s="8634" t="s">
        <v>2182</v>
      </c>
      <c r="B675" s="8634" t="s">
        <v>14</v>
      </c>
      <c r="C675" s="8634" t="s">
        <v>4632</v>
      </c>
      <c r="D675" s="8634" t="s">
        <v>4633</v>
      </c>
      <c r="E675" s="8634" t="s">
        <v>4634</v>
      </c>
      <c r="F675" s="8634" t="s">
        <v>2696</v>
      </c>
      <c r="G675" s="8634" t="s">
        <v>24</v>
      </c>
      <c r="H675" s="8634" t="s">
        <v>24</v>
      </c>
      <c r="I675" s="8634" t="s">
        <v>722</v>
      </c>
    </row>
    <row customHeight="1" ht="11.25">
      <c r="A676" s="8634" t="s">
        <v>2182</v>
      </c>
      <c r="B676" s="8634" t="s">
        <v>14</v>
      </c>
      <c r="C676" s="8634" t="s">
        <v>4635</v>
      </c>
      <c r="D676" s="8634" t="s">
        <v>4636</v>
      </c>
      <c r="E676" s="8634" t="s">
        <v>4637</v>
      </c>
      <c r="F676" s="8634" t="s">
        <v>2398</v>
      </c>
      <c r="G676" s="8634" t="s">
        <v>24</v>
      </c>
      <c r="H676" s="8634" t="s">
        <v>2937</v>
      </c>
      <c r="I676" s="8634" t="s">
        <v>722</v>
      </c>
    </row>
    <row customHeight="1" ht="11.25">
      <c r="A677" s="8634" t="s">
        <v>2182</v>
      </c>
      <c r="B677" s="8634" t="s">
        <v>14</v>
      </c>
      <c r="C677" s="8634" t="s">
        <v>4638</v>
      </c>
      <c r="D677" s="8634" t="s">
        <v>4639</v>
      </c>
      <c r="E677" s="8634" t="s">
        <v>4640</v>
      </c>
      <c r="F677" s="8634" t="s">
        <v>2389</v>
      </c>
      <c r="G677" s="8634" t="s">
        <v>4641</v>
      </c>
      <c r="H677" s="8634" t="s">
        <v>24</v>
      </c>
      <c r="I677" s="8634" t="s">
        <v>722</v>
      </c>
    </row>
    <row customHeight="1" ht="11.25">
      <c r="A678" s="8634" t="s">
        <v>2182</v>
      </c>
      <c r="B678" s="8634" t="s">
        <v>14</v>
      </c>
      <c r="C678" s="8634" t="s">
        <v>4642</v>
      </c>
      <c r="D678" s="8634" t="s">
        <v>4643</v>
      </c>
      <c r="E678" s="8634" t="s">
        <v>4644</v>
      </c>
      <c r="F678" s="8634" t="s">
        <v>4645</v>
      </c>
      <c r="G678" s="8634" t="s">
        <v>4646</v>
      </c>
      <c r="H678" s="8634" t="s">
        <v>24</v>
      </c>
      <c r="I678" s="8634" t="s">
        <v>722</v>
      </c>
    </row>
    <row customHeight="1" ht="11.25">
      <c r="A679" s="8634" t="s">
        <v>2182</v>
      </c>
      <c r="B679" s="8634" t="s">
        <v>14</v>
      </c>
      <c r="C679" s="8634" t="s">
        <v>4647</v>
      </c>
      <c r="D679" s="8634" t="s">
        <v>4648</v>
      </c>
      <c r="E679" s="8634" t="s">
        <v>4649</v>
      </c>
      <c r="F679" s="8634" t="s">
        <v>2705</v>
      </c>
      <c r="G679" s="8634" t="s">
        <v>24</v>
      </c>
      <c r="H679" s="8634" t="s">
        <v>2187</v>
      </c>
      <c r="I679" s="8634" t="s">
        <v>722</v>
      </c>
    </row>
    <row customHeight="1" ht="11.25">
      <c r="A680" s="8634" t="s">
        <v>2182</v>
      </c>
      <c r="B680" s="8634" t="s">
        <v>14</v>
      </c>
      <c r="C680" s="8634" t="s">
        <v>4650</v>
      </c>
      <c r="D680" s="8634" t="s">
        <v>4651</v>
      </c>
      <c r="E680" s="8634" t="s">
        <v>4652</v>
      </c>
      <c r="F680" s="8634" t="s">
        <v>2600</v>
      </c>
      <c r="G680" s="8634" t="s">
        <v>24</v>
      </c>
      <c r="H680" s="8634" t="s">
        <v>2993</v>
      </c>
      <c r="I680" s="8634" t="s">
        <v>722</v>
      </c>
    </row>
    <row customHeight="1" ht="11.25">
      <c r="A681" s="8634" t="s">
        <v>2182</v>
      </c>
      <c r="B681" s="8634" t="s">
        <v>14</v>
      </c>
      <c r="C681" s="8634" t="s">
        <v>4653</v>
      </c>
      <c r="D681" s="8634" t="s">
        <v>4654</v>
      </c>
      <c r="E681" s="8634" t="s">
        <v>4655</v>
      </c>
      <c r="F681" s="8634" t="s">
        <v>2600</v>
      </c>
      <c r="G681" s="8634" t="s">
        <v>4656</v>
      </c>
      <c r="H681" s="8634" t="s">
        <v>24</v>
      </c>
      <c r="I681" s="8634" t="s">
        <v>722</v>
      </c>
    </row>
    <row customHeight="1" ht="11.25">
      <c r="A682" s="8634" t="s">
        <v>2182</v>
      </c>
      <c r="B682" s="8634" t="s">
        <v>14</v>
      </c>
      <c r="C682" s="8634" t="s">
        <v>4657</v>
      </c>
      <c r="D682" s="8634" t="s">
        <v>4658</v>
      </c>
      <c r="E682" s="8634" t="s">
        <v>4659</v>
      </c>
      <c r="F682" s="8634" t="s">
        <v>2213</v>
      </c>
      <c r="G682" s="8634" t="s">
        <v>4660</v>
      </c>
      <c r="H682" s="8634" t="s">
        <v>24</v>
      </c>
      <c r="I682" s="8634" t="s">
        <v>722</v>
      </c>
    </row>
    <row customHeight="1" ht="11.25">
      <c r="A683" s="8634" t="s">
        <v>2182</v>
      </c>
      <c r="B683" s="8634" t="s">
        <v>14</v>
      </c>
      <c r="C683" s="8634" t="s">
        <v>4661</v>
      </c>
      <c r="D683" s="8634" t="s">
        <v>4662</v>
      </c>
      <c r="E683" s="8634" t="s">
        <v>4663</v>
      </c>
      <c r="F683" s="8634" t="s">
        <v>2447</v>
      </c>
      <c r="G683" s="8634" t="s">
        <v>24</v>
      </c>
      <c r="H683" s="8634" t="s">
        <v>4664</v>
      </c>
      <c r="I683" s="8634" t="s">
        <v>722</v>
      </c>
    </row>
    <row customHeight="1" ht="11.25">
      <c r="A684" s="8634" t="s">
        <v>2182</v>
      </c>
      <c r="B684" s="8634" t="s">
        <v>14</v>
      </c>
      <c r="C684" s="8634" t="s">
        <v>4665</v>
      </c>
      <c r="D684" s="8634" t="s">
        <v>4666</v>
      </c>
      <c r="E684" s="8634" t="s">
        <v>4667</v>
      </c>
      <c r="F684" s="8634" t="s">
        <v>2563</v>
      </c>
      <c r="G684" s="8634" t="s">
        <v>4668</v>
      </c>
      <c r="H684" s="8634" t="s">
        <v>24</v>
      </c>
      <c r="I684" s="8634" t="s">
        <v>722</v>
      </c>
    </row>
    <row customHeight="1" ht="11.25">
      <c r="A685" s="8634" t="s">
        <v>2182</v>
      </c>
      <c r="B685" s="8634" t="s">
        <v>14</v>
      </c>
      <c r="C685" s="8634" t="s">
        <v>4669</v>
      </c>
      <c r="D685" s="8634" t="s">
        <v>4670</v>
      </c>
      <c r="E685" s="8634" t="s">
        <v>4671</v>
      </c>
      <c r="F685" s="8634" t="s">
        <v>2186</v>
      </c>
      <c r="G685" s="8634" t="s">
        <v>24</v>
      </c>
      <c r="H685" s="8634" t="s">
        <v>24</v>
      </c>
      <c r="I685" s="8634" t="s">
        <v>722</v>
      </c>
    </row>
    <row customHeight="1" ht="11.25">
      <c r="A686" s="8634" t="s">
        <v>2182</v>
      </c>
      <c r="B686" s="8634" t="s">
        <v>14</v>
      </c>
      <c r="C686" s="8634" t="s">
        <v>4672</v>
      </c>
      <c r="D686" s="8634" t="s">
        <v>4673</v>
      </c>
      <c r="E686" s="8634" t="s">
        <v>4674</v>
      </c>
      <c r="F686" s="8634" t="s">
        <v>2354</v>
      </c>
      <c r="G686" s="8634" t="s">
        <v>24</v>
      </c>
      <c r="H686" s="8634" t="s">
        <v>24</v>
      </c>
      <c r="I686" s="8634" t="s">
        <v>722</v>
      </c>
    </row>
    <row customHeight="1" ht="11.25">
      <c r="A687" s="8634" t="s">
        <v>2182</v>
      </c>
      <c r="B687" s="8634" t="s">
        <v>14</v>
      </c>
      <c r="C687" s="8634" t="s">
        <v>4675</v>
      </c>
      <c r="D687" s="8634" t="s">
        <v>4676</v>
      </c>
      <c r="E687" s="8634" t="s">
        <v>4677</v>
      </c>
      <c r="F687" s="8634" t="s">
        <v>4678</v>
      </c>
      <c r="G687" s="8634" t="s">
        <v>24</v>
      </c>
      <c r="H687" s="8634" t="s">
        <v>24</v>
      </c>
      <c r="I687" s="8634" t="s">
        <v>722</v>
      </c>
    </row>
    <row customHeight="1" ht="11.25">
      <c r="A688" s="8634" t="s">
        <v>2182</v>
      </c>
      <c r="B688" s="8634" t="s">
        <v>14</v>
      </c>
      <c r="C688" s="8634" t="s">
        <v>4679</v>
      </c>
      <c r="D688" s="8634" t="s">
        <v>4680</v>
      </c>
      <c r="E688" s="8634" t="s">
        <v>4681</v>
      </c>
      <c r="F688" s="8634" t="s">
        <v>2492</v>
      </c>
      <c r="G688" s="8634" t="s">
        <v>24</v>
      </c>
      <c r="H688" s="8634" t="s">
        <v>24</v>
      </c>
      <c r="I688" s="8634" t="s">
        <v>722</v>
      </c>
    </row>
    <row customHeight="1" ht="11.25">
      <c r="A689" s="8634" t="s">
        <v>2182</v>
      </c>
      <c r="B689" s="8634" t="s">
        <v>14</v>
      </c>
      <c r="C689" s="8634" t="s">
        <v>4682</v>
      </c>
      <c r="D689" s="8634" t="s">
        <v>4683</v>
      </c>
      <c r="E689" s="8634" t="s">
        <v>4684</v>
      </c>
      <c r="F689" s="8634" t="s">
        <v>2233</v>
      </c>
      <c r="G689" s="8634" t="s">
        <v>24</v>
      </c>
      <c r="H689" s="8634" t="s">
        <v>2993</v>
      </c>
      <c r="I689" s="8634" t="s">
        <v>722</v>
      </c>
    </row>
    <row customHeight="1" ht="11.25">
      <c r="A690" s="8634" t="s">
        <v>2182</v>
      </c>
      <c r="B690" s="8634" t="s">
        <v>14</v>
      </c>
      <c r="C690" s="8634" t="s">
        <v>4685</v>
      </c>
      <c r="D690" s="8634" t="s">
        <v>4686</v>
      </c>
      <c r="E690" s="8634" t="s">
        <v>4687</v>
      </c>
      <c r="F690" s="8634" t="s">
        <v>2890</v>
      </c>
      <c r="G690" s="8634" t="s">
        <v>24</v>
      </c>
      <c r="H690" s="8634" t="s">
        <v>24</v>
      </c>
      <c r="I690" s="8634" t="s">
        <v>722</v>
      </c>
    </row>
    <row customHeight="1" ht="11.25">
      <c r="A691" s="8634" t="s">
        <v>2182</v>
      </c>
      <c r="B691" s="8634" t="s">
        <v>14</v>
      </c>
      <c r="C691" s="8634" t="s">
        <v>4688</v>
      </c>
      <c r="D691" s="8634" t="s">
        <v>4689</v>
      </c>
      <c r="E691" s="8634" t="s">
        <v>4690</v>
      </c>
      <c r="F691" s="8634" t="s">
        <v>2411</v>
      </c>
      <c r="G691" s="8634" t="s">
        <v>24</v>
      </c>
      <c r="H691" s="8634" t="s">
        <v>4691</v>
      </c>
      <c r="I691" s="8634" t="s">
        <v>722</v>
      </c>
    </row>
    <row customHeight="1" ht="11.25">
      <c r="A692" s="8634" t="s">
        <v>2182</v>
      </c>
      <c r="B692" s="8634" t="s">
        <v>14</v>
      </c>
      <c r="C692" s="8634" t="s">
        <v>4692</v>
      </c>
      <c r="D692" s="8634" t="s">
        <v>4693</v>
      </c>
      <c r="E692" s="8634" t="s">
        <v>4694</v>
      </c>
      <c r="F692" s="8634" t="s">
        <v>3332</v>
      </c>
      <c r="G692" s="8634" t="s">
        <v>24</v>
      </c>
      <c r="H692" s="8634" t="s">
        <v>24</v>
      </c>
      <c r="I692" s="8634" t="s">
        <v>722</v>
      </c>
    </row>
    <row customHeight="1" ht="11.25">
      <c r="A693" s="8634" t="s">
        <v>2182</v>
      </c>
      <c r="B693" s="8634" t="s">
        <v>14</v>
      </c>
      <c r="C693" s="8634" t="s">
        <v>4695</v>
      </c>
      <c r="D693" s="8634" t="s">
        <v>4696</v>
      </c>
      <c r="E693" s="8634" t="s">
        <v>4697</v>
      </c>
      <c r="F693" s="8634" t="s">
        <v>2411</v>
      </c>
      <c r="G693" s="8634" t="s">
        <v>3559</v>
      </c>
      <c r="H693" s="8634" t="s">
        <v>24</v>
      </c>
      <c r="I693" s="8634" t="s">
        <v>722</v>
      </c>
    </row>
    <row customHeight="1" ht="11.25">
      <c r="A694" s="8634" t="s">
        <v>2182</v>
      </c>
      <c r="B694" s="8634" t="s">
        <v>14</v>
      </c>
      <c r="C694" s="8634" t="s">
        <v>4698</v>
      </c>
      <c r="D694" s="8634" t="s">
        <v>4699</v>
      </c>
      <c r="E694" s="8634" t="s">
        <v>4700</v>
      </c>
      <c r="F694" s="8634" t="s">
        <v>2398</v>
      </c>
      <c r="G694" s="8634" t="s">
        <v>4701</v>
      </c>
      <c r="H694" s="8634" t="s">
        <v>24</v>
      </c>
      <c r="I694" s="8634" t="s">
        <v>722</v>
      </c>
    </row>
    <row customHeight="1" ht="11.25">
      <c r="A695" s="8634" t="s">
        <v>2182</v>
      </c>
      <c r="B695" s="8634" t="s">
        <v>14</v>
      </c>
      <c r="C695" s="8634" t="s">
        <v>4702</v>
      </c>
      <c r="D695" s="8634" t="s">
        <v>4703</v>
      </c>
      <c r="E695" s="8634" t="s">
        <v>4704</v>
      </c>
      <c r="F695" s="8634" t="s">
        <v>2376</v>
      </c>
      <c r="G695" s="8634" t="s">
        <v>24</v>
      </c>
      <c r="H695" s="8634" t="s">
        <v>3222</v>
      </c>
      <c r="I695" s="8634" t="s">
        <v>722</v>
      </c>
    </row>
    <row customHeight="1" ht="11.25">
      <c r="A696" s="8634" t="s">
        <v>2182</v>
      </c>
      <c r="B696" s="8634" t="s">
        <v>14</v>
      </c>
      <c r="C696" s="8634" t="s">
        <v>4705</v>
      </c>
      <c r="D696" s="8634" t="s">
        <v>4706</v>
      </c>
      <c r="E696" s="8634" t="s">
        <v>4707</v>
      </c>
      <c r="F696" s="8634" t="s">
        <v>2832</v>
      </c>
      <c r="G696" s="8634" t="s">
        <v>4708</v>
      </c>
      <c r="H696" s="8634" t="s">
        <v>2870</v>
      </c>
      <c r="I696" s="8634" t="s">
        <v>722</v>
      </c>
    </row>
    <row customHeight="1" ht="11.25">
      <c r="A697" s="8634" t="s">
        <v>2182</v>
      </c>
      <c r="B697" s="8634" t="s">
        <v>14</v>
      </c>
      <c r="C697" s="8634" t="s">
        <v>4709</v>
      </c>
      <c r="D697" s="8634" t="s">
        <v>4710</v>
      </c>
      <c r="E697" s="8634" t="s">
        <v>4711</v>
      </c>
      <c r="F697" s="8634" t="s">
        <v>2948</v>
      </c>
      <c r="G697" s="8634" t="s">
        <v>24</v>
      </c>
      <c r="H697" s="8634" t="s">
        <v>2187</v>
      </c>
      <c r="I697" s="8634" t="s">
        <v>722</v>
      </c>
    </row>
    <row customHeight="1" ht="11.25">
      <c r="A698" s="8634" t="s">
        <v>2182</v>
      </c>
      <c r="B698" s="8634" t="s">
        <v>14</v>
      </c>
      <c r="C698" s="8634" t="s">
        <v>4712</v>
      </c>
      <c r="D698" s="8634" t="s">
        <v>4713</v>
      </c>
      <c r="E698" s="8634" t="s">
        <v>4714</v>
      </c>
      <c r="F698" s="8634" t="s">
        <v>2398</v>
      </c>
      <c r="G698" s="8634" t="s">
        <v>24</v>
      </c>
      <c r="H698" s="8634" t="s">
        <v>2187</v>
      </c>
      <c r="I698" s="8634" t="s">
        <v>722</v>
      </c>
    </row>
    <row customHeight="1" ht="11.25">
      <c r="A699" s="8634" t="s">
        <v>2182</v>
      </c>
      <c r="B699" s="8634" t="s">
        <v>14</v>
      </c>
      <c r="C699" s="8634" t="s">
        <v>4715</v>
      </c>
      <c r="D699" s="8634" t="s">
        <v>4716</v>
      </c>
      <c r="E699" s="8634" t="s">
        <v>3807</v>
      </c>
      <c r="F699" s="8634" t="s">
        <v>4717</v>
      </c>
      <c r="G699" s="8634" t="s">
        <v>24</v>
      </c>
      <c r="H699" s="8634" t="s">
        <v>24</v>
      </c>
      <c r="I699" s="8634" t="s">
        <v>722</v>
      </c>
    </row>
    <row customHeight="1" ht="11.25">
      <c r="A700" s="8634" t="s">
        <v>2182</v>
      </c>
      <c r="B700" s="8634" t="s">
        <v>14</v>
      </c>
      <c r="C700" s="8634" t="s">
        <v>4718</v>
      </c>
      <c r="D700" s="8634" t="s">
        <v>4719</v>
      </c>
      <c r="E700" s="8634" t="s">
        <v>4720</v>
      </c>
      <c r="F700" s="8634" t="s">
        <v>2398</v>
      </c>
      <c r="G700" s="8634" t="s">
        <v>24</v>
      </c>
      <c r="H700" s="8634" t="s">
        <v>24</v>
      </c>
      <c r="I700" s="8634" t="s">
        <v>722</v>
      </c>
    </row>
    <row customHeight="1" ht="11.25">
      <c r="A701" s="8634" t="s">
        <v>2182</v>
      </c>
      <c r="B701" s="8634" t="s">
        <v>14</v>
      </c>
      <c r="C701" s="8634" t="s">
        <v>4721</v>
      </c>
      <c r="D701" s="8634" t="s">
        <v>4722</v>
      </c>
      <c r="E701" s="8634" t="s">
        <v>4723</v>
      </c>
      <c r="F701" s="8634" t="s">
        <v>2460</v>
      </c>
      <c r="G701" s="8634" t="s">
        <v>24</v>
      </c>
      <c r="H701" s="8634" t="s">
        <v>2187</v>
      </c>
      <c r="I701" s="8634" t="s">
        <v>722</v>
      </c>
    </row>
    <row customHeight="1" ht="11.25">
      <c r="A702" s="8634" t="s">
        <v>2182</v>
      </c>
      <c r="B702" s="8634" t="s">
        <v>14</v>
      </c>
      <c r="C702" s="8634" t="s">
        <v>4724</v>
      </c>
      <c r="D702" s="8634" t="s">
        <v>4725</v>
      </c>
      <c r="E702" s="8634" t="s">
        <v>4726</v>
      </c>
      <c r="F702" s="8634" t="s">
        <v>2398</v>
      </c>
      <c r="G702" s="8634" t="s">
        <v>4727</v>
      </c>
      <c r="H702" s="8634" t="s">
        <v>24</v>
      </c>
      <c r="I702" s="8634" t="s">
        <v>722</v>
      </c>
    </row>
    <row customHeight="1" ht="11.25">
      <c r="A703" s="8634" t="s">
        <v>2182</v>
      </c>
      <c r="B703" s="8634" t="s">
        <v>14</v>
      </c>
      <c r="C703" s="8634" t="s">
        <v>4728</v>
      </c>
      <c r="D703" s="8634" t="s">
        <v>4729</v>
      </c>
      <c r="E703" s="8634" t="s">
        <v>4730</v>
      </c>
      <c r="F703" s="8634" t="s">
        <v>2245</v>
      </c>
      <c r="G703" s="8634" t="s">
        <v>4731</v>
      </c>
      <c r="H703" s="8634" t="s">
        <v>2187</v>
      </c>
      <c r="I703" s="8634" t="s">
        <v>722</v>
      </c>
    </row>
    <row customHeight="1" ht="11.25">
      <c r="A704" s="8634" t="s">
        <v>2182</v>
      </c>
      <c r="B704" s="8634" t="s">
        <v>14</v>
      </c>
      <c r="C704" s="8634" t="s">
        <v>4732</v>
      </c>
      <c r="D704" s="8634" t="s">
        <v>4733</v>
      </c>
      <c r="E704" s="8634" t="s">
        <v>4734</v>
      </c>
      <c r="F704" s="8634" t="s">
        <v>2447</v>
      </c>
      <c r="G704" s="8634" t="s">
        <v>4735</v>
      </c>
      <c r="H704" s="8634" t="s">
        <v>2187</v>
      </c>
      <c r="I704" s="8634" t="s">
        <v>722</v>
      </c>
    </row>
    <row customHeight="1" ht="11.25">
      <c r="A705" s="8634" t="s">
        <v>2182</v>
      </c>
      <c r="B705" s="8634" t="s">
        <v>14</v>
      </c>
      <c r="C705" s="8634" t="s">
        <v>4736</v>
      </c>
      <c r="D705" s="8634" t="s">
        <v>4737</v>
      </c>
      <c r="E705" s="8634" t="s">
        <v>4738</v>
      </c>
      <c r="F705" s="8634" t="s">
        <v>2411</v>
      </c>
      <c r="G705" s="8634" t="s">
        <v>24</v>
      </c>
      <c r="H705" s="8634" t="s">
        <v>4739</v>
      </c>
      <c r="I705" s="8634" t="s">
        <v>722</v>
      </c>
    </row>
    <row customHeight="1" ht="11.25">
      <c r="A706" s="8634" t="s">
        <v>2182</v>
      </c>
      <c r="B706" s="8634" t="s">
        <v>14</v>
      </c>
      <c r="C706" s="8634" t="s">
        <v>4740</v>
      </c>
      <c r="D706" s="8634" t="s">
        <v>4741</v>
      </c>
      <c r="E706" s="8634" t="s">
        <v>4742</v>
      </c>
      <c r="F706" s="8634" t="s">
        <v>2218</v>
      </c>
      <c r="G706" s="8634" t="s">
        <v>4743</v>
      </c>
      <c r="H706" s="8634" t="s">
        <v>24</v>
      </c>
      <c r="I706" s="8634" t="s">
        <v>722</v>
      </c>
    </row>
    <row customHeight="1" ht="11.25">
      <c r="A707" s="8634" t="s">
        <v>2182</v>
      </c>
      <c r="B707" s="8634" t="s">
        <v>14</v>
      </c>
      <c r="C707" s="8634" t="s">
        <v>4744</v>
      </c>
      <c r="D707" s="8634" t="s">
        <v>4745</v>
      </c>
      <c r="E707" s="8634" t="s">
        <v>4746</v>
      </c>
      <c r="F707" s="8634" t="s">
        <v>2245</v>
      </c>
      <c r="G707" s="8634" t="s">
        <v>24</v>
      </c>
      <c r="H707" s="8634" t="s">
        <v>2187</v>
      </c>
      <c r="I707" s="8634" t="s">
        <v>722</v>
      </c>
    </row>
    <row customHeight="1" ht="11.25">
      <c r="A708" s="8634" t="s">
        <v>2182</v>
      </c>
      <c r="B708" s="8634" t="s">
        <v>14</v>
      </c>
      <c r="C708" s="8634" t="s">
        <v>4747</v>
      </c>
      <c r="D708" s="8634" t="s">
        <v>4748</v>
      </c>
      <c r="E708" s="8634" t="s">
        <v>4749</v>
      </c>
      <c r="F708" s="8634" t="s">
        <v>2389</v>
      </c>
      <c r="G708" s="8634" t="s">
        <v>24</v>
      </c>
      <c r="H708" s="8634" t="s">
        <v>2187</v>
      </c>
      <c r="I708" s="8634" t="s">
        <v>722</v>
      </c>
    </row>
    <row customHeight="1" ht="11.25">
      <c r="A709" s="8634" t="s">
        <v>2182</v>
      </c>
      <c r="B709" s="8634" t="s">
        <v>14</v>
      </c>
      <c r="C709" s="8634" t="s">
        <v>4750</v>
      </c>
      <c r="D709" s="8634" t="s">
        <v>4751</v>
      </c>
      <c r="E709" s="8634" t="s">
        <v>3807</v>
      </c>
      <c r="F709" s="8634" t="s">
        <v>4752</v>
      </c>
      <c r="G709" s="8634" t="s">
        <v>4753</v>
      </c>
      <c r="H709" s="8634" t="s">
        <v>4754</v>
      </c>
      <c r="I709" s="8634" t="s">
        <v>722</v>
      </c>
    </row>
    <row customHeight="1" ht="11.25">
      <c r="A710" s="8634" t="s">
        <v>2182</v>
      </c>
      <c r="B710" s="8634" t="s">
        <v>14</v>
      </c>
      <c r="C710" s="8634" t="s">
        <v>4755</v>
      </c>
      <c r="D710" s="8634" t="s">
        <v>4751</v>
      </c>
      <c r="E710" s="8634" t="s">
        <v>3807</v>
      </c>
      <c r="F710" s="8634" t="s">
        <v>4756</v>
      </c>
      <c r="G710" s="8634" t="s">
        <v>4757</v>
      </c>
      <c r="H710" s="8634" t="s">
        <v>24</v>
      </c>
      <c r="I710" s="8634" t="s">
        <v>722</v>
      </c>
    </row>
    <row customHeight="1" ht="11.25">
      <c r="A711" s="8634" t="s">
        <v>2182</v>
      </c>
      <c r="B711" s="8634" t="s">
        <v>14</v>
      </c>
      <c r="C711" s="8634" t="s">
        <v>4758</v>
      </c>
      <c r="D711" s="8634" t="s">
        <v>4759</v>
      </c>
      <c r="E711" s="8634" t="s">
        <v>4760</v>
      </c>
      <c r="F711" s="8634" t="s">
        <v>2964</v>
      </c>
      <c r="G711" s="8634" t="s">
        <v>24</v>
      </c>
      <c r="H711" s="8634" t="s">
        <v>2187</v>
      </c>
      <c r="I711" s="8634" t="s">
        <v>722</v>
      </c>
    </row>
    <row customHeight="1" ht="11.25">
      <c r="A712" s="8634" t="s">
        <v>2182</v>
      </c>
      <c r="B712" s="8634" t="s">
        <v>14</v>
      </c>
      <c r="C712" s="8634" t="s">
        <v>4761</v>
      </c>
      <c r="D712" s="8634" t="s">
        <v>4762</v>
      </c>
      <c r="E712" s="8634" t="s">
        <v>4763</v>
      </c>
      <c r="F712" s="8634" t="s">
        <v>4764</v>
      </c>
      <c r="G712" s="8634" t="s">
        <v>4765</v>
      </c>
      <c r="H712" s="8634" t="s">
        <v>24</v>
      </c>
      <c r="I712" s="8634" t="s">
        <v>722</v>
      </c>
    </row>
    <row customHeight="1" ht="11.25">
      <c r="A713" s="8634" t="s">
        <v>2182</v>
      </c>
      <c r="B713" s="8634" t="s">
        <v>14</v>
      </c>
      <c r="C713" s="8634" t="s">
        <v>4766</v>
      </c>
      <c r="D713" s="8634" t="s">
        <v>4767</v>
      </c>
      <c r="E713" s="8634" t="s">
        <v>4768</v>
      </c>
      <c r="F713" s="8634" t="s">
        <v>4352</v>
      </c>
      <c r="G713" s="8634" t="s">
        <v>4769</v>
      </c>
      <c r="H713" s="8634" t="s">
        <v>24</v>
      </c>
      <c r="I713" s="8634" t="s">
        <v>722</v>
      </c>
    </row>
    <row customHeight="1" ht="11.25">
      <c r="A714" s="8634" t="s">
        <v>2182</v>
      </c>
      <c r="B714" s="8634" t="s">
        <v>14</v>
      </c>
      <c r="C714" s="8634" t="s">
        <v>4770</v>
      </c>
      <c r="D714" s="8634" t="s">
        <v>4771</v>
      </c>
      <c r="E714" s="8634" t="s">
        <v>4772</v>
      </c>
      <c r="F714" s="8634" t="s">
        <v>2213</v>
      </c>
      <c r="G714" s="8634" t="s">
        <v>24</v>
      </c>
      <c r="H714" s="8634" t="s">
        <v>24</v>
      </c>
      <c r="I714" s="8634" t="s">
        <v>722</v>
      </c>
    </row>
    <row customHeight="1" ht="11.25">
      <c r="A715" s="8634" t="s">
        <v>2182</v>
      </c>
      <c r="B715" s="8634" t="s">
        <v>14</v>
      </c>
      <c r="C715" s="8634" t="s">
        <v>4773</v>
      </c>
      <c r="D715" s="8634" t="s">
        <v>4774</v>
      </c>
      <c r="E715" s="8634" t="s">
        <v>4775</v>
      </c>
      <c r="F715" s="8634" t="s">
        <v>2269</v>
      </c>
      <c r="G715" s="8634" t="s">
        <v>4776</v>
      </c>
      <c r="H715" s="8634" t="s">
        <v>24</v>
      </c>
      <c r="I715" s="8634" t="s">
        <v>722</v>
      </c>
    </row>
    <row customHeight="1" ht="11.25">
      <c r="A716" s="8634" t="s">
        <v>2182</v>
      </c>
      <c r="B716" s="8634" t="s">
        <v>14</v>
      </c>
      <c r="C716" s="8634" t="s">
        <v>4777</v>
      </c>
      <c r="D716" s="8634" t="s">
        <v>4778</v>
      </c>
      <c r="E716" s="8634" t="s">
        <v>4779</v>
      </c>
      <c r="F716" s="8634" t="s">
        <v>2477</v>
      </c>
      <c r="G716" s="8634" t="s">
        <v>4780</v>
      </c>
      <c r="H716" s="8634" t="s">
        <v>24</v>
      </c>
      <c r="I716" s="8634" t="s">
        <v>722</v>
      </c>
    </row>
    <row customHeight="1" ht="11.25">
      <c r="A717" s="8634" t="s">
        <v>2182</v>
      </c>
      <c r="B717" s="8634" t="s">
        <v>14</v>
      </c>
      <c r="C717" s="8634" t="s">
        <v>4781</v>
      </c>
      <c r="D717" s="8634" t="s">
        <v>4782</v>
      </c>
      <c r="E717" s="8634" t="s">
        <v>4783</v>
      </c>
      <c r="F717" s="8634" t="s">
        <v>2218</v>
      </c>
      <c r="G717" s="8634" t="s">
        <v>4784</v>
      </c>
      <c r="H717" s="8634" t="s">
        <v>24</v>
      </c>
      <c r="I717" s="8634" t="s">
        <v>722</v>
      </c>
    </row>
    <row customHeight="1" ht="11.25">
      <c r="A718" s="8634" t="s">
        <v>2182</v>
      </c>
      <c r="B718" s="8634" t="s">
        <v>14</v>
      </c>
      <c r="C718" s="8634" t="s">
        <v>4785</v>
      </c>
      <c r="D718" s="8634" t="s">
        <v>4786</v>
      </c>
      <c r="E718" s="8634" t="s">
        <v>4787</v>
      </c>
      <c r="F718" s="8634" t="s">
        <v>2363</v>
      </c>
      <c r="G718" s="8634" t="s">
        <v>24</v>
      </c>
      <c r="H718" s="8634" t="s">
        <v>24</v>
      </c>
      <c r="I718" s="8634" t="s">
        <v>722</v>
      </c>
    </row>
    <row customHeight="1" ht="11.25">
      <c r="A719" s="8634" t="s">
        <v>2182</v>
      </c>
      <c r="B719" s="8634" t="s">
        <v>14</v>
      </c>
      <c r="C719" s="8634" t="s">
        <v>4788</v>
      </c>
      <c r="D719" s="8634" t="s">
        <v>4789</v>
      </c>
      <c r="E719" s="8634" t="s">
        <v>4790</v>
      </c>
      <c r="F719" s="8634" t="s">
        <v>2228</v>
      </c>
      <c r="G719" s="8634" t="s">
        <v>24</v>
      </c>
      <c r="H719" s="8634" t="s">
        <v>24</v>
      </c>
      <c r="I719" s="8634" t="s">
        <v>722</v>
      </c>
    </row>
    <row customHeight="1" ht="11.25">
      <c r="A720" s="8634" t="s">
        <v>2182</v>
      </c>
      <c r="B720" s="8634" t="s">
        <v>14</v>
      </c>
      <c r="C720" s="8634" t="s">
        <v>4791</v>
      </c>
      <c r="D720" s="8634" t="s">
        <v>4792</v>
      </c>
      <c r="E720" s="8634" t="s">
        <v>4793</v>
      </c>
      <c r="F720" s="8634" t="s">
        <v>2228</v>
      </c>
      <c r="G720" s="8634" t="s">
        <v>4794</v>
      </c>
      <c r="H720" s="8634" t="s">
        <v>2187</v>
      </c>
      <c r="I720" s="8634" t="s">
        <v>722</v>
      </c>
    </row>
    <row customHeight="1" ht="11.25">
      <c r="A721" s="8634" t="s">
        <v>2182</v>
      </c>
      <c r="B721" s="8634" t="s">
        <v>14</v>
      </c>
      <c r="C721" s="8634" t="s">
        <v>4795</v>
      </c>
      <c r="D721" s="8634" t="s">
        <v>4796</v>
      </c>
      <c r="E721" s="8634" t="s">
        <v>4797</v>
      </c>
      <c r="F721" s="8634" t="s">
        <v>2477</v>
      </c>
      <c r="G721" s="8634" t="s">
        <v>24</v>
      </c>
      <c r="H721" s="8634" t="s">
        <v>2187</v>
      </c>
      <c r="I721" s="8634" t="s">
        <v>722</v>
      </c>
    </row>
    <row customHeight="1" ht="11.25">
      <c r="A722" s="8634" t="s">
        <v>2182</v>
      </c>
      <c r="B722" s="8634" t="s">
        <v>14</v>
      </c>
      <c r="C722" s="8634" t="s">
        <v>4798</v>
      </c>
      <c r="D722" s="8634" t="s">
        <v>4799</v>
      </c>
      <c r="E722" s="8634" t="s">
        <v>4800</v>
      </c>
      <c r="F722" s="8634" t="s">
        <v>2218</v>
      </c>
      <c r="G722" s="8634" t="s">
        <v>4801</v>
      </c>
      <c r="H722" s="8634" t="s">
        <v>4802</v>
      </c>
      <c r="I722" s="8634" t="s">
        <v>722</v>
      </c>
    </row>
    <row customHeight="1" ht="11.25">
      <c r="A723" s="8634" t="s">
        <v>2182</v>
      </c>
      <c r="B723" s="8634" t="s">
        <v>14</v>
      </c>
      <c r="C723" s="8634" t="s">
        <v>4803</v>
      </c>
      <c r="D723" s="8634" t="s">
        <v>4804</v>
      </c>
      <c r="E723" s="8634" t="s">
        <v>4805</v>
      </c>
      <c r="F723" s="8634" t="s">
        <v>2376</v>
      </c>
      <c r="G723" s="8634" t="s">
        <v>24</v>
      </c>
      <c r="H723" s="8634" t="s">
        <v>2187</v>
      </c>
      <c r="I723" s="8634" t="s">
        <v>722</v>
      </c>
    </row>
    <row customHeight="1" ht="11.25">
      <c r="A724" s="8634" t="s">
        <v>2182</v>
      </c>
      <c r="B724" s="8634" t="s">
        <v>14</v>
      </c>
      <c r="C724" s="8634" t="s">
        <v>4806</v>
      </c>
      <c r="D724" s="8634" t="s">
        <v>4807</v>
      </c>
      <c r="E724" s="8634" t="s">
        <v>4808</v>
      </c>
      <c r="F724" s="8634" t="s">
        <v>2339</v>
      </c>
      <c r="G724" s="8634" t="s">
        <v>24</v>
      </c>
      <c r="H724" s="8634" t="s">
        <v>2870</v>
      </c>
      <c r="I724" s="8634" t="s">
        <v>722</v>
      </c>
    </row>
    <row customHeight="1" ht="11.25">
      <c r="A725" s="8634" t="s">
        <v>2182</v>
      </c>
      <c r="B725" s="8634" t="s">
        <v>14</v>
      </c>
      <c r="C725" s="8634" t="s">
        <v>4809</v>
      </c>
      <c r="D725" s="8634" t="s">
        <v>4807</v>
      </c>
      <c r="E725" s="8634" t="s">
        <v>4810</v>
      </c>
      <c r="F725" s="8634" t="s">
        <v>2339</v>
      </c>
      <c r="G725" s="8634" t="s">
        <v>4811</v>
      </c>
      <c r="H725" s="8634" t="s">
        <v>24</v>
      </c>
      <c r="I725" s="8634" t="s">
        <v>722</v>
      </c>
    </row>
    <row customHeight="1" ht="11.25">
      <c r="A726" s="8634" t="s">
        <v>2182</v>
      </c>
      <c r="B726" s="8634" t="s">
        <v>14</v>
      </c>
      <c r="C726" s="8634" t="s">
        <v>4812</v>
      </c>
      <c r="D726" s="8634" t="s">
        <v>4813</v>
      </c>
      <c r="E726" s="8634" t="s">
        <v>4814</v>
      </c>
      <c r="F726" s="8634" t="s">
        <v>2600</v>
      </c>
      <c r="G726" s="8634" t="s">
        <v>4815</v>
      </c>
      <c r="H726" s="8634" t="s">
        <v>24</v>
      </c>
      <c r="I726" s="8634" t="s">
        <v>722</v>
      </c>
    </row>
    <row customHeight="1" ht="11.25">
      <c r="A727" s="8634" t="s">
        <v>2182</v>
      </c>
      <c r="B727" s="8634" t="s">
        <v>14</v>
      </c>
      <c r="C727" s="8634" t="s">
        <v>4816</v>
      </c>
      <c r="D727" s="8634" t="s">
        <v>4817</v>
      </c>
      <c r="E727" s="8634" t="s">
        <v>4818</v>
      </c>
      <c r="F727" s="8634" t="s">
        <v>2269</v>
      </c>
      <c r="G727" s="8634" t="s">
        <v>4819</v>
      </c>
      <c r="H727" s="8634" t="s">
        <v>24</v>
      </c>
      <c r="I727" s="8634" t="s">
        <v>722</v>
      </c>
    </row>
    <row customHeight="1" ht="11.25">
      <c r="A728" s="8634" t="s">
        <v>2182</v>
      </c>
      <c r="B728" s="8634" t="s">
        <v>14</v>
      </c>
      <c r="C728" s="8634" t="s">
        <v>4820</v>
      </c>
      <c r="D728" s="8634" t="s">
        <v>4821</v>
      </c>
      <c r="E728" s="8634" t="s">
        <v>4822</v>
      </c>
      <c r="F728" s="8634" t="s">
        <v>2274</v>
      </c>
      <c r="G728" s="8634" t="s">
        <v>24</v>
      </c>
      <c r="H728" s="8634" t="s">
        <v>24</v>
      </c>
      <c r="I728" s="8634" t="s">
        <v>722</v>
      </c>
    </row>
    <row customHeight="1" ht="11.25">
      <c r="A729" s="8634" t="s">
        <v>2182</v>
      </c>
      <c r="B729" s="8634" t="s">
        <v>14</v>
      </c>
      <c r="C729" s="8634" t="s">
        <v>4823</v>
      </c>
      <c r="D729" s="8634" t="s">
        <v>4824</v>
      </c>
      <c r="E729" s="8634" t="s">
        <v>4825</v>
      </c>
      <c r="F729" s="8634" t="s">
        <v>2322</v>
      </c>
      <c r="G729" s="8634" t="s">
        <v>24</v>
      </c>
      <c r="H729" s="8634" t="s">
        <v>2993</v>
      </c>
      <c r="I729" s="8634" t="s">
        <v>722</v>
      </c>
    </row>
    <row customHeight="1" ht="11.25">
      <c r="A730" s="8634" t="s">
        <v>2182</v>
      </c>
      <c r="B730" s="8634" t="s">
        <v>14</v>
      </c>
      <c r="C730" s="8634" t="s">
        <v>4826</v>
      </c>
      <c r="D730" s="8634" t="s">
        <v>4827</v>
      </c>
      <c r="E730" s="8634" t="s">
        <v>4828</v>
      </c>
      <c r="F730" s="8634" t="s">
        <v>4829</v>
      </c>
      <c r="G730" s="8634" t="s">
        <v>24</v>
      </c>
      <c r="H730" s="8634" t="s">
        <v>2187</v>
      </c>
      <c r="I730" s="8634" t="s">
        <v>722</v>
      </c>
    </row>
    <row customHeight="1" ht="11.25">
      <c r="A731" s="8634" t="s">
        <v>2182</v>
      </c>
      <c r="B731" s="8634" t="s">
        <v>14</v>
      </c>
      <c r="C731" s="8634" t="s">
        <v>4830</v>
      </c>
      <c r="D731" s="8634" t="s">
        <v>4831</v>
      </c>
      <c r="E731" s="8634" t="s">
        <v>4832</v>
      </c>
      <c r="F731" s="8634" t="s">
        <v>2213</v>
      </c>
      <c r="G731" s="8634" t="s">
        <v>4833</v>
      </c>
      <c r="H731" s="8634" t="s">
        <v>2400</v>
      </c>
      <c r="I731" s="8634" t="s">
        <v>722</v>
      </c>
    </row>
    <row customHeight="1" ht="11.25">
      <c r="A732" s="8634" t="s">
        <v>2182</v>
      </c>
      <c r="B732" s="8634" t="s">
        <v>14</v>
      </c>
      <c r="C732" s="8634" t="s">
        <v>4834</v>
      </c>
      <c r="D732" s="8634" t="s">
        <v>4835</v>
      </c>
      <c r="E732" s="8634" t="s">
        <v>4836</v>
      </c>
      <c r="F732" s="8634" t="s">
        <v>2269</v>
      </c>
      <c r="G732" s="8634" t="s">
        <v>24</v>
      </c>
      <c r="H732" s="8634" t="s">
        <v>2187</v>
      </c>
      <c r="I732" s="8634" t="s">
        <v>722</v>
      </c>
    </row>
    <row customHeight="1" ht="11.25">
      <c r="A733" s="8634" t="s">
        <v>2182</v>
      </c>
      <c r="B733" s="8634" t="s">
        <v>14</v>
      </c>
      <c r="C733" s="8634" t="s">
        <v>4837</v>
      </c>
      <c r="D733" s="8634" t="s">
        <v>4835</v>
      </c>
      <c r="E733" s="8634" t="s">
        <v>4838</v>
      </c>
      <c r="F733" s="8634" t="s">
        <v>2269</v>
      </c>
      <c r="G733" s="8634" t="s">
        <v>24</v>
      </c>
      <c r="H733" s="8634" t="s">
        <v>4839</v>
      </c>
      <c r="I733" s="8634" t="s">
        <v>722</v>
      </c>
    </row>
    <row customHeight="1" ht="11.25">
      <c r="A734" s="8634" t="s">
        <v>2182</v>
      </c>
      <c r="B734" s="8634" t="s">
        <v>14</v>
      </c>
      <c r="C734" s="8634" t="s">
        <v>4840</v>
      </c>
      <c r="D734" s="8634" t="s">
        <v>4841</v>
      </c>
      <c r="E734" s="8634" t="s">
        <v>4842</v>
      </c>
      <c r="F734" s="8634" t="s">
        <v>2389</v>
      </c>
      <c r="G734" s="8634" t="s">
        <v>24</v>
      </c>
      <c r="H734" s="8634" t="s">
        <v>4843</v>
      </c>
      <c r="I734" s="8634" t="s">
        <v>722</v>
      </c>
    </row>
    <row customHeight="1" ht="11.25">
      <c r="A735" s="8634" t="s">
        <v>2182</v>
      </c>
      <c r="B735" s="8634" t="s">
        <v>14</v>
      </c>
      <c r="C735" s="8634" t="s">
        <v>4844</v>
      </c>
      <c r="D735" s="8634" t="s">
        <v>4845</v>
      </c>
      <c r="E735" s="8634" t="s">
        <v>4846</v>
      </c>
      <c r="F735" s="8634" t="s">
        <v>2300</v>
      </c>
      <c r="G735" s="8634" t="s">
        <v>2368</v>
      </c>
      <c r="H735" s="8634" t="s">
        <v>24</v>
      </c>
      <c r="I735" s="8634" t="s">
        <v>722</v>
      </c>
    </row>
    <row customHeight="1" ht="11.25">
      <c r="A736" s="8634" t="s">
        <v>2182</v>
      </c>
      <c r="B736" s="8634" t="s">
        <v>14</v>
      </c>
      <c r="C736" s="8634" t="s">
        <v>4847</v>
      </c>
      <c r="D736" s="8634" t="s">
        <v>4848</v>
      </c>
      <c r="E736" s="8634" t="s">
        <v>4849</v>
      </c>
      <c r="F736" s="8634" t="s">
        <v>3295</v>
      </c>
      <c r="G736" s="8634" t="s">
        <v>24</v>
      </c>
      <c r="H736" s="8634" t="s">
        <v>2187</v>
      </c>
      <c r="I736" s="8634" t="s">
        <v>722</v>
      </c>
    </row>
    <row customHeight="1" ht="11.25">
      <c r="A737" s="8634" t="s">
        <v>2182</v>
      </c>
      <c r="B737" s="8634" t="s">
        <v>14</v>
      </c>
      <c r="C737" s="8634" t="s">
        <v>4850</v>
      </c>
      <c r="D737" s="8634" t="s">
        <v>4851</v>
      </c>
      <c r="E737" s="8634" t="s">
        <v>4852</v>
      </c>
      <c r="F737" s="8634" t="s">
        <v>2512</v>
      </c>
      <c r="G737" s="8634" t="s">
        <v>4853</v>
      </c>
      <c r="H737" s="8634" t="s">
        <v>24</v>
      </c>
      <c r="I737" s="8634" t="s">
        <v>722</v>
      </c>
    </row>
    <row customHeight="1" ht="11.25">
      <c r="A738" s="8634" t="s">
        <v>2182</v>
      </c>
      <c r="B738" s="8634" t="s">
        <v>14</v>
      </c>
      <c r="C738" s="8634" t="s">
        <v>4854</v>
      </c>
      <c r="D738" s="8634" t="s">
        <v>4855</v>
      </c>
      <c r="E738" s="8634" t="s">
        <v>4856</v>
      </c>
      <c r="F738" s="8634" t="s">
        <v>2613</v>
      </c>
      <c r="G738" s="8634" t="s">
        <v>4857</v>
      </c>
      <c r="H738" s="8634" t="s">
        <v>24</v>
      </c>
      <c r="I738" s="8634" t="s">
        <v>722</v>
      </c>
    </row>
    <row customHeight="1" ht="11.25">
      <c r="A739" s="8634" t="s">
        <v>2182</v>
      </c>
      <c r="B739" s="8634" t="s">
        <v>14</v>
      </c>
      <c r="C739" s="8634" t="s">
        <v>4858</v>
      </c>
      <c r="D739" s="8634" t="s">
        <v>4859</v>
      </c>
      <c r="E739" s="8634" t="s">
        <v>4860</v>
      </c>
      <c r="F739" s="8634" t="s">
        <v>2512</v>
      </c>
      <c r="G739" s="8634" t="s">
        <v>24</v>
      </c>
      <c r="H739" s="8634" t="s">
        <v>24</v>
      </c>
      <c r="I739" s="8634" t="s">
        <v>722</v>
      </c>
    </row>
    <row customHeight="1" ht="11.25">
      <c r="A740" s="8634" t="s">
        <v>2182</v>
      </c>
      <c r="B740" s="8634" t="s">
        <v>14</v>
      </c>
      <c r="C740" s="8634" t="s">
        <v>4861</v>
      </c>
      <c r="D740" s="8634" t="s">
        <v>4862</v>
      </c>
      <c r="E740" s="8634" t="s">
        <v>4863</v>
      </c>
      <c r="F740" s="8634" t="s">
        <v>3235</v>
      </c>
      <c r="G740" s="8634" t="s">
        <v>4864</v>
      </c>
      <c r="H740" s="8634" t="s">
        <v>24</v>
      </c>
      <c r="I740" s="8634" t="s">
        <v>722</v>
      </c>
    </row>
    <row customHeight="1" ht="11.25">
      <c r="A741" s="8634" t="s">
        <v>2182</v>
      </c>
      <c r="B741" s="8634" t="s">
        <v>14</v>
      </c>
      <c r="C741" s="8634" t="s">
        <v>4865</v>
      </c>
      <c r="D741" s="8634" t="s">
        <v>4866</v>
      </c>
      <c r="E741" s="8634" t="s">
        <v>4867</v>
      </c>
      <c r="F741" s="8634" t="s">
        <v>2721</v>
      </c>
      <c r="G741" s="8634" t="s">
        <v>4868</v>
      </c>
      <c r="H741" s="8634" t="s">
        <v>24</v>
      </c>
      <c r="I741" s="8634" t="s">
        <v>722</v>
      </c>
    </row>
    <row customHeight="1" ht="11.25">
      <c r="A742" s="8634" t="s">
        <v>2182</v>
      </c>
      <c r="B742" s="8634" t="s">
        <v>14</v>
      </c>
      <c r="C742" s="8634" t="s">
        <v>4869</v>
      </c>
      <c r="D742" s="8634" t="s">
        <v>4870</v>
      </c>
      <c r="E742" s="8634" t="s">
        <v>4871</v>
      </c>
      <c r="F742" s="8634" t="s">
        <v>2245</v>
      </c>
      <c r="G742" s="8634" t="s">
        <v>24</v>
      </c>
      <c r="H742" s="8634" t="s">
        <v>2187</v>
      </c>
      <c r="I742" s="8634" t="s">
        <v>722</v>
      </c>
    </row>
    <row customHeight="1" ht="11.25">
      <c r="A743" s="8634" t="s">
        <v>2182</v>
      </c>
      <c r="B743" s="8634" t="s">
        <v>14</v>
      </c>
      <c r="C743" s="8634" t="s">
        <v>4872</v>
      </c>
      <c r="D743" s="8634" t="s">
        <v>4873</v>
      </c>
      <c r="E743" s="8634" t="s">
        <v>4874</v>
      </c>
      <c r="F743" s="8634" t="s">
        <v>4315</v>
      </c>
      <c r="G743" s="8634" t="s">
        <v>4875</v>
      </c>
      <c r="H743" s="8634" t="s">
        <v>2187</v>
      </c>
      <c r="I743" s="8634" t="s">
        <v>722</v>
      </c>
    </row>
    <row customHeight="1" ht="11.25">
      <c r="A744" s="8634" t="s">
        <v>2182</v>
      </c>
      <c r="B744" s="8634" t="s">
        <v>14</v>
      </c>
      <c r="C744" s="8634" t="s">
        <v>4876</v>
      </c>
      <c r="D744" s="8634" t="s">
        <v>4877</v>
      </c>
      <c r="E744" s="8634" t="s">
        <v>4878</v>
      </c>
      <c r="F744" s="8634" t="s">
        <v>2854</v>
      </c>
      <c r="G744" s="8634" t="s">
        <v>24</v>
      </c>
      <c r="H744" s="8634" t="s">
        <v>24</v>
      </c>
      <c r="I744" s="8634" t="s">
        <v>722</v>
      </c>
    </row>
    <row customHeight="1" ht="11.25">
      <c r="A745" s="8634" t="s">
        <v>2182</v>
      </c>
      <c r="B745" s="8634" t="s">
        <v>14</v>
      </c>
      <c r="C745" s="8634" t="s">
        <v>4879</v>
      </c>
      <c r="D745" s="8634" t="s">
        <v>4880</v>
      </c>
      <c r="E745" s="8634" t="s">
        <v>4881</v>
      </c>
      <c r="F745" s="8634" t="s">
        <v>2344</v>
      </c>
      <c r="G745" s="8634" t="s">
        <v>4882</v>
      </c>
      <c r="H745" s="8634" t="s">
        <v>24</v>
      </c>
      <c r="I745" s="8634" t="s">
        <v>722</v>
      </c>
    </row>
    <row customHeight="1" ht="11.25">
      <c r="A746" s="8634" t="s">
        <v>2182</v>
      </c>
      <c r="B746" s="8634" t="s">
        <v>14</v>
      </c>
      <c r="C746" s="8634" t="s">
        <v>4883</v>
      </c>
      <c r="D746" s="8634" t="s">
        <v>4884</v>
      </c>
      <c r="E746" s="8634" t="s">
        <v>4885</v>
      </c>
      <c r="F746" s="8634" t="s">
        <v>2300</v>
      </c>
      <c r="G746" s="8634" t="s">
        <v>24</v>
      </c>
      <c r="H746" s="8634" t="s">
        <v>24</v>
      </c>
      <c r="I746" s="8634" t="s">
        <v>722</v>
      </c>
    </row>
    <row customHeight="1" ht="11.25">
      <c r="A747" s="8634" t="s">
        <v>2182</v>
      </c>
      <c r="B747" s="8634" t="s">
        <v>14</v>
      </c>
      <c r="C747" s="8634" t="s">
        <v>4886</v>
      </c>
      <c r="D747" s="8634" t="s">
        <v>4887</v>
      </c>
      <c r="E747" s="8634" t="s">
        <v>4888</v>
      </c>
      <c r="F747" s="8634" t="s">
        <v>2213</v>
      </c>
      <c r="G747" s="8634" t="s">
        <v>4889</v>
      </c>
      <c r="H747" s="8634" t="s">
        <v>24</v>
      </c>
      <c r="I747" s="8634" t="s">
        <v>722</v>
      </c>
    </row>
    <row customHeight="1" ht="11.25">
      <c r="A748" s="8634" t="s">
        <v>2182</v>
      </c>
      <c r="B748" s="8634" t="s">
        <v>14</v>
      </c>
      <c r="C748" s="8634" t="s">
        <v>4890</v>
      </c>
      <c r="D748" s="8634" t="s">
        <v>4891</v>
      </c>
      <c r="E748" s="8634" t="s">
        <v>4892</v>
      </c>
      <c r="F748" s="8634" t="s">
        <v>2233</v>
      </c>
      <c r="G748" s="8634" t="s">
        <v>4893</v>
      </c>
      <c r="H748" s="8634" t="s">
        <v>24</v>
      </c>
      <c r="I748" s="8634" t="s">
        <v>722</v>
      </c>
    </row>
    <row customHeight="1" ht="11.25">
      <c r="A749" s="8634" t="s">
        <v>2182</v>
      </c>
      <c r="B749" s="8634" t="s">
        <v>14</v>
      </c>
      <c r="C749" s="8634" t="s">
        <v>4894</v>
      </c>
      <c r="D749" s="8634" t="s">
        <v>4895</v>
      </c>
      <c r="E749" s="8634" t="s">
        <v>4896</v>
      </c>
      <c r="F749" s="8634" t="s">
        <v>2363</v>
      </c>
      <c r="G749" s="8634" t="s">
        <v>24</v>
      </c>
      <c r="H749" s="8634" t="s">
        <v>24</v>
      </c>
      <c r="I749" s="8634" t="s">
        <v>722</v>
      </c>
    </row>
    <row customHeight="1" ht="11.25">
      <c r="A750" s="8634" t="s">
        <v>2182</v>
      </c>
      <c r="B750" s="8634" t="s">
        <v>14</v>
      </c>
      <c r="C750" s="8634" t="s">
        <v>4897</v>
      </c>
      <c r="D750" s="8634" t="s">
        <v>4898</v>
      </c>
      <c r="E750" s="8634" t="s">
        <v>4899</v>
      </c>
      <c r="F750" s="8634" t="s">
        <v>2363</v>
      </c>
      <c r="G750" s="8634" t="s">
        <v>24</v>
      </c>
      <c r="H750" s="8634" t="s">
        <v>2773</v>
      </c>
      <c r="I750" s="8634" t="s">
        <v>722</v>
      </c>
    </row>
    <row customHeight="1" ht="11.25">
      <c r="A751" s="8634" t="s">
        <v>2182</v>
      </c>
      <c r="B751" s="8634" t="s">
        <v>14</v>
      </c>
      <c r="C751" s="8634" t="s">
        <v>4900</v>
      </c>
      <c r="D751" s="8634" t="s">
        <v>4901</v>
      </c>
      <c r="E751" s="8634" t="s">
        <v>4902</v>
      </c>
      <c r="F751" s="8634" t="s">
        <v>2363</v>
      </c>
      <c r="G751" s="8634" t="s">
        <v>24</v>
      </c>
      <c r="H751" s="8634" t="s">
        <v>24</v>
      </c>
      <c r="I751" s="8634" t="s">
        <v>722</v>
      </c>
    </row>
    <row customHeight="1" ht="11.25">
      <c r="A752" s="8634" t="s">
        <v>2182</v>
      </c>
      <c r="B752" s="8634" t="s">
        <v>14</v>
      </c>
      <c r="C752" s="8634" t="s">
        <v>4903</v>
      </c>
      <c r="D752" s="8634" t="s">
        <v>4904</v>
      </c>
      <c r="E752" s="8634" t="s">
        <v>4905</v>
      </c>
      <c r="F752" s="8634" t="s">
        <v>2218</v>
      </c>
      <c r="G752" s="8634" t="s">
        <v>4735</v>
      </c>
      <c r="H752" s="8634" t="s">
        <v>24</v>
      </c>
      <c r="I752" s="8634" t="s">
        <v>722</v>
      </c>
    </row>
    <row customHeight="1" ht="11.25">
      <c r="A753" s="8634" t="s">
        <v>2182</v>
      </c>
      <c r="B753" s="8634" t="s">
        <v>14</v>
      </c>
      <c r="C753" s="8634" t="s">
        <v>4906</v>
      </c>
      <c r="D753" s="8634" t="s">
        <v>4907</v>
      </c>
      <c r="E753" s="8634" t="s">
        <v>4908</v>
      </c>
      <c r="F753" s="8634" t="s">
        <v>4909</v>
      </c>
      <c r="G753" s="8634" t="s">
        <v>4910</v>
      </c>
      <c r="H753" s="8634" t="s">
        <v>24</v>
      </c>
      <c r="I753" s="8634" t="s">
        <v>722</v>
      </c>
    </row>
    <row customHeight="1" ht="11.25">
      <c r="A754" s="8634" t="s">
        <v>2182</v>
      </c>
      <c r="B754" s="8634" t="s">
        <v>14</v>
      </c>
      <c r="C754" s="8634" t="s">
        <v>4911</v>
      </c>
      <c r="D754" s="8634" t="s">
        <v>4912</v>
      </c>
      <c r="E754" s="8634" t="s">
        <v>4913</v>
      </c>
      <c r="F754" s="8634" t="s">
        <v>2460</v>
      </c>
      <c r="G754" s="8634" t="s">
        <v>24</v>
      </c>
      <c r="H754" s="8634" t="s">
        <v>24</v>
      </c>
      <c r="I754" s="8634" t="s">
        <v>722</v>
      </c>
    </row>
    <row customHeight="1" ht="11.25">
      <c r="A755" s="8634" t="s">
        <v>2182</v>
      </c>
      <c r="B755" s="8634" t="s">
        <v>14</v>
      </c>
      <c r="C755" s="8634" t="s">
        <v>4914</v>
      </c>
      <c r="D755" s="8634" t="s">
        <v>4915</v>
      </c>
      <c r="E755" s="8634" t="s">
        <v>4916</v>
      </c>
      <c r="F755" s="8634" t="s">
        <v>2854</v>
      </c>
      <c r="G755" s="8634" t="s">
        <v>24</v>
      </c>
      <c r="H755" s="8634" t="s">
        <v>2187</v>
      </c>
      <c r="I755" s="8634" t="s">
        <v>722</v>
      </c>
    </row>
    <row customHeight="1" ht="11.25">
      <c r="A756" s="8634" t="s">
        <v>2182</v>
      </c>
      <c r="B756" s="8634" t="s">
        <v>14</v>
      </c>
      <c r="C756" s="8634" t="s">
        <v>4917</v>
      </c>
      <c r="D756" s="8634" t="s">
        <v>4918</v>
      </c>
      <c r="E756" s="8634" t="s">
        <v>4919</v>
      </c>
      <c r="F756" s="8634" t="s">
        <v>2389</v>
      </c>
      <c r="G756" s="8634" t="s">
        <v>24</v>
      </c>
      <c r="H756" s="8634" t="s">
        <v>2187</v>
      </c>
      <c r="I756" s="8634" t="s">
        <v>722</v>
      </c>
    </row>
    <row customHeight="1" ht="11.25">
      <c r="A757" s="8634" t="s">
        <v>2182</v>
      </c>
      <c r="B757" s="8634" t="s">
        <v>14</v>
      </c>
      <c r="C757" s="8634" t="s">
        <v>4920</v>
      </c>
      <c r="D757" s="8634" t="s">
        <v>4921</v>
      </c>
      <c r="E757" s="8634" t="s">
        <v>4922</v>
      </c>
      <c r="F757" s="8634" t="s">
        <v>2890</v>
      </c>
      <c r="G757" s="8634" t="s">
        <v>4923</v>
      </c>
      <c r="H757" s="8634" t="s">
        <v>24</v>
      </c>
      <c r="I757" s="8634" t="s">
        <v>722</v>
      </c>
    </row>
    <row customHeight="1" ht="11.25">
      <c r="A758" s="8634" t="s">
        <v>2182</v>
      </c>
      <c r="B758" s="8634" t="s">
        <v>14</v>
      </c>
      <c r="C758" s="8634" t="s">
        <v>4924</v>
      </c>
      <c r="D758" s="8634" t="s">
        <v>4925</v>
      </c>
      <c r="E758" s="8634" t="s">
        <v>4926</v>
      </c>
      <c r="F758" s="8634" t="s">
        <v>2398</v>
      </c>
      <c r="G758" s="8634" t="s">
        <v>4927</v>
      </c>
      <c r="H758" s="8634" t="s">
        <v>2187</v>
      </c>
      <c r="I758" s="8634" t="s">
        <v>722</v>
      </c>
    </row>
    <row customHeight="1" ht="11.25">
      <c r="A759" s="8634" t="s">
        <v>2182</v>
      </c>
      <c r="B759" s="8634" t="s">
        <v>14</v>
      </c>
      <c r="C759" s="8634" t="s">
        <v>4928</v>
      </c>
      <c r="D759" s="8634" t="s">
        <v>4929</v>
      </c>
      <c r="E759" s="8634" t="s">
        <v>4930</v>
      </c>
      <c r="F759" s="8634" t="s">
        <v>2344</v>
      </c>
      <c r="G759" s="8634" t="s">
        <v>24</v>
      </c>
      <c r="H759" s="8634" t="s">
        <v>24</v>
      </c>
      <c r="I759" s="8634" t="s">
        <v>722</v>
      </c>
    </row>
    <row customHeight="1" ht="11.25">
      <c r="A760" s="8634" t="s">
        <v>2182</v>
      </c>
      <c r="B760" s="8634" t="s">
        <v>14</v>
      </c>
      <c r="C760" s="8634" t="s">
        <v>4931</v>
      </c>
      <c r="D760" s="8634" t="s">
        <v>4932</v>
      </c>
      <c r="E760" s="8634" t="s">
        <v>4933</v>
      </c>
      <c r="F760" s="8634" t="s">
        <v>2218</v>
      </c>
      <c r="G760" s="8634" t="s">
        <v>4934</v>
      </c>
      <c r="H760" s="8634" t="s">
        <v>24</v>
      </c>
      <c r="I760" s="8634" t="s">
        <v>722</v>
      </c>
    </row>
    <row customHeight="1" ht="11.25">
      <c r="A761" s="8634" t="s">
        <v>2182</v>
      </c>
      <c r="B761" s="8634" t="s">
        <v>14</v>
      </c>
      <c r="C761" s="8634" t="s">
        <v>4935</v>
      </c>
      <c r="D761" s="8634" t="s">
        <v>4936</v>
      </c>
      <c r="E761" s="8634" t="s">
        <v>4937</v>
      </c>
      <c r="F761" s="8634" t="s">
        <v>2279</v>
      </c>
      <c r="G761" s="8634" t="s">
        <v>24</v>
      </c>
      <c r="H761" s="8634" t="s">
        <v>24</v>
      </c>
      <c r="I761" s="8634" t="s">
        <v>722</v>
      </c>
    </row>
    <row customHeight="1" ht="11.25">
      <c r="A762" s="8634" t="s">
        <v>2182</v>
      </c>
      <c r="B762" s="8634" t="s">
        <v>14</v>
      </c>
      <c r="C762" s="8634" t="s">
        <v>4938</v>
      </c>
      <c r="D762" s="8634" t="s">
        <v>4939</v>
      </c>
      <c r="E762" s="8634" t="s">
        <v>4940</v>
      </c>
      <c r="F762" s="8634" t="s">
        <v>2213</v>
      </c>
      <c r="G762" s="8634" t="s">
        <v>4941</v>
      </c>
      <c r="H762" s="8634" t="s">
        <v>24</v>
      </c>
      <c r="I762" s="8634" t="s">
        <v>722</v>
      </c>
    </row>
    <row customHeight="1" ht="11.25">
      <c r="A763" s="8634" t="s">
        <v>2182</v>
      </c>
      <c r="B763" s="8634" t="s">
        <v>14</v>
      </c>
      <c r="C763" s="8634" t="s">
        <v>4942</v>
      </c>
      <c r="D763" s="8634" t="s">
        <v>4943</v>
      </c>
      <c r="E763" s="8634" t="s">
        <v>4944</v>
      </c>
      <c r="F763" s="8634" t="s">
        <v>2363</v>
      </c>
      <c r="G763" s="8634" t="s">
        <v>24</v>
      </c>
      <c r="H763" s="8634" t="s">
        <v>24</v>
      </c>
      <c r="I763" s="8634" t="s">
        <v>722</v>
      </c>
    </row>
    <row customHeight="1" ht="11.25">
      <c r="A764" s="8634" t="s">
        <v>2182</v>
      </c>
      <c r="B764" s="8634" t="s">
        <v>14</v>
      </c>
      <c r="C764" s="8634" t="s">
        <v>4945</v>
      </c>
      <c r="D764" s="8634" t="s">
        <v>4946</v>
      </c>
      <c r="E764" s="8634" t="s">
        <v>4947</v>
      </c>
      <c r="F764" s="8634" t="s">
        <v>2354</v>
      </c>
      <c r="G764" s="8634" t="s">
        <v>4948</v>
      </c>
      <c r="H764" s="8634" t="s">
        <v>4949</v>
      </c>
      <c r="I764" s="8634" t="s">
        <v>722</v>
      </c>
    </row>
    <row customHeight="1" ht="11.25">
      <c r="A765" s="8634" t="s">
        <v>2182</v>
      </c>
      <c r="B765" s="8634" t="s">
        <v>14</v>
      </c>
      <c r="C765" s="8634" t="s">
        <v>4950</v>
      </c>
      <c r="D765" s="8634" t="s">
        <v>4951</v>
      </c>
      <c r="E765" s="8634" t="s">
        <v>4952</v>
      </c>
      <c r="F765" s="8634" t="s">
        <v>2218</v>
      </c>
      <c r="G765" s="8634" t="s">
        <v>24</v>
      </c>
      <c r="H765" s="8634" t="s">
        <v>24</v>
      </c>
      <c r="I765" s="8634" t="s">
        <v>722</v>
      </c>
    </row>
    <row customHeight="1" ht="11.25">
      <c r="A766" s="8634" t="s">
        <v>2182</v>
      </c>
      <c r="B766" s="8634" t="s">
        <v>14</v>
      </c>
      <c r="C766" s="8634" t="s">
        <v>4953</v>
      </c>
      <c r="D766" s="8634" t="s">
        <v>4954</v>
      </c>
      <c r="E766" s="8634" t="s">
        <v>4955</v>
      </c>
      <c r="F766" s="8634" t="s">
        <v>2213</v>
      </c>
      <c r="G766" s="8634" t="s">
        <v>4956</v>
      </c>
      <c r="H766" s="8634" t="s">
        <v>24</v>
      </c>
      <c r="I766" s="8634" t="s">
        <v>722</v>
      </c>
    </row>
    <row customHeight="1" ht="11.25">
      <c r="A767" s="8634" t="s">
        <v>2182</v>
      </c>
      <c r="B767" s="8634" t="s">
        <v>14</v>
      </c>
      <c r="C767" s="8634" t="s">
        <v>4957</v>
      </c>
      <c r="D767" s="8634" t="s">
        <v>4958</v>
      </c>
      <c r="E767" s="8634" t="s">
        <v>4959</v>
      </c>
      <c r="F767" s="8634" t="s">
        <v>2363</v>
      </c>
      <c r="G767" s="8634" t="s">
        <v>24</v>
      </c>
      <c r="H767" s="8634" t="s">
        <v>2187</v>
      </c>
      <c r="I767" s="8634" t="s">
        <v>722</v>
      </c>
    </row>
    <row customHeight="1" ht="11.25">
      <c r="A768" s="8634" t="s">
        <v>2182</v>
      </c>
      <c r="B768" s="8634" t="s">
        <v>14</v>
      </c>
      <c r="C768" s="8634" t="s">
        <v>4960</v>
      </c>
      <c r="D768" s="8634" t="s">
        <v>4961</v>
      </c>
      <c r="E768" s="8634" t="s">
        <v>4962</v>
      </c>
      <c r="F768" s="8634" t="s">
        <v>2363</v>
      </c>
      <c r="G768" s="8634" t="s">
        <v>4963</v>
      </c>
      <c r="H768" s="8634" t="s">
        <v>24</v>
      </c>
      <c r="I768" s="8634" t="s">
        <v>722</v>
      </c>
    </row>
    <row customHeight="1" ht="11.25">
      <c r="A769" s="8634" t="s">
        <v>2182</v>
      </c>
      <c r="B769" s="8634" t="s">
        <v>14</v>
      </c>
      <c r="C769" s="8634" t="s">
        <v>4964</v>
      </c>
      <c r="D769" s="8634" t="s">
        <v>4965</v>
      </c>
      <c r="E769" s="8634" t="s">
        <v>4966</v>
      </c>
      <c r="F769" s="8634" t="s">
        <v>2411</v>
      </c>
      <c r="G769" s="8634" t="s">
        <v>24</v>
      </c>
      <c r="H769" s="8634" t="s">
        <v>2187</v>
      </c>
      <c r="I769" s="8634" t="s">
        <v>722</v>
      </c>
    </row>
    <row customHeight="1" ht="11.25">
      <c r="A770" s="8634" t="s">
        <v>2182</v>
      </c>
      <c r="B770" s="8634" t="s">
        <v>14</v>
      </c>
      <c r="C770" s="8634" t="s">
        <v>4967</v>
      </c>
      <c r="D770" s="8634" t="s">
        <v>4968</v>
      </c>
      <c r="E770" s="8634" t="s">
        <v>4969</v>
      </c>
      <c r="F770" s="8634" t="s">
        <v>2563</v>
      </c>
      <c r="G770" s="8634" t="s">
        <v>24</v>
      </c>
      <c r="H770" s="8634" t="s">
        <v>24</v>
      </c>
      <c r="I770" s="8634" t="s">
        <v>722</v>
      </c>
    </row>
    <row customHeight="1" ht="11.25">
      <c r="A771" s="8634" t="s">
        <v>2182</v>
      </c>
      <c r="B771" s="8634" t="s">
        <v>14</v>
      </c>
      <c r="C771" s="8634" t="s">
        <v>4970</v>
      </c>
      <c r="D771" s="8634" t="s">
        <v>4971</v>
      </c>
      <c r="E771" s="8634" t="s">
        <v>4972</v>
      </c>
      <c r="F771" s="8634" t="s">
        <v>2600</v>
      </c>
      <c r="G771" s="8634" t="s">
        <v>24</v>
      </c>
      <c r="H771" s="8634" t="s">
        <v>2187</v>
      </c>
      <c r="I771" s="8634" t="s">
        <v>722</v>
      </c>
    </row>
    <row customHeight="1" ht="11.25">
      <c r="A772" s="8634" t="s">
        <v>2182</v>
      </c>
      <c r="B772" s="8634" t="s">
        <v>14</v>
      </c>
      <c r="C772" s="8634" t="s">
        <v>4973</v>
      </c>
      <c r="D772" s="8634" t="s">
        <v>4974</v>
      </c>
      <c r="E772" s="8634" t="s">
        <v>4955</v>
      </c>
      <c r="F772" s="8634" t="s">
        <v>4975</v>
      </c>
      <c r="G772" s="8634" t="s">
        <v>4976</v>
      </c>
      <c r="H772" s="8634" t="s">
        <v>2187</v>
      </c>
      <c r="I772" s="8634" t="s">
        <v>722</v>
      </c>
    </row>
    <row customHeight="1" ht="11.25">
      <c r="A773" s="8634" t="s">
        <v>2182</v>
      </c>
      <c r="B773" s="8634" t="s">
        <v>14</v>
      </c>
      <c r="C773" s="8634" t="s">
        <v>4977</v>
      </c>
      <c r="D773" s="8634" t="s">
        <v>4978</v>
      </c>
      <c r="E773" s="8634" t="s">
        <v>4979</v>
      </c>
      <c r="F773" s="8634" t="s">
        <v>4980</v>
      </c>
      <c r="G773" s="8634" t="s">
        <v>24</v>
      </c>
      <c r="H773" s="8634" t="s">
        <v>4981</v>
      </c>
      <c r="I773" s="8634" t="s">
        <v>722</v>
      </c>
    </row>
    <row customHeight="1" ht="11.25">
      <c r="A774" s="8634" t="s">
        <v>2182</v>
      </c>
      <c r="B774" s="8634" t="s">
        <v>14</v>
      </c>
      <c r="C774" s="8634" t="s">
        <v>4982</v>
      </c>
      <c r="D774" s="8634" t="s">
        <v>4983</v>
      </c>
      <c r="E774" s="8634" t="s">
        <v>4984</v>
      </c>
      <c r="F774" s="8634" t="s">
        <v>2279</v>
      </c>
      <c r="G774" s="8634" t="s">
        <v>24</v>
      </c>
      <c r="H774" s="8634" t="s">
        <v>3222</v>
      </c>
      <c r="I774" s="8634" t="s">
        <v>722</v>
      </c>
    </row>
    <row customHeight="1" ht="11.25">
      <c r="A775" s="8634" t="s">
        <v>2182</v>
      </c>
      <c r="B775" s="8634" t="s">
        <v>14</v>
      </c>
      <c r="C775" s="8634" t="s">
        <v>4985</v>
      </c>
      <c r="D775" s="8634" t="s">
        <v>4986</v>
      </c>
      <c r="E775" s="8634" t="s">
        <v>4987</v>
      </c>
      <c r="F775" s="8634" t="s">
        <v>2705</v>
      </c>
      <c r="G775" s="8634" t="s">
        <v>24</v>
      </c>
      <c r="H775" s="8634" t="s">
        <v>2993</v>
      </c>
      <c r="I775" s="8634" t="s">
        <v>722</v>
      </c>
    </row>
    <row customHeight="1" ht="11.25">
      <c r="A776" s="8634" t="s">
        <v>2182</v>
      </c>
      <c r="B776" s="8634" t="s">
        <v>14</v>
      </c>
      <c r="C776" s="8634" t="s">
        <v>4988</v>
      </c>
      <c r="D776" s="8634" t="s">
        <v>4989</v>
      </c>
      <c r="E776" s="8634" t="s">
        <v>4990</v>
      </c>
      <c r="F776" s="8634" t="s">
        <v>2218</v>
      </c>
      <c r="G776" s="8634" t="s">
        <v>4991</v>
      </c>
      <c r="H776" s="8634" t="s">
        <v>24</v>
      </c>
      <c r="I776" s="8634" t="s">
        <v>722</v>
      </c>
    </row>
    <row customHeight="1" ht="11.25">
      <c r="A777" s="8634" t="s">
        <v>2182</v>
      </c>
      <c r="B777" s="8634" t="s">
        <v>14</v>
      </c>
      <c r="C777" s="8634" t="s">
        <v>4992</v>
      </c>
      <c r="D777" s="8634" t="s">
        <v>4993</v>
      </c>
      <c r="E777" s="8634" t="s">
        <v>4994</v>
      </c>
      <c r="F777" s="8634" t="s">
        <v>2354</v>
      </c>
      <c r="G777" s="8634" t="s">
        <v>4995</v>
      </c>
      <c r="H777" s="8634" t="s">
        <v>2187</v>
      </c>
      <c r="I777" s="8634" t="s">
        <v>722</v>
      </c>
    </row>
    <row customHeight="1" ht="11.25">
      <c r="A778" s="8634" t="s">
        <v>2182</v>
      </c>
      <c r="B778" s="8634" t="s">
        <v>14</v>
      </c>
      <c r="C778" s="8634" t="s">
        <v>4996</v>
      </c>
      <c r="D778" s="8634" t="s">
        <v>4993</v>
      </c>
      <c r="E778" s="8634" t="s">
        <v>4997</v>
      </c>
      <c r="F778" s="8634" t="s">
        <v>2354</v>
      </c>
      <c r="G778" s="8634" t="s">
        <v>24</v>
      </c>
      <c r="H778" s="8634" t="s">
        <v>3450</v>
      </c>
      <c r="I778" s="8634" t="s">
        <v>722</v>
      </c>
    </row>
    <row customHeight="1" ht="11.25">
      <c r="A779" s="8634" t="s">
        <v>2182</v>
      </c>
      <c r="B779" s="8634" t="s">
        <v>14</v>
      </c>
      <c r="C779" s="8634" t="s">
        <v>4998</v>
      </c>
      <c r="D779" s="8634" t="s">
        <v>4999</v>
      </c>
      <c r="E779" s="8634" t="s">
        <v>5000</v>
      </c>
      <c r="F779" s="8634" t="s">
        <v>2354</v>
      </c>
      <c r="G779" s="8634" t="s">
        <v>24</v>
      </c>
      <c r="H779" s="8634" t="s">
        <v>24</v>
      </c>
      <c r="I779" s="8634" t="s">
        <v>722</v>
      </c>
    </row>
    <row customHeight="1" ht="11.25">
      <c r="A780" s="8634" t="s">
        <v>2182</v>
      </c>
      <c r="B780" s="8634" t="s">
        <v>14</v>
      </c>
      <c r="C780" s="8634" t="s">
        <v>5001</v>
      </c>
      <c r="D780" s="8634" t="s">
        <v>5002</v>
      </c>
      <c r="E780" s="8634" t="s">
        <v>5003</v>
      </c>
      <c r="F780" s="8634" t="s">
        <v>2354</v>
      </c>
      <c r="G780" s="8634" t="s">
        <v>5004</v>
      </c>
      <c r="H780" s="8634" t="s">
        <v>2187</v>
      </c>
      <c r="I780" s="8634" t="s">
        <v>722</v>
      </c>
    </row>
    <row customHeight="1" ht="11.25">
      <c r="A781" s="8634" t="s">
        <v>2182</v>
      </c>
      <c r="B781" s="8634" t="s">
        <v>14</v>
      </c>
      <c r="C781" s="8634" t="s">
        <v>5005</v>
      </c>
      <c r="D781" s="8634" t="s">
        <v>5006</v>
      </c>
      <c r="E781" s="8634" t="s">
        <v>5007</v>
      </c>
      <c r="F781" s="8634" t="s">
        <v>2890</v>
      </c>
      <c r="G781" s="8634" t="s">
        <v>5008</v>
      </c>
      <c r="H781" s="8634" t="s">
        <v>24</v>
      </c>
      <c r="I781" s="8634" t="s">
        <v>722</v>
      </c>
    </row>
    <row customHeight="1" ht="11.25">
      <c r="A782" s="8634" t="s">
        <v>2182</v>
      </c>
      <c r="B782" s="8634" t="s">
        <v>14</v>
      </c>
      <c r="C782" s="8634" t="s">
        <v>5009</v>
      </c>
      <c r="D782" s="8634" t="s">
        <v>5010</v>
      </c>
      <c r="E782" s="8634" t="s">
        <v>5011</v>
      </c>
      <c r="F782" s="8634" t="s">
        <v>2563</v>
      </c>
      <c r="G782" s="8634" t="s">
        <v>5012</v>
      </c>
      <c r="H782" s="8634" t="s">
        <v>24</v>
      </c>
      <c r="I782" s="8634" t="s">
        <v>722</v>
      </c>
    </row>
    <row customHeight="1" ht="11.25">
      <c r="A783" s="8634" t="s">
        <v>2182</v>
      </c>
      <c r="B783" s="8634" t="s">
        <v>14</v>
      </c>
      <c r="C783" s="8634" t="s">
        <v>5013</v>
      </c>
      <c r="D783" s="8634" t="s">
        <v>5014</v>
      </c>
      <c r="E783" s="8634" t="s">
        <v>5015</v>
      </c>
      <c r="F783" s="8634" t="s">
        <v>4717</v>
      </c>
      <c r="G783" s="8634" t="s">
        <v>24</v>
      </c>
      <c r="H783" s="8634" t="s">
        <v>2187</v>
      </c>
      <c r="I783" s="8634" t="s">
        <v>722</v>
      </c>
    </row>
    <row customHeight="1" ht="11.25">
      <c r="A784" s="8634" t="s">
        <v>2182</v>
      </c>
      <c r="B784" s="8634" t="s">
        <v>14</v>
      </c>
      <c r="C784" s="8634" t="s">
        <v>5016</v>
      </c>
      <c r="D784" s="8634" t="s">
        <v>5017</v>
      </c>
      <c r="E784" s="8634" t="s">
        <v>5018</v>
      </c>
      <c r="F784" s="8634" t="s">
        <v>2411</v>
      </c>
      <c r="G784" s="8634" t="s">
        <v>5019</v>
      </c>
      <c r="H784" s="8634" t="s">
        <v>24</v>
      </c>
      <c r="I784" s="8634" t="s">
        <v>722</v>
      </c>
    </row>
    <row customHeight="1" ht="11.25">
      <c r="A785" s="8634" t="s">
        <v>2182</v>
      </c>
      <c r="B785" s="8634" t="s">
        <v>14</v>
      </c>
      <c r="C785" s="8634" t="s">
        <v>5020</v>
      </c>
      <c r="D785" s="8634" t="s">
        <v>5021</v>
      </c>
      <c r="E785" s="8634" t="s">
        <v>5022</v>
      </c>
      <c r="F785" s="8634" t="s">
        <v>5023</v>
      </c>
      <c r="G785" s="8634" t="s">
        <v>24</v>
      </c>
      <c r="H785" s="8634" t="s">
        <v>5024</v>
      </c>
      <c r="I785" s="8634" t="s">
        <v>722</v>
      </c>
    </row>
    <row customHeight="1" ht="11.25">
      <c r="A786" s="8634" t="s">
        <v>2182</v>
      </c>
      <c r="B786" s="8634" t="s">
        <v>14</v>
      </c>
      <c r="C786" s="8634" t="s">
        <v>5025</v>
      </c>
      <c r="D786" s="8634" t="s">
        <v>5026</v>
      </c>
      <c r="E786" s="8634" t="s">
        <v>5027</v>
      </c>
      <c r="F786" s="8634" t="s">
        <v>2245</v>
      </c>
      <c r="G786" s="8634" t="s">
        <v>2368</v>
      </c>
      <c r="H786" s="8634" t="s">
        <v>24</v>
      </c>
      <c r="I786" s="8634" t="s">
        <v>722</v>
      </c>
    </row>
    <row customHeight="1" ht="11.25">
      <c r="A787" s="8634" t="s">
        <v>2182</v>
      </c>
      <c r="B787" s="8634" t="s">
        <v>14</v>
      </c>
      <c r="C787" s="8634" t="s">
        <v>5028</v>
      </c>
      <c r="D787" s="8634" t="s">
        <v>5029</v>
      </c>
      <c r="E787" s="8634" t="s">
        <v>5030</v>
      </c>
      <c r="F787" s="8634" t="s">
        <v>2322</v>
      </c>
      <c r="G787" s="8634" t="s">
        <v>5031</v>
      </c>
      <c r="H787" s="8634" t="s">
        <v>24</v>
      </c>
      <c r="I787" s="8634" t="s">
        <v>722</v>
      </c>
    </row>
    <row customHeight="1" ht="11.25">
      <c r="A788" s="8634" t="s">
        <v>2182</v>
      </c>
      <c r="B788" s="8634" t="s">
        <v>14</v>
      </c>
      <c r="C788" s="8634" t="s">
        <v>5032</v>
      </c>
      <c r="D788" s="8634" t="s">
        <v>5033</v>
      </c>
      <c r="E788" s="8634" t="s">
        <v>5034</v>
      </c>
      <c r="F788" s="8634" t="s">
        <v>2411</v>
      </c>
      <c r="G788" s="8634" t="s">
        <v>5035</v>
      </c>
      <c r="H788" s="8634" t="s">
        <v>24</v>
      </c>
      <c r="I788" s="8634" t="s">
        <v>722</v>
      </c>
    </row>
    <row customHeight="1" ht="11.25">
      <c r="A789" s="8634" t="s">
        <v>2182</v>
      </c>
      <c r="B789" s="8634" t="s">
        <v>14</v>
      </c>
      <c r="C789" s="8634" t="s">
        <v>5036</v>
      </c>
      <c r="D789" s="8634" t="s">
        <v>5037</v>
      </c>
      <c r="E789" s="8634" t="s">
        <v>5038</v>
      </c>
      <c r="F789" s="8634" t="s">
        <v>2322</v>
      </c>
      <c r="G789" s="8634" t="s">
        <v>5039</v>
      </c>
      <c r="H789" s="8634" t="s">
        <v>24</v>
      </c>
      <c r="I789" s="8634" t="s">
        <v>722</v>
      </c>
    </row>
    <row customHeight="1" ht="11.25">
      <c r="A790" s="8634" t="s">
        <v>2182</v>
      </c>
      <c r="B790" s="8634" t="s">
        <v>14</v>
      </c>
      <c r="C790" s="8634" t="s">
        <v>5040</v>
      </c>
      <c r="D790" s="8634" t="s">
        <v>5041</v>
      </c>
      <c r="E790" s="8634" t="s">
        <v>5042</v>
      </c>
      <c r="F790" s="8634" t="s">
        <v>2600</v>
      </c>
      <c r="G790" s="8634" t="s">
        <v>24</v>
      </c>
      <c r="H790" s="8634" t="s">
        <v>2187</v>
      </c>
      <c r="I790" s="8634" t="s">
        <v>722</v>
      </c>
    </row>
    <row customHeight="1" ht="11.25">
      <c r="A791" s="8634" t="s">
        <v>2182</v>
      </c>
      <c r="B791" s="8634" t="s">
        <v>14</v>
      </c>
      <c r="C791" s="8634" t="s">
        <v>5043</v>
      </c>
      <c r="D791" s="8634" t="s">
        <v>5044</v>
      </c>
      <c r="E791" s="8634" t="s">
        <v>5045</v>
      </c>
      <c r="F791" s="8634" t="s">
        <v>2512</v>
      </c>
      <c r="G791" s="8634" t="s">
        <v>24</v>
      </c>
      <c r="H791" s="8634" t="s">
        <v>24</v>
      </c>
      <c r="I791" s="8634" t="s">
        <v>722</v>
      </c>
    </row>
    <row customHeight="1" ht="11.25">
      <c r="A792" s="8634" t="s">
        <v>2182</v>
      </c>
      <c r="B792" s="8634" t="s">
        <v>14</v>
      </c>
      <c r="C792" s="8634" t="s">
        <v>5046</v>
      </c>
      <c r="D792" s="8634" t="s">
        <v>5047</v>
      </c>
      <c r="E792" s="8634" t="s">
        <v>5048</v>
      </c>
      <c r="F792" s="8634" t="s">
        <v>2330</v>
      </c>
      <c r="G792" s="8634" t="s">
        <v>5049</v>
      </c>
      <c r="H792" s="8634" t="s">
        <v>24</v>
      </c>
      <c r="I792" s="8634" t="s">
        <v>722</v>
      </c>
    </row>
    <row customHeight="1" ht="11.25">
      <c r="A793" s="8634" t="s">
        <v>2182</v>
      </c>
      <c r="B793" s="8634" t="s">
        <v>14</v>
      </c>
      <c r="C793" s="8634" t="s">
        <v>5050</v>
      </c>
      <c r="D793" s="8634" t="s">
        <v>5051</v>
      </c>
      <c r="E793" s="8634" t="s">
        <v>5052</v>
      </c>
      <c r="F793" s="8634" t="s">
        <v>2492</v>
      </c>
      <c r="G793" s="8634" t="s">
        <v>24</v>
      </c>
      <c r="H793" s="8634" t="s">
        <v>24</v>
      </c>
      <c r="I793" s="8634" t="s">
        <v>722</v>
      </c>
    </row>
    <row customHeight="1" ht="11.25">
      <c r="A794" s="8634" t="s">
        <v>2182</v>
      </c>
      <c r="B794" s="8634" t="s">
        <v>14</v>
      </c>
      <c r="C794" s="8634" t="s">
        <v>5053</v>
      </c>
      <c r="D794" s="8634" t="s">
        <v>5054</v>
      </c>
      <c r="E794" s="8634" t="s">
        <v>5055</v>
      </c>
      <c r="F794" s="8634" t="s">
        <v>2394</v>
      </c>
      <c r="G794" s="8634" t="s">
        <v>24</v>
      </c>
      <c r="H794" s="8634" t="s">
        <v>24</v>
      </c>
      <c r="I794" s="8634" t="s">
        <v>722</v>
      </c>
    </row>
    <row customHeight="1" ht="11.25">
      <c r="A795" s="8634" t="s">
        <v>2182</v>
      </c>
      <c r="B795" s="8634" t="s">
        <v>14</v>
      </c>
      <c r="C795" s="8634" t="s">
        <v>5056</v>
      </c>
      <c r="D795" s="8634" t="s">
        <v>5057</v>
      </c>
      <c r="E795" s="8634" t="s">
        <v>5058</v>
      </c>
      <c r="F795" s="8634" t="s">
        <v>2233</v>
      </c>
      <c r="G795" s="8634" t="s">
        <v>24</v>
      </c>
      <c r="H795" s="8634" t="s">
        <v>2187</v>
      </c>
      <c r="I795" s="8634" t="s">
        <v>722</v>
      </c>
    </row>
    <row customHeight="1" ht="11.25">
      <c r="A796" s="8634" t="s">
        <v>2182</v>
      </c>
      <c r="B796" s="8634" t="s">
        <v>14</v>
      </c>
      <c r="C796" s="8634" t="s">
        <v>5059</v>
      </c>
      <c r="D796" s="8634" t="s">
        <v>5060</v>
      </c>
      <c r="E796" s="8634" t="s">
        <v>5061</v>
      </c>
      <c r="F796" s="8634" t="s">
        <v>2218</v>
      </c>
      <c r="G796" s="8634" t="s">
        <v>5062</v>
      </c>
      <c r="H796" s="8634" t="s">
        <v>2870</v>
      </c>
      <c r="I796" s="8634" t="s">
        <v>722</v>
      </c>
    </row>
    <row customHeight="1" ht="11.25">
      <c r="A797" s="8634" t="s">
        <v>2182</v>
      </c>
      <c r="B797" s="8634" t="s">
        <v>14</v>
      </c>
      <c r="C797" s="8634" t="s">
        <v>5063</v>
      </c>
      <c r="D797" s="8634" t="s">
        <v>5064</v>
      </c>
      <c r="E797" s="8634" t="s">
        <v>5065</v>
      </c>
      <c r="F797" s="8634" t="s">
        <v>2613</v>
      </c>
      <c r="G797" s="8634" t="s">
        <v>5066</v>
      </c>
      <c r="H797" s="8634" t="s">
        <v>24</v>
      </c>
      <c r="I797" s="8634" t="s">
        <v>722</v>
      </c>
    </row>
    <row customHeight="1" ht="11.25">
      <c r="A798" s="8634" t="s">
        <v>2182</v>
      </c>
      <c r="B798" s="8634" t="s">
        <v>14</v>
      </c>
      <c r="C798" s="8634" t="s">
        <v>5067</v>
      </c>
      <c r="D798" s="8634" t="s">
        <v>5068</v>
      </c>
      <c r="E798" s="8634" t="s">
        <v>5069</v>
      </c>
      <c r="F798" s="8634" t="s">
        <v>2398</v>
      </c>
      <c r="G798" s="8634" t="s">
        <v>5070</v>
      </c>
      <c r="H798" s="8634" t="s">
        <v>24</v>
      </c>
      <c r="I798" s="8634" t="s">
        <v>722</v>
      </c>
    </row>
    <row customHeight="1" ht="11.25">
      <c r="A799" s="8634" t="s">
        <v>2182</v>
      </c>
      <c r="B799" s="8634" t="s">
        <v>14</v>
      </c>
      <c r="C799" s="8634" t="s">
        <v>5071</v>
      </c>
      <c r="D799" s="8634" t="s">
        <v>5072</v>
      </c>
      <c r="E799" s="8634" t="s">
        <v>5045</v>
      </c>
      <c r="F799" s="8634" t="s">
        <v>5073</v>
      </c>
      <c r="G799" s="8634" t="s">
        <v>24</v>
      </c>
      <c r="H799" s="8634" t="s">
        <v>24</v>
      </c>
      <c r="I799" s="8634" t="s">
        <v>722</v>
      </c>
    </row>
    <row customHeight="1" ht="11.25">
      <c r="A800" s="8634" t="s">
        <v>2182</v>
      </c>
      <c r="B800" s="8634" t="s">
        <v>14</v>
      </c>
      <c r="C800" s="8634" t="s">
        <v>5074</v>
      </c>
      <c r="D800" s="8634" t="s">
        <v>5075</v>
      </c>
      <c r="E800" s="8634" t="s">
        <v>5076</v>
      </c>
      <c r="F800" s="8634" t="s">
        <v>2512</v>
      </c>
      <c r="G800" s="8634" t="s">
        <v>24</v>
      </c>
      <c r="H800" s="8634" t="s">
        <v>24</v>
      </c>
      <c r="I800" s="8634" t="s">
        <v>722</v>
      </c>
    </row>
    <row customHeight="1" ht="11.25">
      <c r="A801" s="8634" t="s">
        <v>2182</v>
      </c>
      <c r="B801" s="8634" t="s">
        <v>14</v>
      </c>
      <c r="C801" s="8634" t="s">
        <v>5077</v>
      </c>
      <c r="D801" s="8634" t="s">
        <v>5078</v>
      </c>
      <c r="E801" s="8634" t="s">
        <v>5079</v>
      </c>
      <c r="F801" s="8634" t="s">
        <v>4764</v>
      </c>
      <c r="G801" s="8634" t="s">
        <v>24</v>
      </c>
      <c r="H801" s="8634" t="s">
        <v>24</v>
      </c>
      <c r="I801" s="8634" t="s">
        <v>722</v>
      </c>
    </row>
    <row customHeight="1" ht="11.25">
      <c r="A802" s="8634" t="s">
        <v>2182</v>
      </c>
      <c r="B802" s="8634" t="s">
        <v>14</v>
      </c>
      <c r="C802" s="8634" t="s">
        <v>5080</v>
      </c>
      <c r="D802" s="8634" t="s">
        <v>5081</v>
      </c>
      <c r="E802" s="8634" t="s">
        <v>5079</v>
      </c>
      <c r="F802" s="8634" t="s">
        <v>5082</v>
      </c>
      <c r="G802" s="8634" t="s">
        <v>24</v>
      </c>
      <c r="H802" s="8634" t="s">
        <v>2187</v>
      </c>
      <c r="I802" s="8634" t="s">
        <v>722</v>
      </c>
    </row>
    <row customHeight="1" ht="11.25">
      <c r="A803" s="8634" t="s">
        <v>2182</v>
      </c>
      <c r="B803" s="8634" t="s">
        <v>14</v>
      </c>
      <c r="C803" s="8634" t="s">
        <v>5083</v>
      </c>
      <c r="D803" s="8634" t="s">
        <v>5084</v>
      </c>
      <c r="E803" s="8634" t="s">
        <v>5085</v>
      </c>
      <c r="F803" s="8634" t="s">
        <v>2269</v>
      </c>
      <c r="G803" s="8634" t="s">
        <v>24</v>
      </c>
      <c r="H803" s="8634" t="s">
        <v>24</v>
      </c>
      <c r="I803" s="8634" t="s">
        <v>722</v>
      </c>
    </row>
    <row customHeight="1" ht="11.25">
      <c r="A804" s="8634" t="s">
        <v>2182</v>
      </c>
      <c r="B804" s="8634" t="s">
        <v>14</v>
      </c>
      <c r="C804" s="8634" t="s">
        <v>5086</v>
      </c>
      <c r="D804" s="8634" t="s">
        <v>5087</v>
      </c>
      <c r="E804" s="8634" t="s">
        <v>5088</v>
      </c>
      <c r="F804" s="8634" t="s">
        <v>5089</v>
      </c>
      <c r="G804" s="8634" t="s">
        <v>5090</v>
      </c>
      <c r="H804" s="8634" t="s">
        <v>24</v>
      </c>
      <c r="I804" s="8634" t="s">
        <v>722</v>
      </c>
    </row>
    <row customHeight="1" ht="11.25">
      <c r="A805" s="8634" t="s">
        <v>2182</v>
      </c>
      <c r="B805" s="8634" t="s">
        <v>14</v>
      </c>
      <c r="C805" s="8634" t="s">
        <v>5091</v>
      </c>
      <c r="D805" s="8634" t="s">
        <v>5092</v>
      </c>
      <c r="E805" s="8634" t="s">
        <v>5093</v>
      </c>
      <c r="F805" s="8634" t="s">
        <v>2245</v>
      </c>
      <c r="G805" s="8634" t="s">
        <v>24</v>
      </c>
      <c r="H805" s="8634" t="s">
        <v>5094</v>
      </c>
      <c r="I805" s="8634" t="s">
        <v>722</v>
      </c>
    </row>
    <row customHeight="1" ht="11.25">
      <c r="A806" s="8634" t="s">
        <v>2182</v>
      </c>
      <c r="B806" s="8634" t="s">
        <v>14</v>
      </c>
      <c r="C806" s="8634" t="s">
        <v>5095</v>
      </c>
      <c r="D806" s="8634" t="s">
        <v>5096</v>
      </c>
      <c r="E806" s="8634" t="s">
        <v>5097</v>
      </c>
      <c r="F806" s="8634" t="s">
        <v>2890</v>
      </c>
      <c r="G806" s="8634" t="s">
        <v>5098</v>
      </c>
      <c r="H806" s="8634" t="s">
        <v>2187</v>
      </c>
      <c r="I806" s="8634" t="s">
        <v>722</v>
      </c>
    </row>
    <row customHeight="1" ht="11.25">
      <c r="A807" s="8634" t="s">
        <v>2182</v>
      </c>
      <c r="B807" s="8634" t="s">
        <v>14</v>
      </c>
      <c r="C807" s="8634" t="s">
        <v>5099</v>
      </c>
      <c r="D807" s="8634" t="s">
        <v>5100</v>
      </c>
      <c r="E807" s="8634" t="s">
        <v>5101</v>
      </c>
      <c r="F807" s="8634" t="s">
        <v>2339</v>
      </c>
      <c r="G807" s="8634" t="s">
        <v>2187</v>
      </c>
      <c r="H807" s="8634" t="s">
        <v>2187</v>
      </c>
      <c r="I807" s="8634" t="s">
        <v>722</v>
      </c>
    </row>
    <row customHeight="1" ht="11.25">
      <c r="A808" s="8634" t="s">
        <v>2182</v>
      </c>
      <c r="B808" s="8634" t="s">
        <v>14</v>
      </c>
      <c r="C808" s="8634" t="s">
        <v>5102</v>
      </c>
      <c r="D808" s="8634" t="s">
        <v>5103</v>
      </c>
      <c r="E808" s="8634" t="s">
        <v>5104</v>
      </c>
      <c r="F808" s="8634" t="s">
        <v>2705</v>
      </c>
      <c r="G808" s="8634" t="s">
        <v>24</v>
      </c>
      <c r="H808" s="8634" t="s">
        <v>2187</v>
      </c>
      <c r="I808" s="8634" t="s">
        <v>722</v>
      </c>
    </row>
    <row customHeight="1" ht="11.25">
      <c r="A809" s="8634" t="s">
        <v>2182</v>
      </c>
      <c r="B809" s="8634" t="s">
        <v>14</v>
      </c>
      <c r="C809" s="8634" t="s">
        <v>5105</v>
      </c>
      <c r="D809" s="8634" t="s">
        <v>5106</v>
      </c>
      <c r="E809" s="8634" t="s">
        <v>5107</v>
      </c>
      <c r="F809" s="8634" t="s">
        <v>2549</v>
      </c>
      <c r="G809" s="8634" t="s">
        <v>24</v>
      </c>
      <c r="H809" s="8634" t="s">
        <v>2187</v>
      </c>
      <c r="I809" s="8634" t="s">
        <v>722</v>
      </c>
    </row>
    <row customHeight="1" ht="11.25">
      <c r="A810" s="8634" t="s">
        <v>2182</v>
      </c>
      <c r="B810" s="8634" t="s">
        <v>14</v>
      </c>
      <c r="C810" s="8634" t="s">
        <v>5108</v>
      </c>
      <c r="D810" s="8634" t="s">
        <v>5109</v>
      </c>
      <c r="E810" s="8634" t="s">
        <v>5110</v>
      </c>
      <c r="F810" s="8634" t="s">
        <v>5111</v>
      </c>
      <c r="G810" s="8634" t="s">
        <v>5112</v>
      </c>
      <c r="H810" s="8634" t="s">
        <v>24</v>
      </c>
      <c r="I810" s="8634" t="s">
        <v>722</v>
      </c>
    </row>
    <row customHeight="1" ht="11.25">
      <c r="A811" s="8634" t="s">
        <v>2182</v>
      </c>
      <c r="B811" s="8634" t="s">
        <v>14</v>
      </c>
      <c r="C811" s="8634" t="s">
        <v>5113</v>
      </c>
      <c r="D811" s="8634" t="s">
        <v>5114</v>
      </c>
      <c r="E811" s="8634" t="s">
        <v>5115</v>
      </c>
      <c r="F811" s="8634" t="s">
        <v>2213</v>
      </c>
      <c r="G811" s="8634" t="s">
        <v>24</v>
      </c>
      <c r="H811" s="8634" t="s">
        <v>2187</v>
      </c>
      <c r="I811" s="8634" t="s">
        <v>722</v>
      </c>
    </row>
    <row customHeight="1" ht="11.25">
      <c r="A812" s="8634" t="s">
        <v>2182</v>
      </c>
      <c r="B812" s="8634" t="s">
        <v>14</v>
      </c>
      <c r="C812" s="8634" t="s">
        <v>5116</v>
      </c>
      <c r="D812" s="8634" t="s">
        <v>5117</v>
      </c>
      <c r="E812" s="8634" t="s">
        <v>5118</v>
      </c>
      <c r="F812" s="8634" t="s">
        <v>2233</v>
      </c>
      <c r="G812" s="8634" t="s">
        <v>24</v>
      </c>
      <c r="H812" s="8634" t="s">
        <v>2187</v>
      </c>
      <c r="I812" s="8634" t="s">
        <v>722</v>
      </c>
    </row>
    <row customHeight="1" ht="11.25">
      <c r="A813" s="8634" t="s">
        <v>2182</v>
      </c>
      <c r="B813" s="8634" t="s">
        <v>14</v>
      </c>
      <c r="C813" s="8634" t="s">
        <v>5119</v>
      </c>
      <c r="D813" s="8634" t="s">
        <v>5117</v>
      </c>
      <c r="E813" s="8634" t="s">
        <v>5118</v>
      </c>
      <c r="F813" s="8634" t="s">
        <v>2213</v>
      </c>
      <c r="G813" s="8634" t="s">
        <v>24</v>
      </c>
      <c r="H813" s="8634" t="s">
        <v>2187</v>
      </c>
      <c r="I813" s="8634" t="s">
        <v>722</v>
      </c>
    </row>
    <row customHeight="1" ht="11.25">
      <c r="A814" s="8634" t="s">
        <v>2182</v>
      </c>
      <c r="B814" s="8634" t="s">
        <v>14</v>
      </c>
      <c r="C814" s="8634" t="s">
        <v>5120</v>
      </c>
      <c r="D814" s="8634" t="s">
        <v>5121</v>
      </c>
      <c r="E814" s="8634" t="s">
        <v>5122</v>
      </c>
      <c r="F814" s="8634" t="s">
        <v>2671</v>
      </c>
      <c r="G814" s="8634" t="s">
        <v>24</v>
      </c>
      <c r="H814" s="8634" t="s">
        <v>24</v>
      </c>
      <c r="I814" s="8634" t="s">
        <v>722</v>
      </c>
    </row>
    <row customHeight="1" ht="11.25">
      <c r="A815" s="8634" t="s">
        <v>2182</v>
      </c>
      <c r="B815" s="8634" t="s">
        <v>14</v>
      </c>
      <c r="C815" s="8634" t="s">
        <v>5123</v>
      </c>
      <c r="D815" s="8634" t="s">
        <v>5124</v>
      </c>
      <c r="E815" s="8634" t="s">
        <v>5125</v>
      </c>
      <c r="F815" s="8634" t="s">
        <v>2314</v>
      </c>
      <c r="G815" s="8634" t="s">
        <v>2443</v>
      </c>
      <c r="H815" s="8634" t="s">
        <v>24</v>
      </c>
      <c r="I815" s="8634" t="s">
        <v>722</v>
      </c>
    </row>
    <row customHeight="1" ht="11.25">
      <c r="A816" s="8634" t="s">
        <v>2182</v>
      </c>
      <c r="B816" s="8634" t="s">
        <v>14</v>
      </c>
      <c r="C816" s="8634" t="s">
        <v>5126</v>
      </c>
      <c r="D816" s="8634" t="s">
        <v>5127</v>
      </c>
      <c r="E816" s="8634" t="s">
        <v>5128</v>
      </c>
      <c r="F816" s="8634" t="s">
        <v>2600</v>
      </c>
      <c r="G816" s="8634" t="s">
        <v>24</v>
      </c>
      <c r="H816" s="8634" t="s">
        <v>2187</v>
      </c>
      <c r="I816" s="8634" t="s">
        <v>722</v>
      </c>
    </row>
    <row customHeight="1" ht="11.25">
      <c r="A817" s="8634" t="s">
        <v>2182</v>
      </c>
      <c r="B817" s="8634" t="s">
        <v>14</v>
      </c>
      <c r="C817" s="8634" t="s">
        <v>5129</v>
      </c>
      <c r="D817" s="8634" t="s">
        <v>5130</v>
      </c>
      <c r="E817" s="8634" t="s">
        <v>5131</v>
      </c>
      <c r="F817" s="8634" t="s">
        <v>2228</v>
      </c>
      <c r="G817" s="8634" t="s">
        <v>5132</v>
      </c>
      <c r="H817" s="8634" t="s">
        <v>5133</v>
      </c>
      <c r="I817" s="8634" t="s">
        <v>722</v>
      </c>
    </row>
    <row customHeight="1" ht="11.25">
      <c r="A818" s="8634" t="s">
        <v>2182</v>
      </c>
      <c r="B818" s="8634" t="s">
        <v>14</v>
      </c>
      <c r="C818" s="8634" t="s">
        <v>5134</v>
      </c>
      <c r="D818" s="8634" t="s">
        <v>5135</v>
      </c>
      <c r="E818" s="8634" t="s">
        <v>5136</v>
      </c>
      <c r="F818" s="8634" t="s">
        <v>2398</v>
      </c>
      <c r="G818" s="8634" t="s">
        <v>5137</v>
      </c>
      <c r="H818" s="8634" t="s">
        <v>5138</v>
      </c>
      <c r="I818" s="8634" t="s">
        <v>722</v>
      </c>
    </row>
    <row customHeight="1" ht="11.25">
      <c r="A819" s="8634" t="s">
        <v>2182</v>
      </c>
      <c r="B819" s="8634" t="s">
        <v>14</v>
      </c>
      <c r="C819" s="8634" t="s">
        <v>5139</v>
      </c>
      <c r="D819" s="8634" t="s">
        <v>5140</v>
      </c>
      <c r="E819" s="8634" t="s">
        <v>5141</v>
      </c>
      <c r="F819" s="8634" t="s">
        <v>2492</v>
      </c>
      <c r="G819" s="8634" t="s">
        <v>24</v>
      </c>
      <c r="H819" s="8634" t="s">
        <v>24</v>
      </c>
      <c r="I819" s="8634" t="s">
        <v>722</v>
      </c>
    </row>
    <row customHeight="1" ht="11.25">
      <c r="A820" s="8634" t="s">
        <v>2182</v>
      </c>
      <c r="B820" s="8634" t="s">
        <v>14</v>
      </c>
      <c r="C820" s="8634" t="s">
        <v>5142</v>
      </c>
      <c r="D820" s="8634" t="s">
        <v>5143</v>
      </c>
      <c r="E820" s="8634" t="s">
        <v>5144</v>
      </c>
      <c r="F820" s="8634" t="s">
        <v>2398</v>
      </c>
      <c r="G820" s="8634" t="s">
        <v>5145</v>
      </c>
      <c r="H820" s="8634" t="s">
        <v>24</v>
      </c>
      <c r="I820" s="8634" t="s">
        <v>722</v>
      </c>
    </row>
    <row customHeight="1" ht="11.25">
      <c r="A821" s="8634" t="s">
        <v>2182</v>
      </c>
      <c r="B821" s="8634" t="s">
        <v>14</v>
      </c>
      <c r="C821" s="8634" t="s">
        <v>5146</v>
      </c>
      <c r="D821" s="8634" t="s">
        <v>5147</v>
      </c>
      <c r="E821" s="8634" t="s">
        <v>5148</v>
      </c>
      <c r="F821" s="8634" t="s">
        <v>2964</v>
      </c>
      <c r="G821" s="8634" t="s">
        <v>5149</v>
      </c>
      <c r="H821" s="8634" t="s">
        <v>24</v>
      </c>
      <c r="I821" s="8634" t="s">
        <v>722</v>
      </c>
    </row>
    <row customHeight="1" ht="11.25">
      <c r="A822" s="8634" t="s">
        <v>2182</v>
      </c>
      <c r="B822" s="8634" t="s">
        <v>14</v>
      </c>
      <c r="C822" s="8634" t="s">
        <v>5150</v>
      </c>
      <c r="D822" s="8634" t="s">
        <v>5151</v>
      </c>
      <c r="E822" s="8634" t="s">
        <v>5152</v>
      </c>
      <c r="F822" s="8634" t="s">
        <v>4645</v>
      </c>
      <c r="G822" s="8634" t="s">
        <v>5153</v>
      </c>
      <c r="H822" s="8634" t="s">
        <v>5154</v>
      </c>
      <c r="I822" s="8634" t="s">
        <v>722</v>
      </c>
    </row>
    <row customHeight="1" ht="11.25">
      <c r="A823" s="8634" t="s">
        <v>2182</v>
      </c>
      <c r="B823" s="8634" t="s">
        <v>14</v>
      </c>
      <c r="C823" s="8634" t="s">
        <v>5155</v>
      </c>
      <c r="D823" s="8634" t="s">
        <v>5156</v>
      </c>
      <c r="E823" s="8634" t="s">
        <v>5157</v>
      </c>
      <c r="F823" s="8634" t="s">
        <v>2512</v>
      </c>
      <c r="G823" s="8634" t="s">
        <v>5158</v>
      </c>
      <c r="H823" s="8634" t="s">
        <v>24</v>
      </c>
      <c r="I823" s="8634" t="s">
        <v>722</v>
      </c>
    </row>
    <row customHeight="1" ht="11.25">
      <c r="A824" s="8634" t="s">
        <v>2182</v>
      </c>
      <c r="B824" s="8634" t="s">
        <v>14</v>
      </c>
      <c r="C824" s="8634" t="s">
        <v>5159</v>
      </c>
      <c r="D824" s="8634" t="s">
        <v>5156</v>
      </c>
      <c r="E824" s="8634" t="s">
        <v>5160</v>
      </c>
      <c r="F824" s="8634" t="s">
        <v>2322</v>
      </c>
      <c r="G824" s="8634" t="s">
        <v>5161</v>
      </c>
      <c r="H824" s="8634" t="s">
        <v>24</v>
      </c>
      <c r="I824" s="8634" t="s">
        <v>722</v>
      </c>
    </row>
    <row customHeight="1" ht="11.25">
      <c r="A825" s="8634" t="s">
        <v>2182</v>
      </c>
      <c r="B825" s="8634" t="s">
        <v>14</v>
      </c>
      <c r="C825" s="8634" t="s">
        <v>5162</v>
      </c>
      <c r="D825" s="8634" t="s">
        <v>5163</v>
      </c>
      <c r="E825" s="8634" t="s">
        <v>5164</v>
      </c>
      <c r="F825" s="8634" t="s">
        <v>2600</v>
      </c>
      <c r="G825" s="8634" t="s">
        <v>24</v>
      </c>
      <c r="H825" s="8634" t="s">
        <v>24</v>
      </c>
      <c r="I825" s="8634" t="s">
        <v>722</v>
      </c>
    </row>
    <row customHeight="1" ht="11.25">
      <c r="A826" s="8634" t="s">
        <v>2182</v>
      </c>
      <c r="B826" s="8634" t="s">
        <v>14</v>
      </c>
      <c r="C826" s="8634" t="s">
        <v>5165</v>
      </c>
      <c r="D826" s="8634" t="s">
        <v>5166</v>
      </c>
      <c r="E826" s="8634" t="s">
        <v>5167</v>
      </c>
      <c r="F826" s="8634" t="s">
        <v>2398</v>
      </c>
      <c r="G826" s="8634" t="s">
        <v>5168</v>
      </c>
      <c r="H826" s="8634" t="s">
        <v>24</v>
      </c>
      <c r="I826" s="8634" t="s">
        <v>722</v>
      </c>
    </row>
    <row customHeight="1" ht="11.25">
      <c r="A827" s="8634" t="s">
        <v>2182</v>
      </c>
      <c r="B827" s="8634" t="s">
        <v>14</v>
      </c>
      <c r="C827" s="8634" t="s">
        <v>5169</v>
      </c>
      <c r="D827" s="8634" t="s">
        <v>5170</v>
      </c>
      <c r="E827" s="8634" t="s">
        <v>5171</v>
      </c>
      <c r="F827" s="8634" t="s">
        <v>2788</v>
      </c>
      <c r="G827" s="8634" t="s">
        <v>5172</v>
      </c>
      <c r="H827" s="8634" t="s">
        <v>24</v>
      </c>
      <c r="I827" s="8634" t="s">
        <v>722</v>
      </c>
    </row>
    <row customHeight="1" ht="11.25">
      <c r="A828" s="8634" t="s">
        <v>2182</v>
      </c>
      <c r="B828" s="8634" t="s">
        <v>14</v>
      </c>
      <c r="C828" s="8634" t="s">
        <v>5173</v>
      </c>
      <c r="D828" s="8634" t="s">
        <v>5174</v>
      </c>
      <c r="E828" s="8634" t="s">
        <v>5171</v>
      </c>
      <c r="F828" s="8634" t="s">
        <v>5175</v>
      </c>
      <c r="G828" s="8634" t="s">
        <v>5176</v>
      </c>
      <c r="H828" s="8634" t="s">
        <v>24</v>
      </c>
      <c r="I828" s="8634" t="s">
        <v>722</v>
      </c>
    </row>
    <row customHeight="1" ht="11.25">
      <c r="A829" s="8634" t="s">
        <v>2182</v>
      </c>
      <c r="B829" s="8634" t="s">
        <v>14</v>
      </c>
      <c r="C829" s="8634" t="s">
        <v>5177</v>
      </c>
      <c r="D829" s="8634" t="s">
        <v>5178</v>
      </c>
      <c r="E829" s="8634" t="s">
        <v>5179</v>
      </c>
      <c r="F829" s="8634" t="s">
        <v>2245</v>
      </c>
      <c r="G829" s="8634" t="s">
        <v>5180</v>
      </c>
      <c r="H829" s="8634" t="s">
        <v>24</v>
      </c>
      <c r="I829" s="8634" t="s">
        <v>722</v>
      </c>
    </row>
    <row customHeight="1" ht="11.25">
      <c r="A830" s="8634" t="s">
        <v>2182</v>
      </c>
      <c r="B830" s="8634" t="s">
        <v>14</v>
      </c>
      <c r="C830" s="8634" t="s">
        <v>5181</v>
      </c>
      <c r="D830" s="8634" t="s">
        <v>5178</v>
      </c>
      <c r="E830" s="8634" t="s">
        <v>5182</v>
      </c>
      <c r="F830" s="8634" t="s">
        <v>2411</v>
      </c>
      <c r="G830" s="8634" t="s">
        <v>2368</v>
      </c>
      <c r="H830" s="8634" t="s">
        <v>24</v>
      </c>
      <c r="I830" s="8634" t="s">
        <v>722</v>
      </c>
    </row>
    <row customHeight="1" ht="11.25">
      <c r="A831" s="8634" t="s">
        <v>2182</v>
      </c>
      <c r="B831" s="8634" t="s">
        <v>14</v>
      </c>
      <c r="C831" s="8634" t="s">
        <v>5183</v>
      </c>
      <c r="D831" s="8634" t="s">
        <v>5184</v>
      </c>
      <c r="E831" s="8634" t="s">
        <v>5185</v>
      </c>
      <c r="F831" s="8634" t="s">
        <v>2398</v>
      </c>
      <c r="G831" s="8634" t="s">
        <v>5186</v>
      </c>
      <c r="H831" s="8634" t="s">
        <v>5187</v>
      </c>
      <c r="I831" s="8634" t="s">
        <v>722</v>
      </c>
    </row>
    <row customHeight="1" ht="11.25">
      <c r="A832" s="8634" t="s">
        <v>2182</v>
      </c>
      <c r="B832" s="8634" t="s">
        <v>14</v>
      </c>
      <c r="C832" s="8634" t="s">
        <v>5188</v>
      </c>
      <c r="D832" s="8634" t="s">
        <v>5189</v>
      </c>
      <c r="E832" s="8634" t="s">
        <v>5190</v>
      </c>
      <c r="F832" s="8634" t="s">
        <v>2600</v>
      </c>
      <c r="G832" s="8634" t="s">
        <v>24</v>
      </c>
      <c r="H832" s="8634" t="s">
        <v>2993</v>
      </c>
      <c r="I832" s="8634" t="s">
        <v>722</v>
      </c>
    </row>
    <row customHeight="1" ht="11.25">
      <c r="A833" s="8634" t="s">
        <v>2182</v>
      </c>
      <c r="B833" s="8634" t="s">
        <v>14</v>
      </c>
      <c r="C833" s="8634" t="s">
        <v>5191</v>
      </c>
      <c r="D833" s="8634" t="s">
        <v>5192</v>
      </c>
      <c r="E833" s="8634" t="s">
        <v>5193</v>
      </c>
      <c r="F833" s="8634" t="s">
        <v>2218</v>
      </c>
      <c r="G833" s="8634" t="s">
        <v>5194</v>
      </c>
      <c r="H833" s="8634" t="s">
        <v>24</v>
      </c>
      <c r="I833" s="8634" t="s">
        <v>722</v>
      </c>
    </row>
    <row customHeight="1" ht="11.25">
      <c r="A834" s="8634" t="s">
        <v>2182</v>
      </c>
      <c r="B834" s="8634" t="s">
        <v>14</v>
      </c>
      <c r="C834" s="8634" t="s">
        <v>5195</v>
      </c>
      <c r="D834" s="8634" t="s">
        <v>5196</v>
      </c>
      <c r="E834" s="8634" t="s">
        <v>5197</v>
      </c>
      <c r="F834" s="8634" t="s">
        <v>2322</v>
      </c>
      <c r="G834" s="8634" t="s">
        <v>5198</v>
      </c>
      <c r="H834" s="8634" t="s">
        <v>24</v>
      </c>
      <c r="I834" s="8634" t="s">
        <v>722</v>
      </c>
    </row>
    <row customHeight="1" ht="11.25">
      <c r="A835" s="8634" t="s">
        <v>2182</v>
      </c>
      <c r="B835" s="8634" t="s">
        <v>14</v>
      </c>
      <c r="C835" s="8634" t="s">
        <v>5199</v>
      </c>
      <c r="D835" s="8634" t="s">
        <v>5200</v>
      </c>
      <c r="E835" s="8634" t="s">
        <v>5201</v>
      </c>
      <c r="F835" s="8634" t="s">
        <v>2322</v>
      </c>
      <c r="G835" s="8634" t="s">
        <v>5202</v>
      </c>
      <c r="H835" s="8634" t="s">
        <v>2187</v>
      </c>
      <c r="I835" s="8634" t="s">
        <v>722</v>
      </c>
    </row>
    <row customHeight="1" ht="11.25">
      <c r="A836" s="8634" t="s">
        <v>2182</v>
      </c>
      <c r="B836" s="8634" t="s">
        <v>14</v>
      </c>
      <c r="C836" s="8634" t="s">
        <v>5203</v>
      </c>
      <c r="D836" s="8634" t="s">
        <v>5204</v>
      </c>
      <c r="E836" s="8634" t="s">
        <v>5205</v>
      </c>
      <c r="F836" s="8634" t="s">
        <v>3278</v>
      </c>
      <c r="G836" s="8634" t="s">
        <v>24</v>
      </c>
      <c r="H836" s="8634" t="s">
        <v>5206</v>
      </c>
      <c r="I836" s="8634" t="s">
        <v>722</v>
      </c>
    </row>
    <row customHeight="1" ht="11.25">
      <c r="A837" s="8634" t="s">
        <v>2182</v>
      </c>
      <c r="B837" s="8634" t="s">
        <v>14</v>
      </c>
      <c r="C837" s="8634" t="s">
        <v>5207</v>
      </c>
      <c r="D837" s="8634" t="s">
        <v>5208</v>
      </c>
      <c r="E837" s="8634" t="s">
        <v>5209</v>
      </c>
      <c r="F837" s="8634" t="s">
        <v>2398</v>
      </c>
      <c r="G837" s="8634" t="s">
        <v>2977</v>
      </c>
      <c r="H837" s="8634" t="s">
        <v>24</v>
      </c>
      <c r="I837" s="8634" t="s">
        <v>722</v>
      </c>
    </row>
    <row customHeight="1" ht="11.25">
      <c r="A838" s="8634" t="s">
        <v>2182</v>
      </c>
      <c r="B838" s="8634" t="s">
        <v>14</v>
      </c>
      <c r="C838" s="8634" t="s">
        <v>5210</v>
      </c>
      <c r="D838" s="8634" t="s">
        <v>5211</v>
      </c>
      <c r="E838" s="8634" t="s">
        <v>5212</v>
      </c>
      <c r="F838" s="8634" t="s">
        <v>2213</v>
      </c>
      <c r="G838" s="8634" t="s">
        <v>5213</v>
      </c>
      <c r="H838" s="8634" t="s">
        <v>24</v>
      </c>
      <c r="I838" s="8634" t="s">
        <v>722</v>
      </c>
    </row>
    <row customHeight="1" ht="11.25">
      <c r="A839" s="8634" t="s">
        <v>2182</v>
      </c>
      <c r="B839" s="8634" t="s">
        <v>14</v>
      </c>
      <c r="C839" s="8634" t="s">
        <v>5214</v>
      </c>
      <c r="D839" s="8634" t="s">
        <v>5215</v>
      </c>
      <c r="E839" s="8634" t="s">
        <v>5216</v>
      </c>
      <c r="F839" s="8634" t="s">
        <v>2186</v>
      </c>
      <c r="G839" s="8634" t="s">
        <v>24</v>
      </c>
      <c r="H839" s="8634" t="s">
        <v>24</v>
      </c>
      <c r="I839" s="8634" t="s">
        <v>722</v>
      </c>
    </row>
    <row customHeight="1" ht="11.25">
      <c r="A840" s="8634" t="s">
        <v>2182</v>
      </c>
      <c r="B840" s="8634" t="s">
        <v>14</v>
      </c>
      <c r="C840" s="8634" t="s">
        <v>5217</v>
      </c>
      <c r="D840" s="8634" t="s">
        <v>5218</v>
      </c>
      <c r="E840" s="8634" t="s">
        <v>5219</v>
      </c>
      <c r="F840" s="8634" t="s">
        <v>2721</v>
      </c>
      <c r="G840" s="8634" t="s">
        <v>5220</v>
      </c>
      <c r="H840" s="8634" t="s">
        <v>24</v>
      </c>
      <c r="I840" s="8634" t="s">
        <v>722</v>
      </c>
    </row>
    <row customHeight="1" ht="11.25">
      <c r="A841" s="8634" t="s">
        <v>2182</v>
      </c>
      <c r="B841" s="8634" t="s">
        <v>14</v>
      </c>
      <c r="C841" s="8634" t="s">
        <v>5221</v>
      </c>
      <c r="D841" s="8634" t="s">
        <v>5222</v>
      </c>
      <c r="E841" s="8634" t="s">
        <v>5223</v>
      </c>
      <c r="F841" s="8634" t="s">
        <v>2228</v>
      </c>
      <c r="G841" s="8634" t="s">
        <v>5224</v>
      </c>
      <c r="H841" s="8634" t="s">
        <v>24</v>
      </c>
      <c r="I841" s="8634" t="s">
        <v>722</v>
      </c>
    </row>
    <row customHeight="1" ht="11.25">
      <c r="A842" s="8634" t="s">
        <v>2182</v>
      </c>
      <c r="B842" s="8634" t="s">
        <v>14</v>
      </c>
      <c r="C842" s="8634" t="s">
        <v>5225</v>
      </c>
      <c r="D842" s="8634" t="s">
        <v>5226</v>
      </c>
      <c r="E842" s="8634" t="s">
        <v>5227</v>
      </c>
      <c r="F842" s="8634" t="s">
        <v>2948</v>
      </c>
      <c r="G842" s="8634" t="s">
        <v>24</v>
      </c>
      <c r="H842" s="8634" t="s">
        <v>24</v>
      </c>
      <c r="I842" s="8634" t="s">
        <v>722</v>
      </c>
    </row>
    <row customHeight="1" ht="11.25">
      <c r="A843" s="8634" t="s">
        <v>2182</v>
      </c>
      <c r="B843" s="8634" t="s">
        <v>14</v>
      </c>
      <c r="C843" s="8634" t="s">
        <v>5228</v>
      </c>
      <c r="D843" s="8634" t="s">
        <v>5229</v>
      </c>
      <c r="E843" s="8634" t="s">
        <v>5230</v>
      </c>
      <c r="F843" s="8634" t="s">
        <v>2269</v>
      </c>
      <c r="G843" s="8634" t="s">
        <v>5231</v>
      </c>
      <c r="H843" s="8634" t="s">
        <v>24</v>
      </c>
      <c r="I843" s="8634" t="s">
        <v>722</v>
      </c>
    </row>
    <row customHeight="1" ht="11.25">
      <c r="A844" s="8634" t="s">
        <v>2182</v>
      </c>
      <c r="B844" s="8634" t="s">
        <v>14</v>
      </c>
      <c r="C844" s="8634" t="s">
        <v>5232</v>
      </c>
      <c r="D844" s="8634" t="s">
        <v>5233</v>
      </c>
      <c r="E844" s="8634" t="s">
        <v>5234</v>
      </c>
      <c r="F844" s="8634" t="s">
        <v>5235</v>
      </c>
      <c r="G844" s="8634" t="s">
        <v>5236</v>
      </c>
      <c r="H844" s="8634" t="s">
        <v>24</v>
      </c>
      <c r="I844" s="8634" t="s">
        <v>722</v>
      </c>
    </row>
    <row customHeight="1" ht="11.25">
      <c r="A845" s="8634" t="s">
        <v>2182</v>
      </c>
      <c r="B845" s="8634" t="s">
        <v>14</v>
      </c>
      <c r="C845" s="8634" t="s">
        <v>5237</v>
      </c>
      <c r="D845" s="8634" t="s">
        <v>5238</v>
      </c>
      <c r="E845" s="8634" t="s">
        <v>5239</v>
      </c>
      <c r="F845" s="8634" t="s">
        <v>5240</v>
      </c>
      <c r="G845" s="8634" t="s">
        <v>24</v>
      </c>
      <c r="H845" s="8634" t="s">
        <v>5241</v>
      </c>
      <c r="I845" s="8634" t="s">
        <v>722</v>
      </c>
    </row>
    <row customHeight="1" ht="11.25">
      <c r="A846" s="8634" t="s">
        <v>2182</v>
      </c>
      <c r="B846" s="8634" t="s">
        <v>14</v>
      </c>
      <c r="C846" s="8634" t="s">
        <v>5242</v>
      </c>
      <c r="D846" s="8634" t="s">
        <v>5243</v>
      </c>
      <c r="E846" s="8634" t="s">
        <v>5244</v>
      </c>
      <c r="F846" s="8634" t="s">
        <v>2600</v>
      </c>
      <c r="G846" s="8634" t="s">
        <v>5245</v>
      </c>
      <c r="H846" s="8634" t="s">
        <v>24</v>
      </c>
      <c r="I846" s="8634" t="s">
        <v>722</v>
      </c>
    </row>
    <row customHeight="1" ht="11.25">
      <c r="A847" s="8634" t="s">
        <v>2182</v>
      </c>
      <c r="B847" s="8634" t="s">
        <v>14</v>
      </c>
      <c r="C847" s="8634" t="s">
        <v>5246</v>
      </c>
      <c r="D847" s="8634" t="s">
        <v>5247</v>
      </c>
      <c r="E847" s="8634" t="s">
        <v>5248</v>
      </c>
      <c r="F847" s="8634" t="s">
        <v>2233</v>
      </c>
      <c r="G847" s="8634" t="s">
        <v>24</v>
      </c>
      <c r="H847" s="8634" t="s">
        <v>24</v>
      </c>
      <c r="I847" s="8634" t="s">
        <v>722</v>
      </c>
    </row>
    <row customHeight="1" ht="11.25">
      <c r="A848" s="8634" t="s">
        <v>2182</v>
      </c>
      <c r="B848" s="8634" t="s">
        <v>14</v>
      </c>
      <c r="C848" s="8634" t="s">
        <v>5249</v>
      </c>
      <c r="D848" s="8634" t="s">
        <v>5250</v>
      </c>
      <c r="E848" s="8634" t="s">
        <v>5251</v>
      </c>
      <c r="F848" s="8634" t="s">
        <v>2322</v>
      </c>
      <c r="G848" s="8634" t="s">
        <v>24</v>
      </c>
      <c r="H848" s="8634" t="s">
        <v>5252</v>
      </c>
      <c r="I848" s="8634" t="s">
        <v>722</v>
      </c>
    </row>
    <row customHeight="1" ht="11.25">
      <c r="A849" s="8634" t="s">
        <v>2182</v>
      </c>
      <c r="B849" s="8634" t="s">
        <v>14</v>
      </c>
      <c r="C849" s="8634" t="s">
        <v>5253</v>
      </c>
      <c r="D849" s="8634" t="s">
        <v>5254</v>
      </c>
      <c r="E849" s="8634" t="s">
        <v>5255</v>
      </c>
      <c r="F849" s="8634" t="s">
        <v>2213</v>
      </c>
      <c r="G849" s="8634" t="s">
        <v>5256</v>
      </c>
      <c r="H849" s="8634" t="s">
        <v>24</v>
      </c>
      <c r="I849" s="8634" t="s">
        <v>722</v>
      </c>
    </row>
    <row customHeight="1" ht="11.25">
      <c r="A850" s="8634" t="s">
        <v>2182</v>
      </c>
      <c r="B850" s="8634" t="s">
        <v>14</v>
      </c>
      <c r="C850" s="8634" t="s">
        <v>5257</v>
      </c>
      <c r="D850" s="8634" t="s">
        <v>5258</v>
      </c>
      <c r="E850" s="8634" t="s">
        <v>5259</v>
      </c>
      <c r="F850" s="8634" t="s">
        <v>2300</v>
      </c>
      <c r="G850" s="8634" t="s">
        <v>24</v>
      </c>
      <c r="H850" s="8634" t="s">
        <v>24</v>
      </c>
      <c r="I850" s="8634" t="s">
        <v>722</v>
      </c>
    </row>
    <row customHeight="1" ht="11.25">
      <c r="A851" s="8634" t="s">
        <v>2182</v>
      </c>
      <c r="B851" s="8634" t="s">
        <v>14</v>
      </c>
      <c r="C851" s="8634" t="s">
        <v>5260</v>
      </c>
      <c r="D851" s="8634" t="s">
        <v>5258</v>
      </c>
      <c r="E851" s="8634" t="s">
        <v>5261</v>
      </c>
      <c r="F851" s="8634" t="s">
        <v>2389</v>
      </c>
      <c r="G851" s="8634" t="s">
        <v>5262</v>
      </c>
      <c r="H851" s="8634" t="s">
        <v>24</v>
      </c>
      <c r="I851" s="8634" t="s">
        <v>722</v>
      </c>
    </row>
    <row customHeight="1" ht="11.25">
      <c r="A852" s="8634" t="s">
        <v>2182</v>
      </c>
      <c r="B852" s="8634" t="s">
        <v>14</v>
      </c>
      <c r="C852" s="8634" t="s">
        <v>5263</v>
      </c>
      <c r="D852" s="8634" t="s">
        <v>5264</v>
      </c>
      <c r="E852" s="8634" t="s">
        <v>5265</v>
      </c>
      <c r="F852" s="8634" t="s">
        <v>2233</v>
      </c>
      <c r="G852" s="8634" t="s">
        <v>24</v>
      </c>
      <c r="H852" s="8634" t="s">
        <v>24</v>
      </c>
      <c r="I852" s="8634" t="s">
        <v>722</v>
      </c>
    </row>
    <row customHeight="1" ht="11.25">
      <c r="A853" s="8634" t="s">
        <v>2182</v>
      </c>
      <c r="B853" s="8634" t="s">
        <v>14</v>
      </c>
      <c r="C853" s="8634" t="s">
        <v>5266</v>
      </c>
      <c r="D853" s="8634" t="s">
        <v>5267</v>
      </c>
      <c r="E853" s="8634" t="s">
        <v>5268</v>
      </c>
      <c r="F853" s="8634" t="s">
        <v>2447</v>
      </c>
      <c r="G853" s="8634" t="s">
        <v>24</v>
      </c>
      <c r="H853" s="8634" t="s">
        <v>2697</v>
      </c>
      <c r="I853" s="8634" t="s">
        <v>722</v>
      </c>
    </row>
    <row customHeight="1" ht="11.25">
      <c r="A854" s="8634" t="s">
        <v>2182</v>
      </c>
      <c r="B854" s="8634" t="s">
        <v>14</v>
      </c>
      <c r="C854" s="8634" t="s">
        <v>5269</v>
      </c>
      <c r="D854" s="8634" t="s">
        <v>5270</v>
      </c>
      <c r="E854" s="8634" t="s">
        <v>5271</v>
      </c>
      <c r="F854" s="8634" t="s">
        <v>2322</v>
      </c>
      <c r="G854" s="8634" t="s">
        <v>5272</v>
      </c>
      <c r="H854" s="8634" t="s">
        <v>2187</v>
      </c>
      <c r="I854" s="8634" t="s">
        <v>722</v>
      </c>
    </row>
    <row customHeight="1" ht="11.25">
      <c r="A855" s="8634" t="s">
        <v>2182</v>
      </c>
      <c r="B855" s="8634" t="s">
        <v>14</v>
      </c>
      <c r="C855" s="8634" t="s">
        <v>5273</v>
      </c>
      <c r="D855" s="8634" t="s">
        <v>5274</v>
      </c>
      <c r="E855" s="8634" t="s">
        <v>5275</v>
      </c>
      <c r="F855" s="8634" t="s">
        <v>2322</v>
      </c>
      <c r="G855" s="8634" t="s">
        <v>5276</v>
      </c>
      <c r="H855" s="8634" t="s">
        <v>2187</v>
      </c>
      <c r="I855" s="8634" t="s">
        <v>722</v>
      </c>
    </row>
    <row customHeight="1" ht="11.25">
      <c r="A856" s="8634" t="s">
        <v>2182</v>
      </c>
      <c r="B856" s="8634" t="s">
        <v>14</v>
      </c>
      <c r="C856" s="8634" t="s">
        <v>5277</v>
      </c>
      <c r="D856" s="8634" t="s">
        <v>5278</v>
      </c>
      <c r="E856" s="8634" t="s">
        <v>5279</v>
      </c>
      <c r="F856" s="8634" t="s">
        <v>4570</v>
      </c>
      <c r="G856" s="8634" t="s">
        <v>5280</v>
      </c>
      <c r="H856" s="8634" t="s">
        <v>24</v>
      </c>
      <c r="I856" s="8634" t="s">
        <v>722</v>
      </c>
    </row>
    <row customHeight="1" ht="11.25">
      <c r="A857" s="8634" t="s">
        <v>2182</v>
      </c>
      <c r="B857" s="8634" t="s">
        <v>14</v>
      </c>
      <c r="C857" s="8634" t="s">
        <v>5281</v>
      </c>
      <c r="D857" s="8634" t="s">
        <v>5282</v>
      </c>
      <c r="E857" s="8634" t="s">
        <v>5283</v>
      </c>
      <c r="F857" s="8634" t="s">
        <v>5284</v>
      </c>
      <c r="G857" s="8634" t="s">
        <v>24</v>
      </c>
      <c r="H857" s="8634" t="s">
        <v>24</v>
      </c>
      <c r="I857" s="8634" t="s">
        <v>722</v>
      </c>
    </row>
    <row customHeight="1" ht="11.25">
      <c r="A858" s="8634" t="s">
        <v>2182</v>
      </c>
      <c r="B858" s="8634" t="s">
        <v>14</v>
      </c>
      <c r="C858" s="8634" t="s">
        <v>5285</v>
      </c>
      <c r="D858" s="8634" t="s">
        <v>5286</v>
      </c>
      <c r="E858" s="8634" t="s">
        <v>5287</v>
      </c>
      <c r="F858" s="8634" t="s">
        <v>2218</v>
      </c>
      <c r="G858" s="8634" t="s">
        <v>5231</v>
      </c>
      <c r="H858" s="8634" t="s">
        <v>24</v>
      </c>
      <c r="I858" s="8634" t="s">
        <v>722</v>
      </c>
    </row>
    <row customHeight="1" ht="11.25">
      <c r="A859" s="8634" t="s">
        <v>2182</v>
      </c>
      <c r="B859" s="8634" t="s">
        <v>14</v>
      </c>
      <c r="C859" s="8634" t="s">
        <v>5288</v>
      </c>
      <c r="D859" s="8634" t="s">
        <v>5289</v>
      </c>
      <c r="E859" s="8634" t="s">
        <v>5290</v>
      </c>
      <c r="F859" s="8634" t="s">
        <v>3295</v>
      </c>
      <c r="G859" s="8634" t="s">
        <v>5291</v>
      </c>
      <c r="H859" s="8634" t="s">
        <v>24</v>
      </c>
      <c r="I859" s="8634" t="s">
        <v>722</v>
      </c>
    </row>
    <row customHeight="1" ht="11.25">
      <c r="A860" s="8634" t="s">
        <v>2182</v>
      </c>
      <c r="B860" s="8634" t="s">
        <v>14</v>
      </c>
      <c r="C860" s="8634" t="s">
        <v>5292</v>
      </c>
      <c r="D860" s="8634" t="s">
        <v>5293</v>
      </c>
      <c r="E860" s="8634" t="s">
        <v>5294</v>
      </c>
      <c r="F860" s="8634" t="s">
        <v>2600</v>
      </c>
      <c r="G860" s="8634" t="s">
        <v>5295</v>
      </c>
      <c r="H860" s="8634" t="s">
        <v>2187</v>
      </c>
      <c r="I860" s="8634" t="s">
        <v>722</v>
      </c>
    </row>
    <row customHeight="1" ht="11.25">
      <c r="A861" s="8634" t="s">
        <v>2182</v>
      </c>
      <c r="B861" s="8634" t="s">
        <v>14</v>
      </c>
      <c r="C861" s="8634" t="s">
        <v>5296</v>
      </c>
      <c r="D861" s="8634" t="s">
        <v>5297</v>
      </c>
      <c r="E861" s="8634" t="s">
        <v>5298</v>
      </c>
      <c r="F861" s="8634" t="s">
        <v>2389</v>
      </c>
      <c r="G861" s="8634" t="s">
        <v>24</v>
      </c>
      <c r="H861" s="8634" t="s">
        <v>2993</v>
      </c>
      <c r="I861" s="8634" t="s">
        <v>722</v>
      </c>
    </row>
    <row customHeight="1" ht="11.25">
      <c r="A862" s="8634" t="s">
        <v>2182</v>
      </c>
      <c r="B862" s="8634" t="s">
        <v>14</v>
      </c>
      <c r="C862" s="8634" t="s">
        <v>5299</v>
      </c>
      <c r="D862" s="8634" t="s">
        <v>5300</v>
      </c>
      <c r="E862" s="8634" t="s">
        <v>5301</v>
      </c>
      <c r="F862" s="8634" t="s">
        <v>5302</v>
      </c>
      <c r="G862" s="8634" t="s">
        <v>5303</v>
      </c>
      <c r="H862" s="8634" t="s">
        <v>24</v>
      </c>
      <c r="I862" s="8634" t="s">
        <v>722</v>
      </c>
    </row>
    <row customHeight="1" ht="11.25">
      <c r="A863" s="8634" t="s">
        <v>2182</v>
      </c>
      <c r="B863" s="8634" t="s">
        <v>14</v>
      </c>
      <c r="C863" s="8634" t="s">
        <v>5304</v>
      </c>
      <c r="D863" s="8634" t="s">
        <v>5305</v>
      </c>
      <c r="E863" s="8634" t="s">
        <v>5306</v>
      </c>
      <c r="F863" s="8634" t="s">
        <v>2721</v>
      </c>
      <c r="G863" s="8634" t="s">
        <v>24</v>
      </c>
      <c r="H863" s="8634" t="s">
        <v>2187</v>
      </c>
      <c r="I863" s="8634" t="s">
        <v>722</v>
      </c>
    </row>
    <row customHeight="1" ht="11.25">
      <c r="A864" s="8634" t="s">
        <v>2182</v>
      </c>
      <c r="B864" s="8634" t="s">
        <v>14</v>
      </c>
      <c r="C864" s="8634" t="s">
        <v>5307</v>
      </c>
      <c r="D864" s="8634" t="s">
        <v>5308</v>
      </c>
      <c r="E864" s="8634" t="s">
        <v>5309</v>
      </c>
      <c r="F864" s="8634" t="s">
        <v>2563</v>
      </c>
      <c r="G864" s="8634" t="s">
        <v>24</v>
      </c>
      <c r="H864" s="8634" t="s">
        <v>2773</v>
      </c>
      <c r="I864" s="8634" t="s">
        <v>722</v>
      </c>
    </row>
    <row customHeight="1" ht="11.25">
      <c r="A865" s="8634" t="s">
        <v>2182</v>
      </c>
      <c r="B865" s="8634" t="s">
        <v>14</v>
      </c>
      <c r="C865" s="8634" t="s">
        <v>5310</v>
      </c>
      <c r="D865" s="8634" t="s">
        <v>5308</v>
      </c>
      <c r="E865" s="8634" t="s">
        <v>5311</v>
      </c>
      <c r="F865" s="8634" t="s">
        <v>2250</v>
      </c>
      <c r="G865" s="8634" t="s">
        <v>24</v>
      </c>
      <c r="H865" s="8634" t="s">
        <v>24</v>
      </c>
      <c r="I865" s="8634" t="s">
        <v>722</v>
      </c>
    </row>
    <row customHeight="1" ht="11.25">
      <c r="A866" s="8634" t="s">
        <v>2182</v>
      </c>
      <c r="B866" s="8634" t="s">
        <v>14</v>
      </c>
      <c r="C866" s="8634" t="s">
        <v>5312</v>
      </c>
      <c r="D866" s="8634" t="s">
        <v>5313</v>
      </c>
      <c r="E866" s="8634" t="s">
        <v>5314</v>
      </c>
      <c r="F866" s="8634" t="s">
        <v>2213</v>
      </c>
      <c r="G866" s="8634" t="s">
        <v>5315</v>
      </c>
      <c r="H866" s="8634" t="s">
        <v>24</v>
      </c>
      <c r="I866" s="8634" t="s">
        <v>722</v>
      </c>
    </row>
    <row customHeight="1" ht="11.25">
      <c r="A867" s="8634" t="s">
        <v>2182</v>
      </c>
      <c r="B867" s="8634" t="s">
        <v>14</v>
      </c>
      <c r="C867" s="8634" t="s">
        <v>5316</v>
      </c>
      <c r="D867" s="8634" t="s">
        <v>5317</v>
      </c>
      <c r="E867" s="8634" t="s">
        <v>5318</v>
      </c>
      <c r="F867" s="8634" t="s">
        <v>2563</v>
      </c>
      <c r="G867" s="8634" t="s">
        <v>5319</v>
      </c>
      <c r="H867" s="8634" t="s">
        <v>24</v>
      </c>
      <c r="I867" s="8634" t="s">
        <v>722</v>
      </c>
    </row>
    <row customHeight="1" ht="11.25">
      <c r="A868" s="8634" t="s">
        <v>2182</v>
      </c>
      <c r="B868" s="8634" t="s">
        <v>14</v>
      </c>
      <c r="C868" s="8634" t="s">
        <v>5320</v>
      </c>
      <c r="D868" s="8634" t="s">
        <v>5321</v>
      </c>
      <c r="E868" s="8634" t="s">
        <v>5322</v>
      </c>
      <c r="F868" s="8634" t="s">
        <v>2279</v>
      </c>
      <c r="G868" s="8634" t="s">
        <v>24</v>
      </c>
      <c r="H868" s="8634" t="s">
        <v>24</v>
      </c>
      <c r="I868" s="8634" t="s">
        <v>722</v>
      </c>
    </row>
    <row customHeight="1" ht="11.25">
      <c r="A869" s="8634" t="s">
        <v>2182</v>
      </c>
      <c r="B869" s="8634" t="s">
        <v>14</v>
      </c>
      <c r="C869" s="8634" t="s">
        <v>5323</v>
      </c>
      <c r="D869" s="8634" t="s">
        <v>5324</v>
      </c>
      <c r="E869" s="8634" t="s">
        <v>5325</v>
      </c>
      <c r="F869" s="8634" t="s">
        <v>2228</v>
      </c>
      <c r="G869" s="8634" t="s">
        <v>3982</v>
      </c>
      <c r="H869" s="8634" t="s">
        <v>24</v>
      </c>
      <c r="I869" s="8634" t="s">
        <v>722</v>
      </c>
    </row>
    <row customHeight="1" ht="11.25">
      <c r="A870" s="8634" t="s">
        <v>2182</v>
      </c>
      <c r="B870" s="8634" t="s">
        <v>14</v>
      </c>
      <c r="C870" s="8634" t="s">
        <v>5326</v>
      </c>
      <c r="D870" s="8634" t="s">
        <v>5327</v>
      </c>
      <c r="E870" s="8634" t="s">
        <v>5328</v>
      </c>
      <c r="F870" s="8634" t="s">
        <v>2213</v>
      </c>
      <c r="G870" s="8634" t="s">
        <v>24</v>
      </c>
      <c r="H870" s="8634" t="s">
        <v>24</v>
      </c>
      <c r="I870" s="8634" t="s">
        <v>722</v>
      </c>
    </row>
    <row customHeight="1" ht="11.25">
      <c r="A871" s="8634" t="s">
        <v>2182</v>
      </c>
      <c r="B871" s="8634" t="s">
        <v>14</v>
      </c>
      <c r="C871" s="8634" t="s">
        <v>5329</v>
      </c>
      <c r="D871" s="8634" t="s">
        <v>5330</v>
      </c>
      <c r="E871" s="8634" t="s">
        <v>5331</v>
      </c>
      <c r="F871" s="8634" t="s">
        <v>2600</v>
      </c>
      <c r="G871" s="8634" t="s">
        <v>5332</v>
      </c>
      <c r="H871" s="8634" t="s">
        <v>24</v>
      </c>
      <c r="I871" s="8634" t="s">
        <v>722</v>
      </c>
    </row>
    <row customHeight="1" ht="11.25">
      <c r="A872" s="8634" t="s">
        <v>2182</v>
      </c>
      <c r="B872" s="8634" t="s">
        <v>14</v>
      </c>
      <c r="C872" s="8634" t="s">
        <v>5333</v>
      </c>
      <c r="D872" s="8634" t="s">
        <v>5334</v>
      </c>
      <c r="E872" s="8634" t="s">
        <v>5335</v>
      </c>
      <c r="F872" s="8634" t="s">
        <v>3007</v>
      </c>
      <c r="G872" s="8634" t="s">
        <v>24</v>
      </c>
      <c r="H872" s="8634" t="s">
        <v>24</v>
      </c>
      <c r="I872" s="8634" t="s">
        <v>722</v>
      </c>
    </row>
    <row customHeight="1" ht="11.25">
      <c r="A873" s="8634" t="s">
        <v>2182</v>
      </c>
      <c r="B873" s="8634" t="s">
        <v>14</v>
      </c>
      <c r="C873" s="8634" t="s">
        <v>5336</v>
      </c>
      <c r="D873" s="8634" t="s">
        <v>5337</v>
      </c>
      <c r="E873" s="8634" t="s">
        <v>5338</v>
      </c>
      <c r="F873" s="8634" t="s">
        <v>2600</v>
      </c>
      <c r="G873" s="8634" t="s">
        <v>5339</v>
      </c>
      <c r="H873" s="8634" t="s">
        <v>24</v>
      </c>
      <c r="I873" s="8634" t="s">
        <v>722</v>
      </c>
    </row>
    <row customHeight="1" ht="11.25">
      <c r="A874" s="8634" t="s">
        <v>2182</v>
      </c>
      <c r="B874" s="8634" t="s">
        <v>14</v>
      </c>
      <c r="C874" s="8634" t="s">
        <v>5340</v>
      </c>
      <c r="D874" s="8634" t="s">
        <v>5341</v>
      </c>
      <c r="E874" s="8634" t="s">
        <v>5342</v>
      </c>
      <c r="F874" s="8634" t="s">
        <v>2600</v>
      </c>
      <c r="G874" s="8634" t="s">
        <v>24</v>
      </c>
      <c r="H874" s="8634" t="s">
        <v>2993</v>
      </c>
      <c r="I874" s="8634" t="s">
        <v>722</v>
      </c>
    </row>
    <row customHeight="1" ht="11.25">
      <c r="A875" s="8634" t="s">
        <v>2182</v>
      </c>
      <c r="B875" s="8634" t="s">
        <v>14</v>
      </c>
      <c r="C875" s="8634" t="s">
        <v>5343</v>
      </c>
      <c r="D875" s="8634" t="s">
        <v>5344</v>
      </c>
      <c r="E875" s="8634" t="s">
        <v>5345</v>
      </c>
      <c r="F875" s="8634" t="s">
        <v>2600</v>
      </c>
      <c r="G875" s="8634" t="s">
        <v>24</v>
      </c>
      <c r="H875" s="8634" t="s">
        <v>2697</v>
      </c>
      <c r="I875" s="8634" t="s">
        <v>722</v>
      </c>
    </row>
    <row customHeight="1" ht="11.25">
      <c r="A876" s="8634" t="s">
        <v>2182</v>
      </c>
      <c r="B876" s="8634" t="s">
        <v>14</v>
      </c>
      <c r="C876" s="8634" t="s">
        <v>5346</v>
      </c>
      <c r="D876" s="8634" t="s">
        <v>5347</v>
      </c>
      <c r="E876" s="8634" t="s">
        <v>5348</v>
      </c>
      <c r="F876" s="8634" t="s">
        <v>2186</v>
      </c>
      <c r="G876" s="8634" t="s">
        <v>24</v>
      </c>
      <c r="H876" s="8634" t="s">
        <v>2187</v>
      </c>
      <c r="I876" s="8634" t="s">
        <v>722</v>
      </c>
    </row>
    <row customHeight="1" ht="11.25">
      <c r="A877" s="8634" t="s">
        <v>2182</v>
      </c>
      <c r="B877" s="8634" t="s">
        <v>14</v>
      </c>
      <c r="C877" s="8634" t="s">
        <v>5349</v>
      </c>
      <c r="D877" s="8634" t="s">
        <v>5350</v>
      </c>
      <c r="E877" s="8634" t="s">
        <v>5351</v>
      </c>
      <c r="F877" s="8634" t="s">
        <v>2477</v>
      </c>
      <c r="G877" s="8634" t="s">
        <v>24</v>
      </c>
      <c r="H877" s="8634" t="s">
        <v>5352</v>
      </c>
      <c r="I877" s="8634" t="s">
        <v>722</v>
      </c>
    </row>
    <row customHeight="1" ht="11.25">
      <c r="A878" s="8634" t="s">
        <v>2182</v>
      </c>
      <c r="B878" s="8634" t="s">
        <v>14</v>
      </c>
      <c r="C878" s="8634" t="s">
        <v>5353</v>
      </c>
      <c r="D878" s="8634" t="s">
        <v>5354</v>
      </c>
      <c r="E878" s="8634" t="s">
        <v>5355</v>
      </c>
      <c r="F878" s="8634" t="s">
        <v>2600</v>
      </c>
      <c r="G878" s="8634" t="s">
        <v>24</v>
      </c>
      <c r="H878" s="8634" t="s">
        <v>2993</v>
      </c>
      <c r="I878" s="8634" t="s">
        <v>722</v>
      </c>
    </row>
    <row customHeight="1" ht="11.25">
      <c r="A879" s="8634" t="s">
        <v>2182</v>
      </c>
      <c r="B879" s="8634" t="s">
        <v>14</v>
      </c>
      <c r="C879" s="8634" t="s">
        <v>5356</v>
      </c>
      <c r="D879" s="8634" t="s">
        <v>5357</v>
      </c>
      <c r="E879" s="8634" t="s">
        <v>5358</v>
      </c>
      <c r="F879" s="8634" t="s">
        <v>2460</v>
      </c>
      <c r="G879" s="8634" t="s">
        <v>5359</v>
      </c>
      <c r="H879" s="8634" t="s">
        <v>24</v>
      </c>
      <c r="I879" s="8634" t="s">
        <v>722</v>
      </c>
    </row>
    <row customHeight="1" ht="11.25">
      <c r="A880" s="8634" t="s">
        <v>2182</v>
      </c>
      <c r="B880" s="8634" t="s">
        <v>14</v>
      </c>
      <c r="C880" s="8634" t="s">
        <v>5360</v>
      </c>
      <c r="D880" s="8634" t="s">
        <v>5361</v>
      </c>
      <c r="E880" s="8634" t="s">
        <v>5362</v>
      </c>
      <c r="F880" s="8634" t="s">
        <v>2334</v>
      </c>
      <c r="G880" s="8634" t="s">
        <v>24</v>
      </c>
      <c r="H880" s="8634" t="s">
        <v>5363</v>
      </c>
      <c r="I880" s="8634" t="s">
        <v>722</v>
      </c>
    </row>
    <row customHeight="1" ht="11.25">
      <c r="A881" s="8634" t="s">
        <v>2182</v>
      </c>
      <c r="B881" s="8634" t="s">
        <v>14</v>
      </c>
      <c r="C881" s="8634" t="s">
        <v>5364</v>
      </c>
      <c r="D881" s="8634" t="s">
        <v>5365</v>
      </c>
      <c r="E881" s="8634" t="s">
        <v>5366</v>
      </c>
      <c r="F881" s="8634" t="s">
        <v>5367</v>
      </c>
      <c r="G881" s="8634" t="s">
        <v>3012</v>
      </c>
      <c r="H881" s="8634" t="s">
        <v>24</v>
      </c>
      <c r="I881" s="8634" t="s">
        <v>722</v>
      </c>
    </row>
    <row customHeight="1" ht="11.25">
      <c r="A882" s="8634" t="s">
        <v>2182</v>
      </c>
      <c r="B882" s="8634" t="s">
        <v>14</v>
      </c>
      <c r="C882" s="8634" t="s">
        <v>5368</v>
      </c>
      <c r="D882" s="8634" t="s">
        <v>5369</v>
      </c>
      <c r="E882" s="8634" t="s">
        <v>5370</v>
      </c>
      <c r="F882" s="8634" t="s">
        <v>2228</v>
      </c>
      <c r="G882" s="8634" t="s">
        <v>24</v>
      </c>
      <c r="H882" s="8634" t="s">
        <v>24</v>
      </c>
      <c r="I882" s="8634" t="s">
        <v>722</v>
      </c>
    </row>
    <row customHeight="1" ht="11.25">
      <c r="A883" s="8634" t="s">
        <v>2182</v>
      </c>
      <c r="B883" s="8634" t="s">
        <v>14</v>
      </c>
      <c r="C883" s="8634" t="s">
        <v>5371</v>
      </c>
      <c r="D883" s="8634" t="s">
        <v>5372</v>
      </c>
      <c r="E883" s="8634" t="s">
        <v>5373</v>
      </c>
      <c r="F883" s="8634" t="s">
        <v>5367</v>
      </c>
      <c r="G883" s="8634" t="s">
        <v>5374</v>
      </c>
      <c r="H883" s="8634" t="s">
        <v>24</v>
      </c>
      <c r="I883" s="8634" t="s">
        <v>722</v>
      </c>
    </row>
    <row customHeight="1" ht="11.25">
      <c r="A884" s="8634" t="s">
        <v>2182</v>
      </c>
      <c r="B884" s="8634" t="s">
        <v>14</v>
      </c>
      <c r="C884" s="8634" t="s">
        <v>5375</v>
      </c>
      <c r="D884" s="8634" t="s">
        <v>5376</v>
      </c>
      <c r="E884" s="8634" t="s">
        <v>5377</v>
      </c>
      <c r="F884" s="8634" t="s">
        <v>3295</v>
      </c>
      <c r="G884" s="8634" t="s">
        <v>5378</v>
      </c>
      <c r="H884" s="8634" t="s">
        <v>24</v>
      </c>
      <c r="I884" s="8634" t="s">
        <v>722</v>
      </c>
    </row>
    <row customHeight="1" ht="11.25">
      <c r="A885" s="8634" t="s">
        <v>2182</v>
      </c>
      <c r="B885" s="8634" t="s">
        <v>14</v>
      </c>
      <c r="C885" s="8634" t="s">
        <v>5379</v>
      </c>
      <c r="D885" s="8634" t="s">
        <v>5380</v>
      </c>
      <c r="E885" s="8634" t="s">
        <v>5381</v>
      </c>
      <c r="F885" s="8634" t="s">
        <v>2671</v>
      </c>
      <c r="G885" s="8634" t="s">
        <v>5382</v>
      </c>
      <c r="H885" s="8634" t="s">
        <v>24</v>
      </c>
      <c r="I885" s="8634" t="s">
        <v>722</v>
      </c>
    </row>
    <row customHeight="1" ht="11.25">
      <c r="A886" s="8634" t="s">
        <v>2182</v>
      </c>
      <c r="B886" s="8634" t="s">
        <v>14</v>
      </c>
      <c r="C886" s="8634" t="s">
        <v>5383</v>
      </c>
      <c r="D886" s="8634" t="s">
        <v>5384</v>
      </c>
      <c r="E886" s="8634" t="s">
        <v>5385</v>
      </c>
      <c r="F886" s="8634" t="s">
        <v>5386</v>
      </c>
      <c r="G886" s="8634" t="s">
        <v>3559</v>
      </c>
      <c r="H886" s="8634" t="s">
        <v>24</v>
      </c>
      <c r="I886" s="8634" t="s">
        <v>722</v>
      </c>
    </row>
    <row customHeight="1" ht="11.25">
      <c r="A887" s="8634" t="s">
        <v>2182</v>
      </c>
      <c r="B887" s="8634" t="s">
        <v>14</v>
      </c>
      <c r="C887" s="8634" t="s">
        <v>5387</v>
      </c>
      <c r="D887" s="8634" t="s">
        <v>5388</v>
      </c>
      <c r="E887" s="8634" t="s">
        <v>5389</v>
      </c>
      <c r="F887" s="8634" t="s">
        <v>4717</v>
      </c>
      <c r="G887" s="8634" t="s">
        <v>5390</v>
      </c>
      <c r="H887" s="8634" t="s">
        <v>2187</v>
      </c>
      <c r="I887" s="8634" t="s">
        <v>722</v>
      </c>
    </row>
    <row customHeight="1" ht="11.25">
      <c r="A888" s="8634" t="s">
        <v>2182</v>
      </c>
      <c r="B888" s="8634" t="s">
        <v>14</v>
      </c>
      <c r="C888" s="8634" t="s">
        <v>5391</v>
      </c>
      <c r="D888" s="8634" t="s">
        <v>5392</v>
      </c>
      <c r="E888" s="8634" t="s">
        <v>5393</v>
      </c>
      <c r="F888" s="8634" t="s">
        <v>3295</v>
      </c>
      <c r="G888" s="8634" t="s">
        <v>5394</v>
      </c>
      <c r="H888" s="8634" t="s">
        <v>24</v>
      </c>
      <c r="I888" s="8634" t="s">
        <v>722</v>
      </c>
    </row>
    <row customHeight="1" ht="11.25">
      <c r="A889" s="8634" t="s">
        <v>2182</v>
      </c>
      <c r="B889" s="8634" t="s">
        <v>14</v>
      </c>
      <c r="C889" s="8634" t="s">
        <v>5395</v>
      </c>
      <c r="D889" s="8634" t="s">
        <v>5396</v>
      </c>
      <c r="E889" s="8634" t="s">
        <v>5397</v>
      </c>
      <c r="F889" s="8634" t="s">
        <v>2269</v>
      </c>
      <c r="G889" s="8634" t="s">
        <v>5398</v>
      </c>
      <c r="H889" s="8634" t="s">
        <v>24</v>
      </c>
      <c r="I889" s="8634" t="s">
        <v>722</v>
      </c>
    </row>
    <row customHeight="1" ht="11.25">
      <c r="A890" s="8634" t="s">
        <v>2182</v>
      </c>
      <c r="B890" s="8634" t="s">
        <v>14</v>
      </c>
      <c r="C890" s="8634" t="s">
        <v>5399</v>
      </c>
      <c r="D890" s="8634" t="s">
        <v>5400</v>
      </c>
      <c r="E890" s="8634" t="s">
        <v>5401</v>
      </c>
      <c r="F890" s="8634" t="s">
        <v>5367</v>
      </c>
      <c r="G890" s="8634" t="s">
        <v>5402</v>
      </c>
      <c r="H890" s="8634" t="s">
        <v>24</v>
      </c>
      <c r="I890" s="8634" t="s">
        <v>722</v>
      </c>
    </row>
    <row customHeight="1" ht="11.25">
      <c r="A891" s="8634" t="s">
        <v>2182</v>
      </c>
      <c r="B891" s="8634" t="s">
        <v>14</v>
      </c>
      <c r="C891" s="8634" t="s">
        <v>5403</v>
      </c>
      <c r="D891" s="8634" t="s">
        <v>5404</v>
      </c>
      <c r="E891" s="8634" t="s">
        <v>5405</v>
      </c>
      <c r="F891" s="8634" t="s">
        <v>3295</v>
      </c>
      <c r="G891" s="8634" t="s">
        <v>5406</v>
      </c>
      <c r="H891" s="8634" t="s">
        <v>24</v>
      </c>
      <c r="I891" s="8634" t="s">
        <v>722</v>
      </c>
    </row>
    <row customHeight="1" ht="11.25">
      <c r="A892" s="8634" t="s">
        <v>2182</v>
      </c>
      <c r="B892" s="8634" t="s">
        <v>14</v>
      </c>
      <c r="C892" s="8634" t="s">
        <v>5407</v>
      </c>
      <c r="D892" s="8634" t="s">
        <v>5408</v>
      </c>
      <c r="E892" s="8634" t="s">
        <v>5409</v>
      </c>
      <c r="F892" s="8634" t="s">
        <v>2600</v>
      </c>
      <c r="G892" s="8634" t="s">
        <v>5410</v>
      </c>
      <c r="H892" s="8634" t="s">
        <v>24</v>
      </c>
      <c r="I892" s="8634" t="s">
        <v>722</v>
      </c>
    </row>
    <row customHeight="1" ht="11.25">
      <c r="A893" s="8634" t="s">
        <v>2182</v>
      </c>
      <c r="B893" s="8634" t="s">
        <v>14</v>
      </c>
      <c r="C893" s="8634" t="s">
        <v>5411</v>
      </c>
      <c r="D893" s="8634" t="s">
        <v>5412</v>
      </c>
      <c r="E893" s="8634" t="s">
        <v>5413</v>
      </c>
      <c r="F893" s="8634" t="s">
        <v>2339</v>
      </c>
      <c r="G893" s="8634" t="s">
        <v>5414</v>
      </c>
      <c r="H893" s="8634" t="s">
        <v>24</v>
      </c>
      <c r="I893" s="8634" t="s">
        <v>722</v>
      </c>
    </row>
    <row customHeight="1" ht="11.25">
      <c r="A894" s="8634" t="s">
        <v>2182</v>
      </c>
      <c r="B894" s="8634" t="s">
        <v>14</v>
      </c>
      <c r="C894" s="8634" t="s">
        <v>5415</v>
      </c>
      <c r="D894" s="8634" t="s">
        <v>5416</v>
      </c>
      <c r="E894" s="8634" t="s">
        <v>5417</v>
      </c>
      <c r="F894" s="8634" t="s">
        <v>4315</v>
      </c>
      <c r="G894" s="8634" t="s">
        <v>5418</v>
      </c>
      <c r="H894" s="8634" t="s">
        <v>24</v>
      </c>
      <c r="I894" s="8634" t="s">
        <v>722</v>
      </c>
    </row>
    <row customHeight="1" ht="11.25">
      <c r="A895" s="8634" t="s">
        <v>2182</v>
      </c>
      <c r="B895" s="8634" t="s">
        <v>14</v>
      </c>
      <c r="C895" s="8634" t="s">
        <v>5419</v>
      </c>
      <c r="D895" s="8634" t="s">
        <v>5420</v>
      </c>
      <c r="E895" s="8634" t="s">
        <v>5421</v>
      </c>
      <c r="F895" s="8634" t="s">
        <v>2411</v>
      </c>
      <c r="G895" s="8634" t="s">
        <v>24</v>
      </c>
      <c r="H895" s="8634" t="s">
        <v>2187</v>
      </c>
      <c r="I895" s="8634" t="s">
        <v>722</v>
      </c>
    </row>
    <row customHeight="1" ht="11.25">
      <c r="A896" s="8634" t="s">
        <v>2182</v>
      </c>
      <c r="B896" s="8634" t="s">
        <v>14</v>
      </c>
      <c r="C896" s="8634" t="s">
        <v>5422</v>
      </c>
      <c r="D896" s="8634" t="s">
        <v>5423</v>
      </c>
      <c r="E896" s="8634" t="s">
        <v>5424</v>
      </c>
      <c r="F896" s="8634" t="s">
        <v>2721</v>
      </c>
      <c r="G896" s="8634" t="s">
        <v>24</v>
      </c>
      <c r="H896" s="8634" t="s">
        <v>2187</v>
      </c>
      <c r="I896" s="8634" t="s">
        <v>722</v>
      </c>
    </row>
    <row customHeight="1" ht="11.25">
      <c r="A897" s="8634" t="s">
        <v>2182</v>
      </c>
      <c r="B897" s="8634" t="s">
        <v>14</v>
      </c>
      <c r="C897" s="8634" t="s">
        <v>5425</v>
      </c>
      <c r="D897" s="8634" t="s">
        <v>5426</v>
      </c>
      <c r="E897" s="8634" t="s">
        <v>5427</v>
      </c>
      <c r="F897" s="8634" t="s">
        <v>2269</v>
      </c>
      <c r="G897" s="8634" t="s">
        <v>5428</v>
      </c>
      <c r="H897" s="8634" t="s">
        <v>24</v>
      </c>
      <c r="I897" s="8634" t="s">
        <v>722</v>
      </c>
    </row>
    <row customHeight="1" ht="11.25">
      <c r="A898" s="8634" t="s">
        <v>2182</v>
      </c>
      <c r="B898" s="8634" t="s">
        <v>14</v>
      </c>
      <c r="C898" s="8634" t="s">
        <v>5429</v>
      </c>
      <c r="D898" s="8634" t="s">
        <v>5430</v>
      </c>
      <c r="E898" s="8634" t="s">
        <v>5431</v>
      </c>
      <c r="F898" s="8634" t="s">
        <v>2322</v>
      </c>
      <c r="G898" s="8634" t="s">
        <v>5432</v>
      </c>
      <c r="H898" s="8634" t="s">
        <v>2187</v>
      </c>
      <c r="I898" s="8634" t="s">
        <v>722</v>
      </c>
    </row>
    <row customHeight="1" ht="11.25">
      <c r="A899" s="8634" t="s">
        <v>2182</v>
      </c>
      <c r="B899" s="8634" t="s">
        <v>14</v>
      </c>
      <c r="C899" s="8634" t="s">
        <v>5433</v>
      </c>
      <c r="D899" s="8634" t="s">
        <v>5434</v>
      </c>
      <c r="E899" s="8634" t="s">
        <v>5435</v>
      </c>
      <c r="F899" s="8634" t="s">
        <v>2213</v>
      </c>
      <c r="G899" s="8634" t="s">
        <v>5436</v>
      </c>
      <c r="H899" s="8634" t="s">
        <v>24</v>
      </c>
      <c r="I899" s="8634" t="s">
        <v>722</v>
      </c>
    </row>
    <row customHeight="1" ht="11.25">
      <c r="A900" s="8634" t="s">
        <v>2182</v>
      </c>
      <c r="B900" s="8634" t="s">
        <v>14</v>
      </c>
      <c r="C900" s="8634" t="s">
        <v>5437</v>
      </c>
      <c r="D900" s="8634" t="s">
        <v>5438</v>
      </c>
      <c r="E900" s="8634" t="s">
        <v>5439</v>
      </c>
      <c r="F900" s="8634" t="s">
        <v>2948</v>
      </c>
      <c r="G900" s="8634" t="s">
        <v>5440</v>
      </c>
      <c r="H900" s="8634" t="s">
        <v>24</v>
      </c>
      <c r="I900" s="8634" t="s">
        <v>722</v>
      </c>
    </row>
    <row customHeight="1" ht="11.25">
      <c r="A901" s="8634" t="s">
        <v>2182</v>
      </c>
      <c r="B901" s="8634" t="s">
        <v>14</v>
      </c>
      <c r="C901" s="8634" t="s">
        <v>5441</v>
      </c>
      <c r="D901" s="8634" t="s">
        <v>5442</v>
      </c>
      <c r="E901" s="8634" t="s">
        <v>5443</v>
      </c>
      <c r="F901" s="8634" t="s">
        <v>4717</v>
      </c>
      <c r="G901" s="8634" t="s">
        <v>5444</v>
      </c>
      <c r="H901" s="8634" t="s">
        <v>5445</v>
      </c>
      <c r="I901" s="8634" t="s">
        <v>722</v>
      </c>
    </row>
    <row customHeight="1" ht="11.25">
      <c r="A902" s="8634" t="s">
        <v>2182</v>
      </c>
      <c r="B902" s="8634" t="s">
        <v>14</v>
      </c>
      <c r="C902" s="8634" t="s">
        <v>5446</v>
      </c>
      <c r="D902" s="8634" t="s">
        <v>5447</v>
      </c>
      <c r="E902" s="8634" t="s">
        <v>5448</v>
      </c>
      <c r="F902" s="8634" t="s">
        <v>2398</v>
      </c>
      <c r="G902" s="8634" t="s">
        <v>5449</v>
      </c>
      <c r="H902" s="8634" t="s">
        <v>24</v>
      </c>
      <c r="I902" s="8634" t="s">
        <v>722</v>
      </c>
    </row>
    <row customHeight="1" ht="11.25">
      <c r="A903" s="8634" t="s">
        <v>2182</v>
      </c>
      <c r="B903" s="8634" t="s">
        <v>14</v>
      </c>
      <c r="C903" s="8634" t="s">
        <v>5450</v>
      </c>
      <c r="D903" s="8634" t="s">
        <v>5451</v>
      </c>
      <c r="E903" s="8634" t="s">
        <v>5452</v>
      </c>
      <c r="F903" s="8634" t="s">
        <v>2269</v>
      </c>
      <c r="G903" s="8634" t="s">
        <v>3400</v>
      </c>
      <c r="H903" s="8634" t="s">
        <v>24</v>
      </c>
      <c r="I903" s="8634" t="s">
        <v>722</v>
      </c>
    </row>
    <row customHeight="1" ht="11.25">
      <c r="A904" s="8634" t="s">
        <v>2182</v>
      </c>
      <c r="B904" s="8634" t="s">
        <v>14</v>
      </c>
      <c r="C904" s="8634" t="s">
        <v>5453</v>
      </c>
      <c r="D904" s="8634" t="s">
        <v>5451</v>
      </c>
      <c r="E904" s="8634" t="s">
        <v>5454</v>
      </c>
      <c r="F904" s="8634" t="s">
        <v>3011</v>
      </c>
      <c r="G904" s="8634" t="s">
        <v>5455</v>
      </c>
      <c r="H904" s="8634" t="s">
        <v>24</v>
      </c>
      <c r="I904" s="8634" t="s">
        <v>722</v>
      </c>
    </row>
    <row customHeight="1" ht="11.25">
      <c r="A905" s="8634" t="s">
        <v>2182</v>
      </c>
      <c r="B905" s="8634" t="s">
        <v>14</v>
      </c>
      <c r="C905" s="8634" t="s">
        <v>5456</v>
      </c>
      <c r="D905" s="8634" t="s">
        <v>5457</v>
      </c>
      <c r="E905" s="8634" t="s">
        <v>5458</v>
      </c>
      <c r="F905" s="8634" t="s">
        <v>3235</v>
      </c>
      <c r="G905" s="8634" t="s">
        <v>5459</v>
      </c>
      <c r="H905" s="8634" t="s">
        <v>24</v>
      </c>
      <c r="I905" s="8634" t="s">
        <v>722</v>
      </c>
    </row>
    <row customHeight="1" ht="11.25">
      <c r="A906" s="8634" t="s">
        <v>2182</v>
      </c>
      <c r="B906" s="8634" t="s">
        <v>14</v>
      </c>
      <c r="C906" s="8634" t="s">
        <v>5460</v>
      </c>
      <c r="D906" s="8634" t="s">
        <v>5461</v>
      </c>
      <c r="E906" s="8634" t="s">
        <v>5462</v>
      </c>
      <c r="F906" s="8634" t="s">
        <v>2976</v>
      </c>
      <c r="G906" s="8634" t="s">
        <v>24</v>
      </c>
      <c r="H906" s="8634" t="s">
        <v>2697</v>
      </c>
      <c r="I906" s="8634" t="s">
        <v>722</v>
      </c>
    </row>
    <row customHeight="1" ht="11.25">
      <c r="A907" s="8634" t="s">
        <v>2182</v>
      </c>
      <c r="B907" s="8634" t="s">
        <v>14</v>
      </c>
      <c r="C907" s="8634" t="s">
        <v>5463</v>
      </c>
      <c r="D907" s="8634" t="s">
        <v>5464</v>
      </c>
      <c r="E907" s="8634" t="s">
        <v>5465</v>
      </c>
      <c r="F907" s="8634" t="s">
        <v>3437</v>
      </c>
      <c r="G907" s="8634" t="s">
        <v>24</v>
      </c>
      <c r="H907" s="8634" t="s">
        <v>24</v>
      </c>
      <c r="I907" s="8634" t="s">
        <v>722</v>
      </c>
    </row>
    <row customHeight="1" ht="11.25">
      <c r="A908" s="8634" t="s">
        <v>2182</v>
      </c>
      <c r="B908" s="8634" t="s">
        <v>14</v>
      </c>
      <c r="C908" s="8634" t="s">
        <v>5466</v>
      </c>
      <c r="D908" s="8634" t="s">
        <v>5464</v>
      </c>
      <c r="E908" s="8634" t="s">
        <v>5467</v>
      </c>
      <c r="F908" s="8634" t="s">
        <v>2398</v>
      </c>
      <c r="G908" s="8634" t="s">
        <v>24</v>
      </c>
      <c r="H908" s="8634" t="s">
        <v>24</v>
      </c>
      <c r="I908" s="8634" t="s">
        <v>722</v>
      </c>
    </row>
    <row customHeight="1" ht="11.25">
      <c r="A909" s="8634" t="s">
        <v>2182</v>
      </c>
      <c r="B909" s="8634" t="s">
        <v>14</v>
      </c>
      <c r="C909" s="8634" t="s">
        <v>5468</v>
      </c>
      <c r="D909" s="8634" t="s">
        <v>5469</v>
      </c>
      <c r="E909" s="8634" t="s">
        <v>5470</v>
      </c>
      <c r="F909" s="8634" t="s">
        <v>2339</v>
      </c>
      <c r="G909" s="8634" t="s">
        <v>5471</v>
      </c>
      <c r="H909" s="8634" t="s">
        <v>24</v>
      </c>
      <c r="I909" s="8634" t="s">
        <v>722</v>
      </c>
    </row>
    <row customHeight="1" ht="11.25">
      <c r="A910" s="8634" t="s">
        <v>2182</v>
      </c>
      <c r="B910" s="8634" t="s">
        <v>14</v>
      </c>
      <c r="C910" s="8634" t="s">
        <v>5472</v>
      </c>
      <c r="D910" s="8634" t="s">
        <v>5473</v>
      </c>
      <c r="E910" s="8634" t="s">
        <v>5474</v>
      </c>
      <c r="F910" s="8634" t="s">
        <v>2613</v>
      </c>
      <c r="G910" s="8634" t="s">
        <v>5475</v>
      </c>
      <c r="H910" s="8634" t="s">
        <v>24</v>
      </c>
      <c r="I910" s="8634" t="s">
        <v>722</v>
      </c>
    </row>
    <row customHeight="1" ht="11.25">
      <c r="A911" s="8634" t="s">
        <v>2182</v>
      </c>
      <c r="B911" s="8634" t="s">
        <v>14</v>
      </c>
      <c r="C911" s="8634" t="s">
        <v>5476</v>
      </c>
      <c r="D911" s="8634" t="s">
        <v>5477</v>
      </c>
      <c r="E911" s="8634" t="s">
        <v>5478</v>
      </c>
      <c r="F911" s="8634" t="s">
        <v>2218</v>
      </c>
      <c r="G911" s="8634" t="s">
        <v>5479</v>
      </c>
      <c r="H911" s="8634" t="s">
        <v>24</v>
      </c>
      <c r="I911" s="8634" t="s">
        <v>722</v>
      </c>
    </row>
    <row customHeight="1" ht="11.25">
      <c r="A912" s="8634" t="s">
        <v>2182</v>
      </c>
      <c r="B912" s="8634" t="s">
        <v>14</v>
      </c>
      <c r="C912" s="8634" t="s">
        <v>5480</v>
      </c>
      <c r="D912" s="8634" t="s">
        <v>5481</v>
      </c>
      <c r="E912" s="8634" t="s">
        <v>5482</v>
      </c>
      <c r="F912" s="8634" t="s">
        <v>2274</v>
      </c>
      <c r="G912" s="8634" t="s">
        <v>24</v>
      </c>
      <c r="H912" s="8634" t="s">
        <v>24</v>
      </c>
      <c r="I912" s="8634" t="s">
        <v>722</v>
      </c>
    </row>
    <row customHeight="1" ht="11.25">
      <c r="A913" s="8634" t="s">
        <v>2182</v>
      </c>
      <c r="B913" s="8634" t="s">
        <v>14</v>
      </c>
      <c r="C913" s="8634" t="s">
        <v>5483</v>
      </c>
      <c r="D913" s="8634" t="s">
        <v>5484</v>
      </c>
      <c r="E913" s="8634" t="s">
        <v>5485</v>
      </c>
      <c r="F913" s="8634" t="s">
        <v>2363</v>
      </c>
      <c r="G913" s="8634" t="s">
        <v>24</v>
      </c>
      <c r="H913" s="8634" t="s">
        <v>24</v>
      </c>
      <c r="I913" s="8634" t="s">
        <v>722</v>
      </c>
    </row>
    <row customHeight="1" ht="11.25">
      <c r="A914" s="8634" t="s">
        <v>2182</v>
      </c>
      <c r="B914" s="8634" t="s">
        <v>14</v>
      </c>
      <c r="C914" s="8634" t="s">
        <v>5486</v>
      </c>
      <c r="D914" s="8634" t="s">
        <v>5487</v>
      </c>
      <c r="E914" s="8634" t="s">
        <v>5488</v>
      </c>
      <c r="F914" s="8634" t="s">
        <v>3437</v>
      </c>
      <c r="G914" s="8634" t="s">
        <v>24</v>
      </c>
      <c r="H914" s="8634" t="s">
        <v>2187</v>
      </c>
      <c r="I914" s="8634" t="s">
        <v>722</v>
      </c>
    </row>
    <row customHeight="1" ht="11.25">
      <c r="A915" s="8634" t="s">
        <v>2182</v>
      </c>
      <c r="B915" s="8634" t="s">
        <v>14</v>
      </c>
      <c r="C915" s="8634" t="s">
        <v>5489</v>
      </c>
      <c r="D915" s="8634" t="s">
        <v>5490</v>
      </c>
      <c r="E915" s="8634" t="s">
        <v>5491</v>
      </c>
      <c r="F915" s="8634" t="s">
        <v>2964</v>
      </c>
      <c r="G915" s="8634" t="s">
        <v>24</v>
      </c>
      <c r="H915" s="8634" t="s">
        <v>2187</v>
      </c>
      <c r="I915" s="8634" t="s">
        <v>722</v>
      </c>
    </row>
    <row customHeight="1" ht="11.25">
      <c r="A916" s="8634" t="s">
        <v>2182</v>
      </c>
      <c r="B916" s="8634" t="s">
        <v>14</v>
      </c>
      <c r="C916" s="8634" t="s">
        <v>5492</v>
      </c>
      <c r="D916" s="8634" t="s">
        <v>5493</v>
      </c>
      <c r="E916" s="8634" t="s">
        <v>5494</v>
      </c>
      <c r="F916" s="8634" t="s">
        <v>2274</v>
      </c>
      <c r="G916" s="8634" t="s">
        <v>24</v>
      </c>
      <c r="H916" s="8634" t="s">
        <v>5495</v>
      </c>
      <c r="I916" s="8634" t="s">
        <v>722</v>
      </c>
    </row>
    <row customHeight="1" ht="11.25">
      <c r="A917" s="8634" t="s">
        <v>2182</v>
      </c>
      <c r="B917" s="8634" t="s">
        <v>14</v>
      </c>
      <c r="C917" s="8634" t="s">
        <v>5496</v>
      </c>
      <c r="D917" s="8634" t="s">
        <v>5497</v>
      </c>
      <c r="E917" s="8634" t="s">
        <v>5498</v>
      </c>
      <c r="F917" s="8634" t="s">
        <v>2600</v>
      </c>
      <c r="G917" s="8634" t="s">
        <v>24</v>
      </c>
      <c r="H917" s="8634" t="s">
        <v>24</v>
      </c>
      <c r="I917" s="8634" t="s">
        <v>722</v>
      </c>
    </row>
    <row customHeight="1" ht="11.25">
      <c r="A918" s="8634" t="s">
        <v>2182</v>
      </c>
      <c r="B918" s="8634" t="s">
        <v>14</v>
      </c>
      <c r="C918" s="8634" t="s">
        <v>5499</v>
      </c>
      <c r="D918" s="8634" t="s">
        <v>5500</v>
      </c>
      <c r="E918" s="8634" t="s">
        <v>5501</v>
      </c>
      <c r="F918" s="8634" t="s">
        <v>2233</v>
      </c>
      <c r="G918" s="8634" t="s">
        <v>5502</v>
      </c>
      <c r="H918" s="8634" t="s">
        <v>24</v>
      </c>
      <c r="I918" s="8634" t="s">
        <v>722</v>
      </c>
    </row>
    <row customHeight="1" ht="11.25">
      <c r="A919" s="8634" t="s">
        <v>2182</v>
      </c>
      <c r="B919" s="8634" t="s">
        <v>14</v>
      </c>
      <c r="C919" s="8634" t="s">
        <v>5503</v>
      </c>
      <c r="D919" s="8634" t="s">
        <v>5504</v>
      </c>
      <c r="E919" s="8634" t="s">
        <v>5505</v>
      </c>
      <c r="F919" s="8634" t="s">
        <v>2228</v>
      </c>
      <c r="G919" s="8634" t="s">
        <v>24</v>
      </c>
      <c r="H919" s="8634" t="s">
        <v>24</v>
      </c>
      <c r="I919" s="8634" t="s">
        <v>722</v>
      </c>
    </row>
    <row customHeight="1" ht="11.25">
      <c r="A920" s="8634" t="s">
        <v>2182</v>
      </c>
      <c r="B920" s="8634" t="s">
        <v>14</v>
      </c>
      <c r="C920" s="8634" t="s">
        <v>5506</v>
      </c>
      <c r="D920" s="8634" t="s">
        <v>5507</v>
      </c>
      <c r="E920" s="8634" t="s">
        <v>5508</v>
      </c>
      <c r="F920" s="8634" t="s">
        <v>2600</v>
      </c>
      <c r="G920" s="8634" t="s">
        <v>4708</v>
      </c>
      <c r="H920" s="8634" t="s">
        <v>24</v>
      </c>
      <c r="I920" s="8634" t="s">
        <v>722</v>
      </c>
    </row>
    <row customHeight="1" ht="11.25">
      <c r="A921" s="8634" t="s">
        <v>2182</v>
      </c>
      <c r="B921" s="8634" t="s">
        <v>14</v>
      </c>
      <c r="C921" s="8634" t="s">
        <v>5509</v>
      </c>
      <c r="D921" s="8634" t="s">
        <v>5510</v>
      </c>
      <c r="E921" s="8634" t="s">
        <v>5511</v>
      </c>
      <c r="F921" s="8634" t="s">
        <v>5512</v>
      </c>
      <c r="G921" s="8634" t="s">
        <v>24</v>
      </c>
      <c r="H921" s="8634" t="s">
        <v>24</v>
      </c>
      <c r="I921" s="8634" t="s">
        <v>722</v>
      </c>
    </row>
    <row customHeight="1" ht="11.25">
      <c r="A922" s="8634" t="s">
        <v>2182</v>
      </c>
      <c r="B922" s="8634" t="s">
        <v>14</v>
      </c>
      <c r="C922" s="8634" t="s">
        <v>5513</v>
      </c>
      <c r="D922" s="8634" t="s">
        <v>5514</v>
      </c>
      <c r="E922" s="8634" t="s">
        <v>5511</v>
      </c>
      <c r="F922" s="8634" t="s">
        <v>5515</v>
      </c>
      <c r="G922" s="8634" t="s">
        <v>24</v>
      </c>
      <c r="H922" s="8634" t="s">
        <v>5516</v>
      </c>
      <c r="I922" s="8634" t="s">
        <v>722</v>
      </c>
    </row>
    <row customHeight="1" ht="11.25">
      <c r="A923" s="8634" t="s">
        <v>2182</v>
      </c>
      <c r="B923" s="8634" t="s">
        <v>14</v>
      </c>
      <c r="C923" s="8634" t="s">
        <v>5517</v>
      </c>
      <c r="D923" s="8634" t="s">
        <v>5518</v>
      </c>
      <c r="E923" s="8634" t="s">
        <v>5519</v>
      </c>
      <c r="F923" s="8634" t="s">
        <v>2269</v>
      </c>
      <c r="G923" s="8634" t="s">
        <v>5520</v>
      </c>
      <c r="H923" s="8634" t="s">
        <v>24</v>
      </c>
      <c r="I923" s="8634" t="s">
        <v>722</v>
      </c>
    </row>
    <row customHeight="1" ht="11.25">
      <c r="A924" s="8634" t="s">
        <v>2182</v>
      </c>
      <c r="B924" s="8634" t="s">
        <v>14</v>
      </c>
      <c r="C924" s="8634" t="s">
        <v>5521</v>
      </c>
      <c r="D924" s="8634" t="s">
        <v>5522</v>
      </c>
      <c r="E924" s="8634" t="s">
        <v>5523</v>
      </c>
      <c r="F924" s="8634" t="s">
        <v>2398</v>
      </c>
      <c r="G924" s="8634" t="s">
        <v>5524</v>
      </c>
      <c r="H924" s="8634" t="s">
        <v>24</v>
      </c>
      <c r="I924" s="8634" t="s">
        <v>722</v>
      </c>
    </row>
    <row customHeight="1" ht="11.25">
      <c r="A925" s="8634" t="s">
        <v>2182</v>
      </c>
      <c r="B925" s="8634" t="s">
        <v>14</v>
      </c>
      <c r="C925" s="8634" t="s">
        <v>5525</v>
      </c>
      <c r="D925" s="8634" t="s">
        <v>5526</v>
      </c>
      <c r="E925" s="8634" t="s">
        <v>5527</v>
      </c>
      <c r="F925" s="8634" t="s">
        <v>2213</v>
      </c>
      <c r="G925" s="8634" t="s">
        <v>5528</v>
      </c>
      <c r="H925" s="8634" t="s">
        <v>24</v>
      </c>
      <c r="I925" s="8634" t="s">
        <v>722</v>
      </c>
    </row>
    <row customHeight="1" ht="11.25">
      <c r="A926" s="8634" t="s">
        <v>2182</v>
      </c>
      <c r="B926" s="8634" t="s">
        <v>14</v>
      </c>
      <c r="C926" s="8634" t="s">
        <v>5529</v>
      </c>
      <c r="D926" s="8634" t="s">
        <v>5530</v>
      </c>
      <c r="E926" s="8634" t="s">
        <v>5531</v>
      </c>
      <c r="F926" s="8634" t="s">
        <v>2245</v>
      </c>
      <c r="G926" s="8634" t="s">
        <v>24</v>
      </c>
      <c r="H926" s="8634" t="s">
        <v>24</v>
      </c>
      <c r="I926" s="8634" t="s">
        <v>722</v>
      </c>
    </row>
    <row customHeight="1" ht="11.25">
      <c r="A927" s="8634" t="s">
        <v>2182</v>
      </c>
      <c r="B927" s="8634" t="s">
        <v>14</v>
      </c>
      <c r="C927" s="8634" t="s">
        <v>5532</v>
      </c>
      <c r="D927" s="8634" t="s">
        <v>5533</v>
      </c>
      <c r="E927" s="8634" t="s">
        <v>5534</v>
      </c>
      <c r="F927" s="8634" t="s">
        <v>2600</v>
      </c>
      <c r="G927" s="8634" t="s">
        <v>24</v>
      </c>
      <c r="H927" s="8634" t="s">
        <v>24</v>
      </c>
      <c r="I927" s="8634" t="s">
        <v>722</v>
      </c>
    </row>
    <row customHeight="1" ht="11.25">
      <c r="A928" s="8634" t="s">
        <v>2182</v>
      </c>
      <c r="B928" s="8634" t="s">
        <v>14</v>
      </c>
      <c r="C928" s="8634" t="s">
        <v>5535</v>
      </c>
      <c r="D928" s="8634" t="s">
        <v>5533</v>
      </c>
      <c r="E928" s="8634" t="s">
        <v>5536</v>
      </c>
      <c r="F928" s="8634" t="s">
        <v>2411</v>
      </c>
      <c r="G928" s="8634" t="s">
        <v>5537</v>
      </c>
      <c r="H928" s="8634" t="s">
        <v>24</v>
      </c>
      <c r="I928" s="8634" t="s">
        <v>722</v>
      </c>
    </row>
    <row customHeight="1" ht="11.25">
      <c r="A929" s="8634" t="s">
        <v>2182</v>
      </c>
      <c r="B929" s="8634" t="s">
        <v>14</v>
      </c>
      <c r="C929" s="8634" t="s">
        <v>5538</v>
      </c>
      <c r="D929" s="8634" t="s">
        <v>5539</v>
      </c>
      <c r="E929" s="8634" t="s">
        <v>5540</v>
      </c>
      <c r="F929" s="8634" t="s">
        <v>2398</v>
      </c>
      <c r="G929" s="8634" t="s">
        <v>5541</v>
      </c>
      <c r="H929" s="8634" t="s">
        <v>24</v>
      </c>
      <c r="I929" s="8634" t="s">
        <v>722</v>
      </c>
    </row>
    <row customHeight="1" ht="11.25">
      <c r="A930" s="8634" t="s">
        <v>2182</v>
      </c>
      <c r="B930" s="8634" t="s">
        <v>14</v>
      </c>
      <c r="C930" s="8634" t="s">
        <v>5542</v>
      </c>
      <c r="D930" s="8634" t="s">
        <v>5543</v>
      </c>
      <c r="E930" s="8634" t="s">
        <v>5544</v>
      </c>
      <c r="F930" s="8634" t="s">
        <v>2349</v>
      </c>
      <c r="G930" s="8634" t="s">
        <v>5545</v>
      </c>
      <c r="H930" s="8634" t="s">
        <v>24</v>
      </c>
      <c r="I930" s="8634" t="s">
        <v>722</v>
      </c>
    </row>
    <row customHeight="1" ht="11.25">
      <c r="A931" s="8634" t="s">
        <v>2182</v>
      </c>
      <c r="B931" s="8634" t="s">
        <v>14</v>
      </c>
      <c r="C931" s="8634" t="s">
        <v>5546</v>
      </c>
      <c r="D931" s="8634" t="s">
        <v>5547</v>
      </c>
      <c r="E931" s="8634" t="s">
        <v>5548</v>
      </c>
      <c r="F931" s="8634" t="s">
        <v>2600</v>
      </c>
      <c r="G931" s="8634" t="s">
        <v>5549</v>
      </c>
      <c r="H931" s="8634" t="s">
        <v>24</v>
      </c>
      <c r="I931" s="8634" t="s">
        <v>722</v>
      </c>
    </row>
    <row customHeight="1" ht="11.25">
      <c r="A932" s="8634" t="s">
        <v>2182</v>
      </c>
      <c r="B932" s="8634" t="s">
        <v>14</v>
      </c>
      <c r="C932" s="8634" t="s">
        <v>5550</v>
      </c>
      <c r="D932" s="8634" t="s">
        <v>5551</v>
      </c>
      <c r="E932" s="8634" t="s">
        <v>5552</v>
      </c>
      <c r="F932" s="8634" t="s">
        <v>2398</v>
      </c>
      <c r="G932" s="8634" t="s">
        <v>5553</v>
      </c>
      <c r="H932" s="8634" t="s">
        <v>24</v>
      </c>
      <c r="I932" s="8634" t="s">
        <v>722</v>
      </c>
    </row>
    <row customHeight="1" ht="11.25">
      <c r="A933" s="8634" t="s">
        <v>2182</v>
      </c>
      <c r="B933" s="8634" t="s">
        <v>14</v>
      </c>
      <c r="C933" s="8634" t="s">
        <v>5554</v>
      </c>
      <c r="D933" s="8634" t="s">
        <v>5555</v>
      </c>
      <c r="E933" s="8634" t="s">
        <v>4402</v>
      </c>
      <c r="F933" s="8634" t="s">
        <v>2186</v>
      </c>
      <c r="G933" s="8634" t="s">
        <v>24</v>
      </c>
      <c r="H933" s="8634" t="s">
        <v>24</v>
      </c>
      <c r="I933" s="8634" t="s">
        <v>722</v>
      </c>
    </row>
    <row customHeight="1" ht="11.25">
      <c r="A934" s="8634" t="s">
        <v>2182</v>
      </c>
      <c r="B934" s="8634" t="s">
        <v>14</v>
      </c>
      <c r="C934" s="8634" t="s">
        <v>5556</v>
      </c>
      <c r="D934" s="8634" t="s">
        <v>5557</v>
      </c>
      <c r="E934" s="8634" t="s">
        <v>5558</v>
      </c>
      <c r="F934" s="8634" t="s">
        <v>2245</v>
      </c>
      <c r="G934" s="8634" t="s">
        <v>5559</v>
      </c>
      <c r="H934" s="8634" t="s">
        <v>24</v>
      </c>
      <c r="I934" s="8634" t="s">
        <v>722</v>
      </c>
    </row>
    <row customHeight="1" ht="11.25">
      <c r="A935" s="8634" t="s">
        <v>2182</v>
      </c>
      <c r="B935" s="8634" t="s">
        <v>14</v>
      </c>
      <c r="C935" s="8634" t="s">
        <v>5560</v>
      </c>
      <c r="D935" s="8634" t="s">
        <v>5561</v>
      </c>
      <c r="E935" s="8634" t="s">
        <v>5562</v>
      </c>
      <c r="F935" s="8634" t="s">
        <v>2274</v>
      </c>
      <c r="G935" s="8634" t="s">
        <v>5563</v>
      </c>
      <c r="H935" s="8634" t="s">
        <v>24</v>
      </c>
      <c r="I935" s="8634" t="s">
        <v>722</v>
      </c>
    </row>
    <row customHeight="1" ht="11.25">
      <c r="A936" s="8634" t="s">
        <v>2182</v>
      </c>
      <c r="B936" s="8634" t="s">
        <v>14</v>
      </c>
      <c r="C936" s="8634" t="s">
        <v>5564</v>
      </c>
      <c r="D936" s="8634" t="s">
        <v>5565</v>
      </c>
      <c r="E936" s="8634" t="s">
        <v>5566</v>
      </c>
      <c r="F936" s="8634" t="s">
        <v>2563</v>
      </c>
      <c r="G936" s="8634" t="s">
        <v>24</v>
      </c>
      <c r="H936" s="8634" t="s">
        <v>2187</v>
      </c>
      <c r="I936" s="8634" t="s">
        <v>722</v>
      </c>
    </row>
    <row customHeight="1" ht="11.25">
      <c r="A937" s="8634" t="s">
        <v>2182</v>
      </c>
      <c r="B937" s="8634" t="s">
        <v>14</v>
      </c>
      <c r="C937" s="8634" t="s">
        <v>5567</v>
      </c>
      <c r="D937" s="8634" t="s">
        <v>5568</v>
      </c>
      <c r="E937" s="8634" t="s">
        <v>5569</v>
      </c>
      <c r="F937" s="8634" t="s">
        <v>2228</v>
      </c>
      <c r="G937" s="8634" t="s">
        <v>5570</v>
      </c>
      <c r="H937" s="8634" t="s">
        <v>24</v>
      </c>
      <c r="I937" s="8634" t="s">
        <v>722</v>
      </c>
    </row>
    <row customHeight="1" ht="11.25">
      <c r="A938" s="8634" t="s">
        <v>2182</v>
      </c>
      <c r="B938" s="8634" t="s">
        <v>14</v>
      </c>
      <c r="C938" s="8634" t="s">
        <v>5571</v>
      </c>
      <c r="D938" s="8634" t="s">
        <v>5572</v>
      </c>
      <c r="E938" s="8634" t="s">
        <v>5573</v>
      </c>
      <c r="F938" s="8634" t="s">
        <v>2411</v>
      </c>
      <c r="G938" s="8634" t="s">
        <v>24</v>
      </c>
      <c r="H938" s="8634" t="s">
        <v>24</v>
      </c>
      <c r="I938" s="8634" t="s">
        <v>722</v>
      </c>
    </row>
    <row customHeight="1" ht="11.25">
      <c r="A939" s="8634" t="s">
        <v>2182</v>
      </c>
      <c r="B939" s="8634" t="s">
        <v>14</v>
      </c>
      <c r="C939" s="8634" t="s">
        <v>5574</v>
      </c>
      <c r="D939" s="8634" t="s">
        <v>5575</v>
      </c>
      <c r="E939" s="8634" t="s">
        <v>5576</v>
      </c>
      <c r="F939" s="8634" t="s">
        <v>2376</v>
      </c>
      <c r="G939" s="8634" t="s">
        <v>3967</v>
      </c>
      <c r="H939" s="8634" t="s">
        <v>24</v>
      </c>
      <c r="I939" s="8634" t="s">
        <v>722</v>
      </c>
    </row>
    <row customHeight="1" ht="11.25">
      <c r="A940" s="8634" t="s">
        <v>2182</v>
      </c>
      <c r="B940" s="8634" t="s">
        <v>14</v>
      </c>
      <c r="C940" s="8634" t="s">
        <v>5577</v>
      </c>
      <c r="D940" s="8634" t="s">
        <v>5578</v>
      </c>
      <c r="E940" s="8634" t="s">
        <v>5579</v>
      </c>
      <c r="F940" s="8634" t="s">
        <v>2334</v>
      </c>
      <c r="G940" s="8634" t="s">
        <v>5580</v>
      </c>
      <c r="H940" s="8634" t="s">
        <v>24</v>
      </c>
      <c r="I940" s="8634" t="s">
        <v>722</v>
      </c>
    </row>
    <row customHeight="1" ht="11.25">
      <c r="A941" s="8634" t="s">
        <v>2182</v>
      </c>
      <c r="B941" s="8634" t="s">
        <v>14</v>
      </c>
      <c r="C941" s="8634" t="s">
        <v>5581</v>
      </c>
      <c r="D941" s="8634" t="s">
        <v>5582</v>
      </c>
      <c r="E941" s="8634" t="s">
        <v>5583</v>
      </c>
      <c r="F941" s="8634" t="s">
        <v>5584</v>
      </c>
      <c r="G941" s="8634" t="s">
        <v>5585</v>
      </c>
      <c r="H941" s="8634" t="s">
        <v>24</v>
      </c>
      <c r="I941" s="8634" t="s">
        <v>722</v>
      </c>
    </row>
    <row customHeight="1" ht="11.25">
      <c r="A942" s="8634" t="s">
        <v>2182</v>
      </c>
      <c r="B942" s="8634" t="s">
        <v>14</v>
      </c>
      <c r="C942" s="8634" t="s">
        <v>5586</v>
      </c>
      <c r="D942" s="8634" t="s">
        <v>5587</v>
      </c>
      <c r="E942" s="8634" t="s">
        <v>5588</v>
      </c>
      <c r="F942" s="8634" t="s">
        <v>2213</v>
      </c>
      <c r="G942" s="8634" t="s">
        <v>24</v>
      </c>
      <c r="H942" s="8634" t="s">
        <v>24</v>
      </c>
      <c r="I942" s="8634" t="s">
        <v>722</v>
      </c>
    </row>
    <row customHeight="1" ht="11.25">
      <c r="A943" s="8634" t="s">
        <v>2182</v>
      </c>
      <c r="B943" s="8634" t="s">
        <v>14</v>
      </c>
      <c r="C943" s="8634" t="s">
        <v>5589</v>
      </c>
      <c r="D943" s="8634" t="s">
        <v>5590</v>
      </c>
      <c r="E943" s="8634" t="s">
        <v>5591</v>
      </c>
      <c r="F943" s="8634" t="s">
        <v>2186</v>
      </c>
      <c r="G943" s="8634" t="s">
        <v>5592</v>
      </c>
      <c r="H943" s="8634" t="s">
        <v>24</v>
      </c>
      <c r="I943" s="8634" t="s">
        <v>722</v>
      </c>
    </row>
    <row customHeight="1" ht="11.25">
      <c r="A944" s="8634" t="s">
        <v>2182</v>
      </c>
      <c r="B944" s="8634" t="s">
        <v>14</v>
      </c>
      <c r="C944" s="8634" t="s">
        <v>5593</v>
      </c>
      <c r="D944" s="8634" t="s">
        <v>5594</v>
      </c>
      <c r="E944" s="8634" t="s">
        <v>5595</v>
      </c>
      <c r="F944" s="8634" t="s">
        <v>2322</v>
      </c>
      <c r="G944" s="8634" t="s">
        <v>24</v>
      </c>
      <c r="H944" s="8634" t="s">
        <v>24</v>
      </c>
      <c r="I944" s="8634" t="s">
        <v>722</v>
      </c>
    </row>
    <row customHeight="1" ht="11.25">
      <c r="A945" s="8634" t="s">
        <v>2182</v>
      </c>
      <c r="B945" s="8634" t="s">
        <v>14</v>
      </c>
      <c r="C945" s="8634" t="s">
        <v>5596</v>
      </c>
      <c r="D945" s="8634" t="s">
        <v>5597</v>
      </c>
      <c r="E945" s="8634" t="s">
        <v>5598</v>
      </c>
      <c r="F945" s="8634" t="s">
        <v>2218</v>
      </c>
      <c r="G945" s="8634" t="s">
        <v>24</v>
      </c>
      <c r="H945" s="8634" t="s">
        <v>24</v>
      </c>
      <c r="I945" s="8634" t="s">
        <v>722</v>
      </c>
    </row>
    <row customHeight="1" ht="11.25">
      <c r="A946" s="8634" t="s">
        <v>2182</v>
      </c>
      <c r="B946" s="8634" t="s">
        <v>14</v>
      </c>
      <c r="C946" s="8634" t="s">
        <v>5599</v>
      </c>
      <c r="D946" s="8634" t="s">
        <v>5600</v>
      </c>
      <c r="E946" s="8634" t="s">
        <v>5601</v>
      </c>
      <c r="F946" s="8634" t="s">
        <v>3007</v>
      </c>
      <c r="G946" s="8634" t="s">
        <v>24</v>
      </c>
      <c r="H946" s="8634" t="s">
        <v>2697</v>
      </c>
      <c r="I946" s="8634" t="s">
        <v>722</v>
      </c>
    </row>
    <row customHeight="1" ht="11.25">
      <c r="A947" s="8634" t="s">
        <v>2182</v>
      </c>
      <c r="B947" s="8634" t="s">
        <v>14</v>
      </c>
      <c r="C947" s="8634" t="s">
        <v>5602</v>
      </c>
      <c r="D947" s="8634" t="s">
        <v>5603</v>
      </c>
      <c r="E947" s="8634" t="s">
        <v>5604</v>
      </c>
      <c r="F947" s="8634" t="s">
        <v>2269</v>
      </c>
      <c r="G947" s="8634" t="s">
        <v>5605</v>
      </c>
      <c r="H947" s="8634" t="s">
        <v>24</v>
      </c>
      <c r="I947" s="8634" t="s">
        <v>722</v>
      </c>
    </row>
    <row customHeight="1" ht="11.25">
      <c r="A948" s="8634" t="s">
        <v>2182</v>
      </c>
      <c r="B948" s="8634" t="s">
        <v>14</v>
      </c>
      <c r="C948" s="8634" t="s">
        <v>5606</v>
      </c>
      <c r="D948" s="8634" t="s">
        <v>5607</v>
      </c>
      <c r="E948" s="8634" t="s">
        <v>5608</v>
      </c>
      <c r="F948" s="8634" t="s">
        <v>5235</v>
      </c>
      <c r="G948" s="8634" t="s">
        <v>24</v>
      </c>
      <c r="H948" s="8634" t="s">
        <v>24</v>
      </c>
      <c r="I948" s="8634" t="s">
        <v>722</v>
      </c>
    </row>
    <row customHeight="1" ht="11.25">
      <c r="A949" s="8634" t="s">
        <v>2182</v>
      </c>
      <c r="B949" s="8634" t="s">
        <v>14</v>
      </c>
      <c r="C949" s="8634" t="s">
        <v>5609</v>
      </c>
      <c r="D949" s="8634" t="s">
        <v>5610</v>
      </c>
      <c r="E949" s="8634" t="s">
        <v>5611</v>
      </c>
      <c r="F949" s="8634" t="s">
        <v>2218</v>
      </c>
      <c r="G949" s="8634" t="s">
        <v>5612</v>
      </c>
      <c r="H949" s="8634" t="s">
        <v>2400</v>
      </c>
      <c r="I949" s="8634" t="s">
        <v>722</v>
      </c>
    </row>
    <row customHeight="1" ht="11.25">
      <c r="A950" s="8634" t="s">
        <v>2182</v>
      </c>
      <c r="B950" s="8634" t="s">
        <v>14</v>
      </c>
      <c r="C950" s="8634" t="s">
        <v>5613</v>
      </c>
      <c r="D950" s="8634" t="s">
        <v>5614</v>
      </c>
      <c r="E950" s="8634" t="s">
        <v>5615</v>
      </c>
      <c r="F950" s="8634" t="s">
        <v>2334</v>
      </c>
      <c r="G950" s="8634" t="s">
        <v>5616</v>
      </c>
      <c r="H950" s="8634" t="s">
        <v>24</v>
      </c>
      <c r="I950" s="8634" t="s">
        <v>722</v>
      </c>
    </row>
    <row customHeight="1" ht="11.25">
      <c r="A951" s="8634" t="s">
        <v>2182</v>
      </c>
      <c r="B951" s="8634" t="s">
        <v>14</v>
      </c>
      <c r="C951" s="8634" t="s">
        <v>5617</v>
      </c>
      <c r="D951" s="8634" t="s">
        <v>5618</v>
      </c>
      <c r="E951" s="8634" t="s">
        <v>5619</v>
      </c>
      <c r="F951" s="8634" t="s">
        <v>3508</v>
      </c>
      <c r="G951" s="8634" t="s">
        <v>24</v>
      </c>
      <c r="H951" s="8634" t="s">
        <v>24</v>
      </c>
      <c r="I951" s="8634" t="s">
        <v>722</v>
      </c>
    </row>
    <row customHeight="1" ht="11.25">
      <c r="A952" s="8634" t="s">
        <v>2182</v>
      </c>
      <c r="B952" s="8634" t="s">
        <v>14</v>
      </c>
      <c r="C952" s="8634" t="s">
        <v>5620</v>
      </c>
      <c r="D952" s="8634" t="s">
        <v>5621</v>
      </c>
      <c r="E952" s="8634" t="s">
        <v>5622</v>
      </c>
      <c r="F952" s="8634" t="s">
        <v>5623</v>
      </c>
      <c r="G952" s="8634" t="s">
        <v>24</v>
      </c>
      <c r="H952" s="8634" t="s">
        <v>2187</v>
      </c>
      <c r="I952" s="8634" t="s">
        <v>722</v>
      </c>
    </row>
    <row customHeight="1" ht="11.25">
      <c r="A953" s="8634" t="s">
        <v>2182</v>
      </c>
      <c r="B953" s="8634" t="s">
        <v>14</v>
      </c>
      <c r="C953" s="8634" t="s">
        <v>5624</v>
      </c>
      <c r="D953" s="8634" t="s">
        <v>5625</v>
      </c>
      <c r="E953" s="8634" t="s">
        <v>5626</v>
      </c>
      <c r="F953" s="8634" t="s">
        <v>2398</v>
      </c>
      <c r="G953" s="8634" t="s">
        <v>24</v>
      </c>
      <c r="H953" s="8634" t="s">
        <v>2993</v>
      </c>
      <c r="I953" s="8634" t="s">
        <v>722</v>
      </c>
    </row>
    <row customHeight="1" ht="11.25">
      <c r="A954" s="8634" t="s">
        <v>2182</v>
      </c>
      <c r="B954" s="8634" t="s">
        <v>14</v>
      </c>
      <c r="C954" s="8634" t="s">
        <v>5627</v>
      </c>
      <c r="D954" s="8634" t="s">
        <v>5628</v>
      </c>
      <c r="E954" s="8634" t="s">
        <v>5629</v>
      </c>
      <c r="F954" s="8634" t="s">
        <v>2322</v>
      </c>
      <c r="G954" s="8634" t="s">
        <v>5630</v>
      </c>
      <c r="H954" s="8634" t="s">
        <v>24</v>
      </c>
      <c r="I954" s="8634" t="s">
        <v>722</v>
      </c>
    </row>
    <row customHeight="1" ht="11.25">
      <c r="A955" s="8634" t="s">
        <v>2182</v>
      </c>
      <c r="B955" s="8634" t="s">
        <v>14</v>
      </c>
      <c r="C955" s="8634" t="s">
        <v>5631</v>
      </c>
      <c r="D955" s="8634" t="s">
        <v>5632</v>
      </c>
      <c r="E955" s="8634" t="s">
        <v>5633</v>
      </c>
      <c r="F955" s="8634" t="s">
        <v>2398</v>
      </c>
      <c r="G955" s="8634" t="s">
        <v>24</v>
      </c>
      <c r="H955" s="8634" t="s">
        <v>24</v>
      </c>
      <c r="I955" s="8634" t="s">
        <v>722</v>
      </c>
    </row>
    <row customHeight="1" ht="11.25">
      <c r="A956" s="8634" t="s">
        <v>2182</v>
      </c>
      <c r="B956" s="8634" t="s">
        <v>14</v>
      </c>
      <c r="C956" s="8634" t="s">
        <v>5634</v>
      </c>
      <c r="D956" s="8634" t="s">
        <v>5635</v>
      </c>
      <c r="E956" s="8634" t="s">
        <v>5636</v>
      </c>
      <c r="F956" s="8634" t="s">
        <v>2274</v>
      </c>
      <c r="G956" s="8634" t="s">
        <v>24</v>
      </c>
      <c r="H956" s="8634" t="s">
        <v>24</v>
      </c>
      <c r="I956" s="8634" t="s">
        <v>722</v>
      </c>
    </row>
    <row customHeight="1" ht="11.25">
      <c r="A957" s="8634" t="s">
        <v>2182</v>
      </c>
      <c r="B957" s="8634" t="s">
        <v>14</v>
      </c>
      <c r="C957" s="8634" t="s">
        <v>5637</v>
      </c>
      <c r="D957" s="8634" t="s">
        <v>5638</v>
      </c>
      <c r="E957" s="8634" t="s">
        <v>5639</v>
      </c>
      <c r="F957" s="8634" t="s">
        <v>2213</v>
      </c>
      <c r="G957" s="8634" t="s">
        <v>24</v>
      </c>
      <c r="H957" s="8634" t="s">
        <v>2187</v>
      </c>
      <c r="I957" s="8634" t="s">
        <v>722</v>
      </c>
    </row>
    <row customHeight="1" ht="11.25">
      <c r="A958" s="8634" t="s">
        <v>2182</v>
      </c>
      <c r="B958" s="8634" t="s">
        <v>14</v>
      </c>
      <c r="C958" s="8634" t="s">
        <v>5640</v>
      </c>
      <c r="D958" s="8634" t="s">
        <v>5641</v>
      </c>
      <c r="E958" s="8634" t="s">
        <v>5642</v>
      </c>
      <c r="F958" s="8634" t="s">
        <v>3765</v>
      </c>
      <c r="G958" s="8634" t="s">
        <v>5643</v>
      </c>
      <c r="H958" s="8634" t="s">
        <v>24</v>
      </c>
      <c r="I958" s="8634" t="s">
        <v>722</v>
      </c>
    </row>
    <row customHeight="1" ht="11.25">
      <c r="A959" s="8634" t="s">
        <v>2182</v>
      </c>
      <c r="B959" s="8634" t="s">
        <v>14</v>
      </c>
      <c r="C959" s="8634" t="s">
        <v>5644</v>
      </c>
      <c r="D959" s="8634" t="s">
        <v>5645</v>
      </c>
      <c r="E959" s="8634" t="s">
        <v>5646</v>
      </c>
      <c r="F959" s="8634" t="s">
        <v>2213</v>
      </c>
      <c r="G959" s="8634" t="s">
        <v>5647</v>
      </c>
      <c r="H959" s="8634" t="s">
        <v>24</v>
      </c>
      <c r="I959" s="8634" t="s">
        <v>722</v>
      </c>
    </row>
    <row customHeight="1" ht="11.25">
      <c r="A960" s="8634" t="s">
        <v>2182</v>
      </c>
      <c r="B960" s="8634" t="s">
        <v>14</v>
      </c>
      <c r="C960" s="8634" t="s">
        <v>5648</v>
      </c>
      <c r="D960" s="8634" t="s">
        <v>5649</v>
      </c>
      <c r="E960" s="8634" t="s">
        <v>5650</v>
      </c>
      <c r="F960" s="8634" t="s">
        <v>2339</v>
      </c>
      <c r="G960" s="8634" t="s">
        <v>24</v>
      </c>
      <c r="H960" s="8634" t="s">
        <v>2187</v>
      </c>
      <c r="I960" s="8634" t="s">
        <v>722</v>
      </c>
    </row>
    <row customHeight="1" ht="11.25">
      <c r="A961" s="8634" t="s">
        <v>2182</v>
      </c>
      <c r="B961" s="8634" t="s">
        <v>14</v>
      </c>
      <c r="C961" s="8634" t="s">
        <v>5651</v>
      </c>
      <c r="D961" s="8634" t="s">
        <v>5652</v>
      </c>
      <c r="E961" s="8634" t="s">
        <v>5653</v>
      </c>
      <c r="F961" s="8634" t="s">
        <v>2398</v>
      </c>
      <c r="G961" s="8634" t="s">
        <v>5654</v>
      </c>
      <c r="H961" s="8634" t="s">
        <v>24</v>
      </c>
      <c r="I961" s="8634" t="s">
        <v>722</v>
      </c>
    </row>
    <row customHeight="1" ht="11.25">
      <c r="A962" s="8634" t="s">
        <v>2182</v>
      </c>
      <c r="B962" s="8634" t="s">
        <v>14</v>
      </c>
      <c r="C962" s="8634" t="s">
        <v>5655</v>
      </c>
      <c r="D962" s="8634" t="s">
        <v>5656</v>
      </c>
      <c r="E962" s="8634" t="s">
        <v>5657</v>
      </c>
      <c r="F962" s="8634" t="s">
        <v>2213</v>
      </c>
      <c r="G962" s="8634" t="s">
        <v>24</v>
      </c>
      <c r="H962" s="8634" t="s">
        <v>2187</v>
      </c>
      <c r="I962" s="8634" t="s">
        <v>722</v>
      </c>
    </row>
    <row customHeight="1" ht="11.25">
      <c r="A963" s="8634" t="s">
        <v>2182</v>
      </c>
      <c r="B963" s="8634" t="s">
        <v>14</v>
      </c>
      <c r="C963" s="8634" t="s">
        <v>5658</v>
      </c>
      <c r="D963" s="8634" t="s">
        <v>5659</v>
      </c>
      <c r="E963" s="8634" t="s">
        <v>5660</v>
      </c>
      <c r="F963" s="8634" t="s">
        <v>2976</v>
      </c>
      <c r="G963" s="8634" t="s">
        <v>5661</v>
      </c>
      <c r="H963" s="8634" t="s">
        <v>24</v>
      </c>
      <c r="I963" s="8634" t="s">
        <v>722</v>
      </c>
    </row>
    <row customHeight="1" ht="11.25">
      <c r="A964" s="8634" t="s">
        <v>2182</v>
      </c>
      <c r="B964" s="8634" t="s">
        <v>14</v>
      </c>
      <c r="C964" s="8634" t="s">
        <v>5662</v>
      </c>
      <c r="D964" s="8634" t="s">
        <v>5663</v>
      </c>
      <c r="E964" s="8634" t="s">
        <v>5664</v>
      </c>
      <c r="F964" s="8634" t="s">
        <v>2322</v>
      </c>
      <c r="G964" s="8634" t="s">
        <v>5665</v>
      </c>
      <c r="H964" s="8634" t="s">
        <v>24</v>
      </c>
      <c r="I964" s="8634" t="s">
        <v>722</v>
      </c>
    </row>
    <row customHeight="1" ht="11.25">
      <c r="A965" s="8634" t="s">
        <v>2182</v>
      </c>
      <c r="B965" s="8634" t="s">
        <v>14</v>
      </c>
      <c r="C965" s="8634" t="s">
        <v>5666</v>
      </c>
      <c r="D965" s="8634" t="s">
        <v>5667</v>
      </c>
      <c r="E965" s="8634" t="s">
        <v>5668</v>
      </c>
      <c r="F965" s="8634" t="s">
        <v>2322</v>
      </c>
      <c r="G965" s="8634" t="s">
        <v>5669</v>
      </c>
      <c r="H965" s="8634" t="s">
        <v>24</v>
      </c>
      <c r="I965" s="8634" t="s">
        <v>722</v>
      </c>
    </row>
    <row customHeight="1" ht="11.25">
      <c r="A966" s="8634" t="s">
        <v>2182</v>
      </c>
      <c r="B966" s="8634" t="s">
        <v>14</v>
      </c>
      <c r="C966" s="8634" t="s">
        <v>5670</v>
      </c>
      <c r="D966" s="8634" t="s">
        <v>5671</v>
      </c>
      <c r="E966" s="8634" t="s">
        <v>5672</v>
      </c>
      <c r="F966" s="8634" t="s">
        <v>2339</v>
      </c>
      <c r="G966" s="8634" t="s">
        <v>24</v>
      </c>
      <c r="H966" s="8634" t="s">
        <v>24</v>
      </c>
      <c r="I966" s="8634" t="s">
        <v>722</v>
      </c>
    </row>
    <row customHeight="1" ht="11.25">
      <c r="A967" s="8634" t="s">
        <v>2182</v>
      </c>
      <c r="B967" s="8634" t="s">
        <v>14</v>
      </c>
      <c r="C967" s="8634" t="s">
        <v>5673</v>
      </c>
      <c r="D967" s="8634" t="s">
        <v>5674</v>
      </c>
      <c r="E967" s="8634" t="s">
        <v>5675</v>
      </c>
      <c r="F967" s="8634" t="s">
        <v>2626</v>
      </c>
      <c r="G967" s="8634" t="s">
        <v>3659</v>
      </c>
      <c r="H967" s="8634" t="s">
        <v>2187</v>
      </c>
      <c r="I967" s="8634" t="s">
        <v>722</v>
      </c>
    </row>
    <row customHeight="1" ht="11.25">
      <c r="A968" s="8634" t="s">
        <v>2182</v>
      </c>
      <c r="B968" s="8634" t="s">
        <v>14</v>
      </c>
      <c r="C968" s="8634" t="s">
        <v>5676</v>
      </c>
      <c r="D968" s="8634" t="s">
        <v>5677</v>
      </c>
      <c r="E968" s="8634" t="s">
        <v>5678</v>
      </c>
      <c r="F968" s="8634" t="s">
        <v>4645</v>
      </c>
      <c r="G968" s="8634" t="s">
        <v>5679</v>
      </c>
      <c r="H968" s="8634" t="s">
        <v>24</v>
      </c>
      <c r="I968" s="8634" t="s">
        <v>722</v>
      </c>
    </row>
    <row customHeight="1" ht="11.25">
      <c r="A969" s="8634" t="s">
        <v>2182</v>
      </c>
      <c r="B969" s="8634" t="s">
        <v>14</v>
      </c>
      <c r="C969" s="8634" t="s">
        <v>5680</v>
      </c>
      <c r="D969" s="8634" t="s">
        <v>5681</v>
      </c>
      <c r="E969" s="8634" t="s">
        <v>5682</v>
      </c>
      <c r="F969" s="8634" t="s">
        <v>2191</v>
      </c>
      <c r="G969" s="8634" t="s">
        <v>24</v>
      </c>
      <c r="H969" s="8634" t="s">
        <v>2187</v>
      </c>
      <c r="I969" s="8634" t="s">
        <v>722</v>
      </c>
    </row>
    <row customHeight="1" ht="11.25">
      <c r="A970" s="8634" t="s">
        <v>2182</v>
      </c>
      <c r="B970" s="8634" t="s">
        <v>14</v>
      </c>
      <c r="C970" s="8634" t="s">
        <v>5683</v>
      </c>
      <c r="D970" s="8634" t="s">
        <v>5684</v>
      </c>
      <c r="E970" s="8634" t="s">
        <v>5685</v>
      </c>
      <c r="F970" s="8634" t="s">
        <v>2344</v>
      </c>
      <c r="G970" s="8634" t="s">
        <v>24</v>
      </c>
      <c r="H970" s="8634" t="s">
        <v>24</v>
      </c>
      <c r="I970" s="8634" t="s">
        <v>722</v>
      </c>
    </row>
    <row customHeight="1" ht="11.25">
      <c r="A971" s="8634" t="s">
        <v>2182</v>
      </c>
      <c r="B971" s="8634" t="s">
        <v>14</v>
      </c>
      <c r="C971" s="8634" t="s">
        <v>5686</v>
      </c>
      <c r="D971" s="8634" t="s">
        <v>5687</v>
      </c>
      <c r="E971" s="8634" t="s">
        <v>5688</v>
      </c>
      <c r="F971" s="8634" t="s">
        <v>2394</v>
      </c>
      <c r="G971" s="8634" t="s">
        <v>5689</v>
      </c>
      <c r="H971" s="8634" t="s">
        <v>24</v>
      </c>
      <c r="I971" s="8634" t="s">
        <v>722</v>
      </c>
    </row>
    <row customHeight="1" ht="11.25">
      <c r="A972" s="8634" t="s">
        <v>2182</v>
      </c>
      <c r="B972" s="8634" t="s">
        <v>14</v>
      </c>
      <c r="C972" s="8634" t="s">
        <v>5690</v>
      </c>
      <c r="D972" s="8634" t="s">
        <v>5691</v>
      </c>
      <c r="E972" s="8634" t="s">
        <v>5692</v>
      </c>
      <c r="F972" s="8634" t="s">
        <v>2344</v>
      </c>
      <c r="G972" s="8634" t="s">
        <v>5693</v>
      </c>
      <c r="H972" s="8634" t="s">
        <v>24</v>
      </c>
      <c r="I972" s="8634" t="s">
        <v>722</v>
      </c>
    </row>
    <row customHeight="1" ht="11.25">
      <c r="A973" s="8634" t="s">
        <v>2182</v>
      </c>
      <c r="B973" s="8634" t="s">
        <v>14</v>
      </c>
      <c r="C973" s="8634" t="s">
        <v>5694</v>
      </c>
      <c r="D973" s="8634" t="s">
        <v>5695</v>
      </c>
      <c r="E973" s="8634" t="s">
        <v>2194</v>
      </c>
      <c r="F973" s="8634" t="s">
        <v>2191</v>
      </c>
      <c r="G973" s="8634" t="s">
        <v>24</v>
      </c>
      <c r="H973" s="8634" t="s">
        <v>3000</v>
      </c>
      <c r="I973" s="8634" t="s">
        <v>722</v>
      </c>
    </row>
    <row customHeight="1" ht="11.25">
      <c r="A974" s="8634" t="s">
        <v>2182</v>
      </c>
      <c r="B974" s="8634" t="s">
        <v>14</v>
      </c>
      <c r="C974" s="8634" t="s">
        <v>5696</v>
      </c>
      <c r="D974" s="8634" t="s">
        <v>5697</v>
      </c>
      <c r="E974" s="8634" t="s">
        <v>5698</v>
      </c>
      <c r="F974" s="8634" t="s">
        <v>5699</v>
      </c>
      <c r="G974" s="8634" t="s">
        <v>5700</v>
      </c>
      <c r="H974" s="8634" t="s">
        <v>24</v>
      </c>
      <c r="I974" s="8634" t="s">
        <v>722</v>
      </c>
    </row>
    <row customHeight="1" ht="11.25">
      <c r="A975" s="8634" t="s">
        <v>2182</v>
      </c>
      <c r="B975" s="8634" t="s">
        <v>14</v>
      </c>
      <c r="C975" s="8634" t="s">
        <v>5701</v>
      </c>
      <c r="D975" s="8634" t="s">
        <v>5702</v>
      </c>
      <c r="E975" s="8634" t="s">
        <v>5703</v>
      </c>
      <c r="F975" s="8634" t="s">
        <v>5704</v>
      </c>
      <c r="G975" s="8634" t="s">
        <v>24</v>
      </c>
      <c r="H975" s="8634" t="s">
        <v>2187</v>
      </c>
      <c r="I975" s="8634" t="s">
        <v>722</v>
      </c>
    </row>
    <row customHeight="1" ht="11.25">
      <c r="A976" s="8634" t="s">
        <v>2182</v>
      </c>
      <c r="B976" s="8634" t="s">
        <v>14</v>
      </c>
      <c r="C976" s="8634" t="s">
        <v>5705</v>
      </c>
      <c r="D976" s="8634" t="s">
        <v>5706</v>
      </c>
      <c r="E976" s="8634" t="s">
        <v>5703</v>
      </c>
      <c r="F976" s="8634" t="s">
        <v>5707</v>
      </c>
      <c r="G976" s="8634" t="s">
        <v>24</v>
      </c>
      <c r="H976" s="8634" t="s">
        <v>24</v>
      </c>
      <c r="I976" s="8634" t="s">
        <v>722</v>
      </c>
    </row>
    <row customHeight="1" ht="11.25">
      <c r="A977" s="8634" t="s">
        <v>2182</v>
      </c>
      <c r="B977" s="8634" t="s">
        <v>14</v>
      </c>
      <c r="C977" s="8634" t="s">
        <v>5708</v>
      </c>
      <c r="D977" s="8634" t="s">
        <v>5709</v>
      </c>
      <c r="E977" s="8634" t="s">
        <v>5703</v>
      </c>
      <c r="F977" s="8634" t="s">
        <v>5710</v>
      </c>
      <c r="G977" s="8634" t="s">
        <v>24</v>
      </c>
      <c r="H977" s="8634" t="s">
        <v>24</v>
      </c>
      <c r="I977" s="8634" t="s">
        <v>722</v>
      </c>
    </row>
    <row customHeight="1" ht="11.25">
      <c r="A978" s="8634" t="s">
        <v>2182</v>
      </c>
      <c r="B978" s="8634" t="s">
        <v>14</v>
      </c>
      <c r="C978" s="8634" t="s">
        <v>5711</v>
      </c>
      <c r="D978" s="8634" t="s">
        <v>5712</v>
      </c>
      <c r="E978" s="8634" t="s">
        <v>3878</v>
      </c>
      <c r="F978" s="8634" t="s">
        <v>2688</v>
      </c>
      <c r="G978" s="8634" t="s">
        <v>24</v>
      </c>
      <c r="H978" s="8634" t="s">
        <v>2400</v>
      </c>
      <c r="I978" s="8634" t="s">
        <v>722</v>
      </c>
    </row>
    <row customHeight="1" ht="11.25">
      <c r="A979" s="8634" t="s">
        <v>2182</v>
      </c>
      <c r="B979" s="8634" t="s">
        <v>14</v>
      </c>
      <c r="C979" s="8634" t="s">
        <v>5713</v>
      </c>
      <c r="D979" s="8634" t="s">
        <v>5714</v>
      </c>
      <c r="E979" s="8634" t="s">
        <v>5715</v>
      </c>
      <c r="F979" s="8634" t="s">
        <v>2404</v>
      </c>
      <c r="G979" s="8634" t="s">
        <v>24</v>
      </c>
      <c r="H979" s="8634" t="s">
        <v>24</v>
      </c>
      <c r="I979" s="8634" t="s">
        <v>722</v>
      </c>
    </row>
    <row customHeight="1" ht="11.25">
      <c r="A980" s="8634" t="s">
        <v>2182</v>
      </c>
      <c r="B980" s="8634" t="s">
        <v>14</v>
      </c>
      <c r="C980" s="8634" t="s">
        <v>5716</v>
      </c>
      <c r="D980" s="8634" t="s">
        <v>5717</v>
      </c>
      <c r="E980" s="8634" t="s">
        <v>5718</v>
      </c>
      <c r="F980" s="8634" t="s">
        <v>4717</v>
      </c>
      <c r="G980" s="8634" t="s">
        <v>5719</v>
      </c>
      <c r="H980" s="8634" t="s">
        <v>24</v>
      </c>
      <c r="I980" s="8634" t="s">
        <v>722</v>
      </c>
    </row>
    <row customHeight="1" ht="11.25">
      <c r="A981" s="8634" t="s">
        <v>2182</v>
      </c>
      <c r="B981" s="8634" t="s">
        <v>14</v>
      </c>
      <c r="C981" s="8634" t="s">
        <v>5720</v>
      </c>
      <c r="D981" s="8634" t="s">
        <v>5721</v>
      </c>
      <c r="E981" s="8634" t="s">
        <v>5722</v>
      </c>
      <c r="F981" s="8634" t="s">
        <v>5723</v>
      </c>
      <c r="G981" s="8634" t="s">
        <v>24</v>
      </c>
      <c r="H981" s="8634" t="s">
        <v>24</v>
      </c>
      <c r="I981" s="8634" t="s">
        <v>722</v>
      </c>
    </row>
    <row customHeight="1" ht="11.25">
      <c r="A982" s="8634" t="s">
        <v>2182</v>
      </c>
      <c r="B982" s="8634" t="s">
        <v>14</v>
      </c>
      <c r="C982" s="8634" t="s">
        <v>5724</v>
      </c>
      <c r="D982" s="8634" t="s">
        <v>5725</v>
      </c>
      <c r="E982" s="8634" t="s">
        <v>5726</v>
      </c>
      <c r="F982" s="8634" t="s">
        <v>2398</v>
      </c>
      <c r="G982" s="8634" t="s">
        <v>5727</v>
      </c>
      <c r="H982" s="8634" t="s">
        <v>24</v>
      </c>
      <c r="I982" s="8634" t="s">
        <v>722</v>
      </c>
    </row>
    <row customHeight="1" ht="11.25">
      <c r="A983" s="8634" t="s">
        <v>2182</v>
      </c>
      <c r="B983" s="8634" t="s">
        <v>14</v>
      </c>
      <c r="C983" s="8634" t="s">
        <v>5728</v>
      </c>
      <c r="D983" s="8634" t="s">
        <v>5729</v>
      </c>
      <c r="E983" s="8634" t="s">
        <v>5730</v>
      </c>
      <c r="F983" s="8634" t="s">
        <v>2195</v>
      </c>
      <c r="G983" s="8634" t="s">
        <v>5731</v>
      </c>
      <c r="H983" s="8634" t="s">
        <v>24</v>
      </c>
      <c r="I983" s="8634" t="s">
        <v>722</v>
      </c>
    </row>
    <row customHeight="1" ht="11.25">
      <c r="A984" s="8634" t="s">
        <v>2182</v>
      </c>
      <c r="B984" s="8634" t="s">
        <v>14</v>
      </c>
      <c r="C984" s="8634" t="s">
        <v>5732</v>
      </c>
      <c r="D984" s="8634" t="s">
        <v>5733</v>
      </c>
      <c r="E984" s="8634" t="s">
        <v>2734</v>
      </c>
      <c r="F984" s="8634" t="s">
        <v>5723</v>
      </c>
      <c r="G984" s="8634" t="s">
        <v>24</v>
      </c>
      <c r="H984" s="8634" t="s">
        <v>24</v>
      </c>
      <c r="I984" s="8634" t="s">
        <v>722</v>
      </c>
    </row>
    <row customHeight="1" ht="11.25">
      <c r="A985" s="8634" t="s">
        <v>2182</v>
      </c>
      <c r="B985" s="8634" t="s">
        <v>14</v>
      </c>
      <c r="C985" s="8634" t="s">
        <v>5734</v>
      </c>
      <c r="D985" s="8634" t="s">
        <v>5735</v>
      </c>
      <c r="E985" s="8634" t="s">
        <v>5736</v>
      </c>
      <c r="F985" s="8634" t="s">
        <v>2228</v>
      </c>
      <c r="G985" s="8634" t="s">
        <v>5737</v>
      </c>
      <c r="H985" s="8634" t="s">
        <v>24</v>
      </c>
      <c r="I985" s="8634" t="s">
        <v>722</v>
      </c>
    </row>
    <row customHeight="1" ht="11.25">
      <c r="A986" s="8634" t="s">
        <v>2182</v>
      </c>
      <c r="B986" s="8634" t="s">
        <v>14</v>
      </c>
      <c r="C986" s="8634" t="s">
        <v>5738</v>
      </c>
      <c r="D986" s="8634" t="s">
        <v>5739</v>
      </c>
      <c r="E986" s="8634" t="s">
        <v>5740</v>
      </c>
      <c r="F986" s="8634" t="s">
        <v>5741</v>
      </c>
      <c r="G986" s="8634" t="s">
        <v>5742</v>
      </c>
      <c r="H986" s="8634" t="s">
        <v>24</v>
      </c>
      <c r="I986" s="8634" t="s">
        <v>722</v>
      </c>
    </row>
    <row customHeight="1" ht="11.25">
      <c r="A987" s="8634" t="s">
        <v>2182</v>
      </c>
      <c r="B987" s="8634" t="s">
        <v>14</v>
      </c>
      <c r="C987" s="8634" t="s">
        <v>5743</v>
      </c>
      <c r="D987" s="8634" t="s">
        <v>5744</v>
      </c>
      <c r="E987" s="8634" t="s">
        <v>5745</v>
      </c>
      <c r="F987" s="8634" t="s">
        <v>5746</v>
      </c>
      <c r="G987" s="8634" t="s">
        <v>5747</v>
      </c>
      <c r="H987" s="8634" t="s">
        <v>24</v>
      </c>
      <c r="I987" s="8634" t="s">
        <v>722</v>
      </c>
    </row>
    <row customHeight="1" ht="11.25">
      <c r="A988" s="8634" t="s">
        <v>2182</v>
      </c>
      <c r="B988" s="8634" t="s">
        <v>14</v>
      </c>
      <c r="C988" s="8634" t="s">
        <v>5748</v>
      </c>
      <c r="D988" s="8634" t="s">
        <v>5749</v>
      </c>
      <c r="E988" s="8634" t="s">
        <v>5750</v>
      </c>
      <c r="F988" s="8634" t="s">
        <v>2274</v>
      </c>
      <c r="G988" s="8634" t="s">
        <v>5751</v>
      </c>
      <c r="H988" s="8634" t="s">
        <v>24</v>
      </c>
      <c r="I988" s="8634" t="s">
        <v>722</v>
      </c>
    </row>
    <row customHeight="1" ht="11.25">
      <c r="A989" s="8634" t="s">
        <v>2182</v>
      </c>
      <c r="B989" s="8634" t="s">
        <v>14</v>
      </c>
      <c r="C989" s="8634" t="s">
        <v>5752</v>
      </c>
      <c r="D989" s="8634" t="s">
        <v>5753</v>
      </c>
      <c r="E989" s="8634" t="s">
        <v>47</v>
      </c>
      <c r="F989" s="8634" t="s">
        <v>5754</v>
      </c>
      <c r="G989" s="8634" t="s">
        <v>5755</v>
      </c>
      <c r="H989" s="8634" t="s">
        <v>24</v>
      </c>
      <c r="I989" s="8634" t="s">
        <v>722</v>
      </c>
    </row>
    <row customHeight="1" ht="11.25">
      <c r="A990" s="8634" t="s">
        <v>2182</v>
      </c>
      <c r="B990" s="8634" t="s">
        <v>14</v>
      </c>
      <c r="C990" s="8634" t="s">
        <v>5756</v>
      </c>
      <c r="D990" s="8634" t="s">
        <v>5757</v>
      </c>
      <c r="E990" s="8634" t="s">
        <v>5758</v>
      </c>
      <c r="F990" s="8634" t="s">
        <v>2492</v>
      </c>
      <c r="G990" s="8634" t="s">
        <v>5759</v>
      </c>
      <c r="H990" s="8634" t="s">
        <v>24</v>
      </c>
      <c r="I990" s="8634" t="s">
        <v>722</v>
      </c>
    </row>
    <row customHeight="1" ht="11.25">
      <c r="A991" s="8634" t="s">
        <v>2182</v>
      </c>
      <c r="B991" s="8634" t="s">
        <v>14</v>
      </c>
      <c r="C991" s="8634" t="s">
        <v>5760</v>
      </c>
      <c r="D991" s="8634" t="s">
        <v>5761</v>
      </c>
      <c r="E991" s="8634" t="s">
        <v>3944</v>
      </c>
      <c r="F991" s="8634" t="s">
        <v>2438</v>
      </c>
      <c r="G991" s="8634" t="s">
        <v>24</v>
      </c>
      <c r="H991" s="8634" t="s">
        <v>24</v>
      </c>
      <c r="I991" s="8634" t="s">
        <v>722</v>
      </c>
    </row>
    <row customHeight="1" ht="11.25">
      <c r="A992" s="8634" t="s">
        <v>2182</v>
      </c>
      <c r="B992" s="8634" t="s">
        <v>14</v>
      </c>
      <c r="C992" s="8634" t="s">
        <v>5762</v>
      </c>
      <c r="D992" s="8634" t="s">
        <v>5763</v>
      </c>
      <c r="E992" s="8634" t="s">
        <v>5764</v>
      </c>
      <c r="F992" s="8634" t="s">
        <v>3765</v>
      </c>
      <c r="G992" s="8634" t="s">
        <v>24</v>
      </c>
      <c r="H992" s="8634" t="s">
        <v>2187</v>
      </c>
      <c r="I992" s="8634" t="s">
        <v>722</v>
      </c>
    </row>
    <row customHeight="1" ht="11.25">
      <c r="A993" s="8634" t="s">
        <v>2182</v>
      </c>
      <c r="B993" s="8634" t="s">
        <v>14</v>
      </c>
      <c r="C993" s="8634" t="s">
        <v>5765</v>
      </c>
      <c r="D993" s="8634" t="s">
        <v>5766</v>
      </c>
      <c r="E993" s="8634" t="s">
        <v>5767</v>
      </c>
      <c r="F993" s="8634" t="s">
        <v>5768</v>
      </c>
      <c r="G993" s="8634" t="s">
        <v>24</v>
      </c>
      <c r="H993" s="8634" t="s">
        <v>2187</v>
      </c>
      <c r="I993" s="8634" t="s">
        <v>722</v>
      </c>
    </row>
    <row customHeight="1" ht="11.25">
      <c r="A994" s="8634" t="s">
        <v>2182</v>
      </c>
      <c r="B994" s="8634" t="s">
        <v>14</v>
      </c>
      <c r="C994" s="8634" t="s">
        <v>5769</v>
      </c>
      <c r="D994" s="8634" t="s">
        <v>5770</v>
      </c>
      <c r="E994" s="8634" t="s">
        <v>5771</v>
      </c>
      <c r="F994" s="8634" t="s">
        <v>2460</v>
      </c>
      <c r="G994" s="8634" t="s">
        <v>24</v>
      </c>
      <c r="H994" s="8634" t="s">
        <v>2187</v>
      </c>
      <c r="I994" s="8634" t="s">
        <v>722</v>
      </c>
    </row>
    <row customHeight="1" ht="11.25">
      <c r="A995" s="8634" t="s">
        <v>2182</v>
      </c>
      <c r="B995" s="8634" t="s">
        <v>14</v>
      </c>
      <c r="C995" s="8634" t="s">
        <v>5772</v>
      </c>
      <c r="D995" s="8634" t="s">
        <v>5773</v>
      </c>
      <c r="E995" s="8634" t="s">
        <v>2194</v>
      </c>
      <c r="F995" s="8634" t="s">
        <v>5774</v>
      </c>
      <c r="G995" s="8634" t="s">
        <v>24</v>
      </c>
      <c r="H995" s="8634" t="s">
        <v>2697</v>
      </c>
      <c r="I995" s="8634" t="s">
        <v>722</v>
      </c>
    </row>
    <row customHeight="1" ht="11.25">
      <c r="A996" s="8634" t="s">
        <v>2182</v>
      </c>
      <c r="B996" s="8634" t="s">
        <v>14</v>
      </c>
      <c r="C996" s="8634" t="s">
        <v>5775</v>
      </c>
      <c r="D996" s="8634" t="s">
        <v>5776</v>
      </c>
      <c r="E996" s="8634" t="s">
        <v>5777</v>
      </c>
      <c r="F996" s="8634" t="s">
        <v>2411</v>
      </c>
      <c r="G996" s="8634" t="s">
        <v>5778</v>
      </c>
      <c r="H996" s="8634" t="s">
        <v>24</v>
      </c>
      <c r="I996" s="8634" t="s">
        <v>722</v>
      </c>
    </row>
    <row customHeight="1" ht="11.25">
      <c r="A997" s="8634" t="s">
        <v>2182</v>
      </c>
      <c r="B997" s="8634" t="s">
        <v>14</v>
      </c>
      <c r="C997" s="8634" t="s">
        <v>5779</v>
      </c>
      <c r="D997" s="8634" t="s">
        <v>5780</v>
      </c>
      <c r="E997" s="8634" t="s">
        <v>2194</v>
      </c>
      <c r="F997" s="8634" t="s">
        <v>5781</v>
      </c>
      <c r="G997" s="8634" t="s">
        <v>5782</v>
      </c>
      <c r="H997" s="8634" t="s">
        <v>2400</v>
      </c>
      <c r="I997" s="8634" t="s">
        <v>722</v>
      </c>
    </row>
    <row customHeight="1" ht="11.25">
      <c r="A998" s="8634" t="s">
        <v>2182</v>
      </c>
      <c r="B998" s="8634" t="s">
        <v>14</v>
      </c>
      <c r="C998" s="8634" t="s">
        <v>5783</v>
      </c>
      <c r="D998" s="8634" t="s">
        <v>5784</v>
      </c>
      <c r="E998" s="8634" t="s">
        <v>3039</v>
      </c>
      <c r="F998" s="8634" t="s">
        <v>5785</v>
      </c>
      <c r="G998" s="8634" t="s">
        <v>24</v>
      </c>
      <c r="H998" s="8634" t="s">
        <v>24</v>
      </c>
      <c r="I998" s="8634" t="s">
        <v>722</v>
      </c>
    </row>
    <row customHeight="1" ht="11.25">
      <c r="A999" s="8634" t="s">
        <v>2182</v>
      </c>
      <c r="B999" s="8634" t="s">
        <v>14</v>
      </c>
      <c r="C999" s="8634" t="s">
        <v>5786</v>
      </c>
      <c r="D999" s="8634" t="s">
        <v>5787</v>
      </c>
      <c r="E999" s="8634" t="s">
        <v>5788</v>
      </c>
      <c r="F999" s="8634" t="s">
        <v>4717</v>
      </c>
      <c r="G999" s="8634" t="s">
        <v>5789</v>
      </c>
      <c r="H999" s="8634" t="s">
        <v>24</v>
      </c>
      <c r="I999" s="8634" t="s">
        <v>722</v>
      </c>
    </row>
    <row customHeight="1" ht="11.25">
      <c r="A1000" s="8634" t="s">
        <v>2182</v>
      </c>
      <c r="B1000" s="8634" t="s">
        <v>14</v>
      </c>
      <c r="C1000" s="8634" t="s">
        <v>5790</v>
      </c>
      <c r="D1000" s="8634" t="s">
        <v>5791</v>
      </c>
      <c r="E1000" s="8634" t="s">
        <v>5792</v>
      </c>
      <c r="F1000" s="8634" t="s">
        <v>5793</v>
      </c>
      <c r="G1000" s="8634" t="s">
        <v>24</v>
      </c>
      <c r="H1000" s="8634" t="s">
        <v>2706</v>
      </c>
      <c r="I1000" s="8634" t="s">
        <v>722</v>
      </c>
    </row>
    <row customHeight="1" ht="11.25">
      <c r="A1001" s="8634" t="s">
        <v>2182</v>
      </c>
      <c r="B1001" s="8634" t="s">
        <v>14</v>
      </c>
      <c r="C1001" s="8634" t="s">
        <v>5794</v>
      </c>
      <c r="D1001" s="8634" t="s">
        <v>5795</v>
      </c>
      <c r="E1001" s="8634" t="s">
        <v>5796</v>
      </c>
      <c r="F1001" s="8634" t="s">
        <v>2186</v>
      </c>
      <c r="G1001" s="8634" t="s">
        <v>24</v>
      </c>
      <c r="H1001" s="8634" t="s">
        <v>5797</v>
      </c>
      <c r="I1001" s="8634" t="s">
        <v>722</v>
      </c>
    </row>
    <row customHeight="1" ht="11.25">
      <c r="A1002" s="8634" t="s">
        <v>2182</v>
      </c>
      <c r="B1002" s="8634" t="s">
        <v>14</v>
      </c>
      <c r="C1002" s="8634" t="s">
        <v>5798</v>
      </c>
      <c r="D1002" s="8634" t="s">
        <v>5799</v>
      </c>
      <c r="E1002" s="8634" t="s">
        <v>5800</v>
      </c>
      <c r="F1002" s="8634" t="s">
        <v>2721</v>
      </c>
      <c r="G1002" s="8634" t="s">
        <v>24</v>
      </c>
      <c r="H1002" s="8634" t="s">
        <v>2187</v>
      </c>
      <c r="I1002" s="8634" t="s">
        <v>722</v>
      </c>
    </row>
    <row customHeight="1" ht="11.25">
      <c r="A1003" s="8634" t="s">
        <v>2182</v>
      </c>
      <c r="B1003" s="8634" t="s">
        <v>14</v>
      </c>
      <c r="C1003" s="8634" t="s">
        <v>5801</v>
      </c>
      <c r="D1003" s="8634" t="s">
        <v>5802</v>
      </c>
      <c r="E1003" s="8634" t="s">
        <v>5803</v>
      </c>
      <c r="F1003" s="8634" t="s">
        <v>5804</v>
      </c>
      <c r="G1003" s="8634" t="s">
        <v>24</v>
      </c>
      <c r="H1003" s="8634" t="s">
        <v>24</v>
      </c>
      <c r="I1003" s="8634" t="s">
        <v>722</v>
      </c>
    </row>
    <row customHeight="1" ht="11.25">
      <c r="A1004" s="8634" t="s">
        <v>2182</v>
      </c>
      <c r="B1004" s="8634" t="s">
        <v>14</v>
      </c>
      <c r="C1004" s="8634" t="s">
        <v>5805</v>
      </c>
      <c r="D1004" s="8634" t="s">
        <v>5806</v>
      </c>
      <c r="E1004" s="8634" t="s">
        <v>3039</v>
      </c>
      <c r="F1004" s="8634" t="s">
        <v>5807</v>
      </c>
      <c r="G1004" s="8634" t="s">
        <v>24</v>
      </c>
      <c r="H1004" s="8634" t="s">
        <v>24</v>
      </c>
      <c r="I1004" s="8634" t="s">
        <v>722</v>
      </c>
    </row>
    <row customHeight="1" ht="11.25">
      <c r="A1005" s="8634" t="s">
        <v>2182</v>
      </c>
      <c r="B1005" s="8634" t="s">
        <v>14</v>
      </c>
      <c r="C1005" s="8634" t="s">
        <v>5808</v>
      </c>
      <c r="D1005" s="8634" t="s">
        <v>5809</v>
      </c>
      <c r="E1005" s="8634" t="s">
        <v>5810</v>
      </c>
      <c r="F1005" s="8634" t="s">
        <v>2186</v>
      </c>
      <c r="G1005" s="8634" t="s">
        <v>24</v>
      </c>
      <c r="H1005" s="8634" t="s">
        <v>2187</v>
      </c>
      <c r="I1005" s="8634" t="s">
        <v>722</v>
      </c>
    </row>
    <row customHeight="1" ht="11.25">
      <c r="A1006" s="8634" t="s">
        <v>2182</v>
      </c>
      <c r="B1006" s="8634" t="s">
        <v>14</v>
      </c>
      <c r="C1006" s="8634" t="s">
        <v>5811</v>
      </c>
      <c r="D1006" s="8634" t="s">
        <v>5812</v>
      </c>
      <c r="E1006" s="8634" t="s">
        <v>5813</v>
      </c>
      <c r="F1006" s="8634" t="s">
        <v>5235</v>
      </c>
      <c r="G1006" s="8634" t="s">
        <v>5814</v>
      </c>
      <c r="H1006" s="8634" t="s">
        <v>24</v>
      </c>
      <c r="I1006" s="8634" t="s">
        <v>722</v>
      </c>
    </row>
    <row customHeight="1" ht="11.25">
      <c r="A1007" s="8634" t="s">
        <v>2182</v>
      </c>
      <c r="B1007" s="8634" t="s">
        <v>14</v>
      </c>
      <c r="C1007" s="8634" t="s">
        <v>5815</v>
      </c>
      <c r="D1007" s="8634" t="s">
        <v>5816</v>
      </c>
      <c r="E1007" s="8634" t="s">
        <v>5817</v>
      </c>
      <c r="F1007" s="8634" t="s">
        <v>5818</v>
      </c>
      <c r="G1007" s="8634" t="s">
        <v>24</v>
      </c>
      <c r="H1007" s="8634" t="s">
        <v>24</v>
      </c>
      <c r="I1007" s="8634" t="s">
        <v>722</v>
      </c>
    </row>
    <row customHeight="1" ht="11.25">
      <c r="A1008" s="8634" t="s">
        <v>2182</v>
      </c>
      <c r="B1008" s="8634" t="s">
        <v>14</v>
      </c>
      <c r="C1008" s="8634" t="s">
        <v>5819</v>
      </c>
      <c r="D1008" s="8634" t="s">
        <v>5820</v>
      </c>
      <c r="E1008" s="8634" t="s">
        <v>5821</v>
      </c>
      <c r="F1008" s="8634" t="s">
        <v>5284</v>
      </c>
      <c r="G1008" s="8634" t="s">
        <v>24</v>
      </c>
      <c r="H1008" s="8634" t="s">
        <v>24</v>
      </c>
      <c r="I1008" s="8634" t="s">
        <v>722</v>
      </c>
    </row>
    <row customHeight="1" ht="11.25">
      <c r="A1009" s="8634" t="s">
        <v>2182</v>
      </c>
      <c r="B1009" s="8634" t="s">
        <v>14</v>
      </c>
      <c r="C1009" s="8634" t="s">
        <v>5822</v>
      </c>
      <c r="D1009" s="8634" t="s">
        <v>5823</v>
      </c>
      <c r="E1009" s="8634" t="s">
        <v>5817</v>
      </c>
      <c r="F1009" s="8634" t="s">
        <v>2191</v>
      </c>
      <c r="G1009" s="8634" t="s">
        <v>24</v>
      </c>
      <c r="H1009" s="8634" t="s">
        <v>2187</v>
      </c>
      <c r="I1009" s="8634" t="s">
        <v>722</v>
      </c>
    </row>
    <row customHeight="1" ht="11.25">
      <c r="A1010" s="8634" t="s">
        <v>2182</v>
      </c>
      <c r="B1010" s="8634" t="s">
        <v>14</v>
      </c>
      <c r="C1010" s="8634" t="s">
        <v>5824</v>
      </c>
      <c r="D1010" s="8634" t="s">
        <v>5825</v>
      </c>
      <c r="E1010" s="8634" t="s">
        <v>5826</v>
      </c>
      <c r="F1010" s="8634" t="s">
        <v>5827</v>
      </c>
      <c r="G1010" s="8634" t="s">
        <v>24</v>
      </c>
      <c r="H1010" s="8634" t="s">
        <v>5828</v>
      </c>
      <c r="I1010" s="8634" t="s">
        <v>722</v>
      </c>
    </row>
    <row customHeight="1" ht="11.25">
      <c r="A1011" s="8634" t="s">
        <v>2182</v>
      </c>
      <c r="B1011" s="8634" t="s">
        <v>14</v>
      </c>
      <c r="C1011" s="8634" t="s">
        <v>5829</v>
      </c>
      <c r="D1011" s="8634" t="s">
        <v>5830</v>
      </c>
      <c r="E1011" s="8634" t="s">
        <v>5831</v>
      </c>
      <c r="F1011" s="8634" t="s">
        <v>2567</v>
      </c>
      <c r="G1011" s="8634" t="s">
        <v>24</v>
      </c>
      <c r="H1011" s="8634" t="s">
        <v>2187</v>
      </c>
      <c r="I1011" s="8634" t="s">
        <v>722</v>
      </c>
    </row>
    <row customHeight="1" ht="11.25">
      <c r="A1012" s="8634" t="s">
        <v>2182</v>
      </c>
      <c r="B1012" s="8634" t="s">
        <v>14</v>
      </c>
      <c r="C1012" s="8634" t="s">
        <v>5832</v>
      </c>
      <c r="D1012" s="8634" t="s">
        <v>5833</v>
      </c>
      <c r="E1012" s="8634" t="s">
        <v>2746</v>
      </c>
      <c r="F1012" s="8634" t="s">
        <v>5834</v>
      </c>
      <c r="G1012" s="8634" t="s">
        <v>24</v>
      </c>
      <c r="H1012" s="8634" t="s">
        <v>2187</v>
      </c>
      <c r="I1012" s="8634" t="s">
        <v>722</v>
      </c>
    </row>
    <row customHeight="1" ht="11.25">
      <c r="A1013" s="8634" t="s">
        <v>2182</v>
      </c>
      <c r="B1013" s="8634" t="s">
        <v>14</v>
      </c>
      <c r="C1013" s="8634" t="s">
        <v>5835</v>
      </c>
      <c r="D1013" s="8634" t="s">
        <v>5836</v>
      </c>
      <c r="E1013" s="8634" t="s">
        <v>2194</v>
      </c>
      <c r="F1013" s="8634" t="s">
        <v>2411</v>
      </c>
      <c r="G1013" s="8634" t="s">
        <v>24</v>
      </c>
      <c r="H1013" s="8634" t="s">
        <v>2187</v>
      </c>
      <c r="I1013" s="8634" t="s">
        <v>722</v>
      </c>
    </row>
    <row customHeight="1" ht="11.25">
      <c r="A1014" s="8634" t="s">
        <v>2182</v>
      </c>
      <c r="B1014" s="8634" t="s">
        <v>14</v>
      </c>
      <c r="C1014" s="8634" t="s">
        <v>5837</v>
      </c>
      <c r="D1014" s="8634" t="s">
        <v>5838</v>
      </c>
      <c r="E1014" s="8634" t="s">
        <v>5839</v>
      </c>
      <c r="F1014" s="8634" t="s">
        <v>2600</v>
      </c>
      <c r="G1014" s="8634" t="s">
        <v>24</v>
      </c>
      <c r="H1014" s="8634" t="s">
        <v>24</v>
      </c>
      <c r="I1014" s="8634" t="s">
        <v>722</v>
      </c>
    </row>
    <row customHeight="1" ht="11.25">
      <c r="A1015" s="8634" t="s">
        <v>2182</v>
      </c>
      <c r="B1015" s="8634" t="s">
        <v>14</v>
      </c>
      <c r="C1015" s="8634" t="s">
        <v>5840</v>
      </c>
      <c r="D1015" s="8634" t="s">
        <v>5841</v>
      </c>
      <c r="E1015" s="8634" t="s">
        <v>5842</v>
      </c>
      <c r="F1015" s="8634" t="s">
        <v>2389</v>
      </c>
      <c r="G1015" s="8634" t="s">
        <v>24</v>
      </c>
      <c r="H1015" s="8634" t="s">
        <v>2187</v>
      </c>
      <c r="I1015" s="8634" t="s">
        <v>722</v>
      </c>
    </row>
    <row customHeight="1" ht="11.25">
      <c r="A1016" s="8634" t="s">
        <v>2182</v>
      </c>
      <c r="B1016" s="8634" t="s">
        <v>14</v>
      </c>
      <c r="C1016" s="8634" t="s">
        <v>5843</v>
      </c>
      <c r="D1016" s="8634" t="s">
        <v>5844</v>
      </c>
      <c r="E1016" s="8634" t="s">
        <v>5845</v>
      </c>
      <c r="F1016" s="8634" t="s">
        <v>2233</v>
      </c>
      <c r="G1016" s="8634" t="s">
        <v>5846</v>
      </c>
      <c r="H1016" s="8634" t="s">
        <v>24</v>
      </c>
      <c r="I1016" s="8634" t="s">
        <v>722</v>
      </c>
    </row>
    <row customHeight="1" ht="11.25">
      <c r="A1017" s="8634" t="s">
        <v>2182</v>
      </c>
      <c r="B1017" s="8634" t="s">
        <v>14</v>
      </c>
      <c r="C1017" s="8634" t="s">
        <v>5847</v>
      </c>
      <c r="D1017" s="8634" t="s">
        <v>5848</v>
      </c>
      <c r="E1017" s="8634" t="s">
        <v>3403</v>
      </c>
      <c r="F1017" s="8634" t="s">
        <v>2186</v>
      </c>
      <c r="G1017" s="8634" t="s">
        <v>24</v>
      </c>
      <c r="H1017" s="8634" t="s">
        <v>2187</v>
      </c>
      <c r="I1017" s="8634" t="s">
        <v>722</v>
      </c>
    </row>
    <row customHeight="1" ht="11.25">
      <c r="A1018" s="8634" t="s">
        <v>2182</v>
      </c>
      <c r="B1018" s="8634" t="s">
        <v>14</v>
      </c>
      <c r="C1018" s="8634" t="s">
        <v>5849</v>
      </c>
      <c r="D1018" s="8634" t="s">
        <v>5850</v>
      </c>
      <c r="E1018" s="8634" t="s">
        <v>5851</v>
      </c>
      <c r="F1018" s="8634" t="s">
        <v>2721</v>
      </c>
      <c r="G1018" s="8634" t="s">
        <v>24</v>
      </c>
      <c r="H1018" s="8634" t="s">
        <v>5852</v>
      </c>
      <c r="I1018" s="8634" t="s">
        <v>722</v>
      </c>
    </row>
    <row customHeight="1" ht="11.25">
      <c r="A1019" s="8634" t="s">
        <v>2182</v>
      </c>
      <c r="B1019" s="8634" t="s">
        <v>14</v>
      </c>
      <c r="C1019" s="8634" t="s">
        <v>5853</v>
      </c>
      <c r="D1019" s="8634" t="s">
        <v>5854</v>
      </c>
      <c r="E1019" s="8634" t="s">
        <v>5855</v>
      </c>
      <c r="F1019" s="8634" t="s">
        <v>5856</v>
      </c>
      <c r="G1019" s="8634" t="s">
        <v>24</v>
      </c>
      <c r="H1019" s="8634" t="s">
        <v>24</v>
      </c>
      <c r="I1019" s="8634" t="s">
        <v>722</v>
      </c>
    </row>
    <row customHeight="1" ht="11.25">
      <c r="A1020" s="8634" t="s">
        <v>2182</v>
      </c>
      <c r="B1020" s="8634" t="s">
        <v>14</v>
      </c>
      <c r="C1020" s="8634" t="s">
        <v>5857</v>
      </c>
      <c r="D1020" s="8634" t="s">
        <v>5858</v>
      </c>
      <c r="E1020" s="8634" t="s">
        <v>5859</v>
      </c>
      <c r="F1020" s="8634" t="s">
        <v>5860</v>
      </c>
      <c r="G1020" s="8634" t="s">
        <v>24</v>
      </c>
      <c r="H1020" s="8634" t="s">
        <v>2187</v>
      </c>
      <c r="I1020" s="8634" t="s">
        <v>722</v>
      </c>
    </row>
    <row customHeight="1" ht="11.25">
      <c r="A1021" s="8634" t="s">
        <v>2182</v>
      </c>
      <c r="B1021" s="8634" t="s">
        <v>14</v>
      </c>
      <c r="C1021" s="8634" t="s">
        <v>5861</v>
      </c>
      <c r="D1021" s="8634" t="s">
        <v>5862</v>
      </c>
      <c r="E1021" s="8634" t="s">
        <v>3610</v>
      </c>
      <c r="F1021" s="8634" t="s">
        <v>5863</v>
      </c>
      <c r="G1021" s="8634" t="s">
        <v>24</v>
      </c>
      <c r="H1021" s="8634" t="s">
        <v>2187</v>
      </c>
      <c r="I1021" s="8634" t="s">
        <v>722</v>
      </c>
    </row>
    <row customHeight="1" ht="11.25">
      <c r="A1022" s="8634" t="s">
        <v>2182</v>
      </c>
      <c r="B1022" s="8634" t="s">
        <v>14</v>
      </c>
      <c r="C1022" s="8634" t="s">
        <v>5864</v>
      </c>
      <c r="D1022" s="8634" t="s">
        <v>5865</v>
      </c>
      <c r="E1022" s="8634" t="s">
        <v>5866</v>
      </c>
      <c r="F1022" s="8634" t="s">
        <v>3248</v>
      </c>
      <c r="G1022" s="8634" t="s">
        <v>24</v>
      </c>
      <c r="H1022" s="8634" t="s">
        <v>2187</v>
      </c>
      <c r="I1022" s="8634" t="s">
        <v>722</v>
      </c>
    </row>
    <row customHeight="1" ht="11.25">
      <c r="A1023" s="8634" t="s">
        <v>2182</v>
      </c>
      <c r="B1023" s="8634" t="s">
        <v>14</v>
      </c>
      <c r="C1023" s="8634" t="s">
        <v>5867</v>
      </c>
      <c r="D1023" s="8634" t="s">
        <v>5868</v>
      </c>
      <c r="E1023" s="8634" t="s">
        <v>5869</v>
      </c>
      <c r="F1023" s="8634" t="s">
        <v>5870</v>
      </c>
      <c r="G1023" s="8634" t="s">
        <v>5871</v>
      </c>
      <c r="H1023" s="8634" t="s">
        <v>24</v>
      </c>
      <c r="I1023" s="8634" t="s">
        <v>722</v>
      </c>
    </row>
    <row customHeight="1" ht="11.25">
      <c r="A1024" s="8634" t="s">
        <v>2182</v>
      </c>
      <c r="B1024" s="8634" t="s">
        <v>14</v>
      </c>
      <c r="C1024" s="8634" t="s">
        <v>5872</v>
      </c>
      <c r="D1024" s="8634" t="s">
        <v>5873</v>
      </c>
      <c r="E1024" s="8634" t="s">
        <v>5874</v>
      </c>
      <c r="F1024" s="8634" t="s">
        <v>2394</v>
      </c>
      <c r="G1024" s="8634" t="s">
        <v>24</v>
      </c>
      <c r="H1024" s="8634" t="s">
        <v>5875</v>
      </c>
      <c r="I1024" s="8634" t="s">
        <v>722</v>
      </c>
    </row>
    <row customHeight="1" ht="11.25">
      <c r="A1025" s="8634" t="s">
        <v>2182</v>
      </c>
      <c r="B1025" s="8634" t="s">
        <v>14</v>
      </c>
      <c r="C1025" s="8634" t="s">
        <v>5876</v>
      </c>
      <c r="D1025" s="8634" t="s">
        <v>5877</v>
      </c>
      <c r="E1025" s="8634" t="s">
        <v>5878</v>
      </c>
      <c r="F1025" s="8634" t="s">
        <v>2213</v>
      </c>
      <c r="G1025" s="8634" t="s">
        <v>5879</v>
      </c>
      <c r="H1025" s="8634" t="s">
        <v>24</v>
      </c>
      <c r="I1025" s="8634" t="s">
        <v>722</v>
      </c>
    </row>
    <row customHeight="1" ht="11.25">
      <c r="A1026" s="8634" t="s">
        <v>2182</v>
      </c>
      <c r="B1026" s="8634" t="s">
        <v>14</v>
      </c>
      <c r="C1026" s="8634" t="s">
        <v>5880</v>
      </c>
      <c r="D1026" s="8634" t="s">
        <v>5881</v>
      </c>
      <c r="E1026" s="8634" t="s">
        <v>5882</v>
      </c>
      <c r="F1026" s="8634" t="s">
        <v>2269</v>
      </c>
      <c r="G1026" s="8634" t="s">
        <v>24</v>
      </c>
      <c r="H1026" s="8634" t="s">
        <v>5883</v>
      </c>
      <c r="I1026" s="8634" t="s">
        <v>722</v>
      </c>
    </row>
    <row customHeight="1" ht="11.25">
      <c r="A1027" s="8634" t="s">
        <v>2182</v>
      </c>
      <c r="B1027" s="8634" t="s">
        <v>14</v>
      </c>
      <c r="C1027" s="8634" t="s">
        <v>5884</v>
      </c>
      <c r="D1027" s="8634" t="s">
        <v>5885</v>
      </c>
      <c r="E1027" s="8634" t="s">
        <v>5882</v>
      </c>
      <c r="F1027" s="8634" t="s">
        <v>2269</v>
      </c>
      <c r="G1027" s="8634" t="s">
        <v>24</v>
      </c>
      <c r="H1027" s="8634" t="s">
        <v>2993</v>
      </c>
      <c r="I1027" s="8634" t="s">
        <v>722</v>
      </c>
    </row>
    <row customHeight="1" ht="11.25">
      <c r="A1028" s="8634" t="s">
        <v>2182</v>
      </c>
      <c r="B1028" s="8634" t="s">
        <v>14</v>
      </c>
      <c r="C1028" s="8634" t="s">
        <v>5886</v>
      </c>
      <c r="D1028" s="8634" t="s">
        <v>5885</v>
      </c>
      <c r="E1028" s="8634" t="s">
        <v>5882</v>
      </c>
      <c r="F1028" s="8634" t="s">
        <v>4150</v>
      </c>
      <c r="G1028" s="8634" t="s">
        <v>24</v>
      </c>
      <c r="H1028" s="8634" t="s">
        <v>24</v>
      </c>
      <c r="I1028" s="8634" t="s">
        <v>722</v>
      </c>
    </row>
    <row customHeight="1" ht="11.25">
      <c r="A1029" s="8634" t="s">
        <v>2182</v>
      </c>
      <c r="B1029" s="8634" t="s">
        <v>14</v>
      </c>
      <c r="C1029" s="8634" t="s">
        <v>5887</v>
      </c>
      <c r="D1029" s="8634" t="s">
        <v>5888</v>
      </c>
      <c r="E1029" s="8634" t="s">
        <v>5889</v>
      </c>
      <c r="F1029" s="8634" t="s">
        <v>2322</v>
      </c>
      <c r="G1029" s="8634" t="s">
        <v>24</v>
      </c>
      <c r="H1029" s="8634" t="s">
        <v>24</v>
      </c>
      <c r="I1029" s="8634" t="s">
        <v>722</v>
      </c>
    </row>
    <row customHeight="1" ht="11.25">
      <c r="A1030" s="8634" t="s">
        <v>2182</v>
      </c>
      <c r="B1030" s="8634" t="s">
        <v>14</v>
      </c>
      <c r="C1030" s="8634" t="s">
        <v>5890</v>
      </c>
      <c r="D1030" s="8634" t="s">
        <v>5891</v>
      </c>
      <c r="E1030" s="8634" t="s">
        <v>5892</v>
      </c>
      <c r="F1030" s="8634" t="s">
        <v>2742</v>
      </c>
      <c r="G1030" s="8634" t="s">
        <v>5893</v>
      </c>
      <c r="H1030" s="8634" t="s">
        <v>24</v>
      </c>
      <c r="I1030" s="8634" t="s">
        <v>722</v>
      </c>
    </row>
    <row customHeight="1" ht="11.25">
      <c r="A1031" s="8634" t="s">
        <v>2182</v>
      </c>
      <c r="B1031" s="8634" t="s">
        <v>14</v>
      </c>
      <c r="C1031" s="8634" t="s">
        <v>5894</v>
      </c>
      <c r="D1031" s="8634" t="s">
        <v>5895</v>
      </c>
      <c r="E1031" s="8634" t="s">
        <v>5896</v>
      </c>
      <c r="F1031" s="8634" t="s">
        <v>2339</v>
      </c>
      <c r="G1031" s="8634" t="s">
        <v>24</v>
      </c>
      <c r="H1031" s="8634" t="s">
        <v>24</v>
      </c>
      <c r="I1031" s="8634" t="s">
        <v>722</v>
      </c>
    </row>
    <row customHeight="1" ht="11.25">
      <c r="A1032" s="8634" t="s">
        <v>2182</v>
      </c>
      <c r="B1032" s="8634" t="s">
        <v>14</v>
      </c>
      <c r="C1032" s="8634" t="s">
        <v>5897</v>
      </c>
      <c r="D1032" s="8634" t="s">
        <v>5898</v>
      </c>
      <c r="E1032" s="8634" t="s">
        <v>5899</v>
      </c>
      <c r="F1032" s="8634" t="s">
        <v>3508</v>
      </c>
      <c r="G1032" s="8634" t="s">
        <v>24</v>
      </c>
      <c r="H1032" s="8634" t="s">
        <v>24</v>
      </c>
      <c r="I1032" s="8634" t="s">
        <v>722</v>
      </c>
    </row>
    <row customHeight="1" ht="11.25">
      <c r="A1033" s="8634" t="s">
        <v>2182</v>
      </c>
      <c r="B1033" s="8634" t="s">
        <v>14</v>
      </c>
      <c r="C1033" s="8634" t="s">
        <v>5900</v>
      </c>
      <c r="D1033" s="8634" t="s">
        <v>5901</v>
      </c>
      <c r="E1033" s="8634" t="s">
        <v>5902</v>
      </c>
      <c r="F1033" s="8634" t="s">
        <v>2213</v>
      </c>
      <c r="G1033" s="8634" t="s">
        <v>24</v>
      </c>
      <c r="H1033" s="8634" t="s">
        <v>24</v>
      </c>
      <c r="I1033" s="8634" t="s">
        <v>722</v>
      </c>
    </row>
    <row customHeight="1" ht="11.25">
      <c r="A1034" s="8634" t="s">
        <v>2182</v>
      </c>
      <c r="B1034" s="8634" t="s">
        <v>14</v>
      </c>
      <c r="C1034" s="8634" t="s">
        <v>5903</v>
      </c>
      <c r="D1034" s="8634" t="s">
        <v>5904</v>
      </c>
      <c r="E1034" s="8634" t="s">
        <v>5905</v>
      </c>
      <c r="F1034" s="8634" t="s">
        <v>2460</v>
      </c>
      <c r="G1034" s="8634" t="s">
        <v>24</v>
      </c>
      <c r="H1034" s="8634" t="s">
        <v>24</v>
      </c>
      <c r="I1034" s="8634" t="s">
        <v>722</v>
      </c>
    </row>
    <row customHeight="1" ht="11.25">
      <c r="A1035" s="8634" t="s">
        <v>2182</v>
      </c>
      <c r="B1035" s="8634" t="s">
        <v>14</v>
      </c>
      <c r="C1035" s="8634" t="s">
        <v>5906</v>
      </c>
      <c r="D1035" s="8634" t="s">
        <v>5907</v>
      </c>
      <c r="E1035" s="8634" t="s">
        <v>5908</v>
      </c>
      <c r="F1035" s="8634" t="s">
        <v>2344</v>
      </c>
      <c r="G1035" s="8634" t="s">
        <v>24</v>
      </c>
      <c r="H1035" s="8634" t="s">
        <v>24</v>
      </c>
      <c r="I1035" s="8634" t="s">
        <v>722</v>
      </c>
    </row>
    <row customHeight="1" ht="11.25">
      <c r="A1036" s="8634" t="s">
        <v>2182</v>
      </c>
      <c r="B1036" s="8634" t="s">
        <v>14</v>
      </c>
      <c r="C1036" s="8634" t="s">
        <v>5909</v>
      </c>
      <c r="D1036" s="8634" t="s">
        <v>5910</v>
      </c>
      <c r="E1036" s="8634" t="s">
        <v>5911</v>
      </c>
      <c r="F1036" s="8634" t="s">
        <v>2322</v>
      </c>
      <c r="G1036" s="8634" t="s">
        <v>24</v>
      </c>
      <c r="H1036" s="8634" t="s">
        <v>24</v>
      </c>
      <c r="I1036" s="8634" t="s">
        <v>722</v>
      </c>
    </row>
    <row customHeight="1" ht="11.25">
      <c r="A1037" s="8634" t="s">
        <v>2182</v>
      </c>
      <c r="B1037" s="8634" t="s">
        <v>14</v>
      </c>
      <c r="C1037" s="8634" t="s">
        <v>5912</v>
      </c>
      <c r="D1037" s="8634" t="s">
        <v>5913</v>
      </c>
      <c r="E1037" s="8634" t="s">
        <v>5914</v>
      </c>
      <c r="F1037" s="8634" t="s">
        <v>5915</v>
      </c>
      <c r="G1037" s="8634" t="s">
        <v>24</v>
      </c>
      <c r="H1037" s="8634" t="s">
        <v>24</v>
      </c>
      <c r="I1037" s="8634" t="s">
        <v>722</v>
      </c>
    </row>
    <row customHeight="1" ht="11.25">
      <c r="A1038" s="8634" t="s">
        <v>2182</v>
      </c>
      <c r="B1038" s="8634" t="s">
        <v>14</v>
      </c>
      <c r="C1038" s="8634" t="s">
        <v>5916</v>
      </c>
      <c r="D1038" s="8634" t="s">
        <v>5913</v>
      </c>
      <c r="E1038" s="8634" t="s">
        <v>5914</v>
      </c>
      <c r="F1038" s="8634" t="s">
        <v>2314</v>
      </c>
      <c r="G1038" s="8634" t="s">
        <v>24</v>
      </c>
      <c r="H1038" s="8634" t="s">
        <v>24</v>
      </c>
      <c r="I1038" s="8634" t="s">
        <v>722</v>
      </c>
    </row>
    <row customHeight="1" ht="11.25">
      <c r="A1039" s="8634" t="s">
        <v>2182</v>
      </c>
      <c r="B1039" s="8634" t="s">
        <v>14</v>
      </c>
      <c r="C1039" s="8634" t="s">
        <v>5917</v>
      </c>
      <c r="D1039" s="8634" t="s">
        <v>5918</v>
      </c>
      <c r="E1039" s="8634" t="s">
        <v>5919</v>
      </c>
      <c r="F1039" s="8634" t="s">
        <v>2318</v>
      </c>
      <c r="G1039" s="8634" t="s">
        <v>5920</v>
      </c>
      <c r="H1039" s="8634" t="s">
        <v>24</v>
      </c>
      <c r="I1039" s="8634" t="s">
        <v>722</v>
      </c>
    </row>
    <row customHeight="1" ht="11.25">
      <c r="A1040" s="8634" t="s">
        <v>2182</v>
      </c>
      <c r="B1040" s="8634" t="s">
        <v>14</v>
      </c>
      <c r="C1040" s="8634" t="s">
        <v>5921</v>
      </c>
      <c r="D1040" s="8634" t="s">
        <v>5922</v>
      </c>
      <c r="E1040" s="8634" t="s">
        <v>5923</v>
      </c>
      <c r="F1040" s="8634" t="s">
        <v>2334</v>
      </c>
      <c r="G1040" s="8634" t="s">
        <v>24</v>
      </c>
      <c r="H1040" s="8634" t="s">
        <v>24</v>
      </c>
      <c r="I1040" s="8634" t="s">
        <v>722</v>
      </c>
    </row>
    <row customHeight="1" ht="11.25">
      <c r="A1041" s="8634" t="s">
        <v>2182</v>
      </c>
      <c r="B1041" s="8634" t="s">
        <v>14</v>
      </c>
      <c r="C1041" s="8634" t="s">
        <v>5924</v>
      </c>
      <c r="D1041" s="8634" t="s">
        <v>5925</v>
      </c>
      <c r="E1041" s="8634" t="s">
        <v>5926</v>
      </c>
      <c r="F1041" s="8634" t="s">
        <v>2344</v>
      </c>
      <c r="G1041" s="8634" t="s">
        <v>5927</v>
      </c>
      <c r="H1041" s="8634" t="s">
        <v>24</v>
      </c>
      <c r="I1041" s="8634" t="s">
        <v>722</v>
      </c>
    </row>
    <row customHeight="1" ht="11.25">
      <c r="A1042" s="8634" t="s">
        <v>2182</v>
      </c>
      <c r="B1042" s="8634" t="s">
        <v>14</v>
      </c>
      <c r="C1042" s="8634" t="s">
        <v>5928</v>
      </c>
      <c r="D1042" s="8634" t="s">
        <v>5929</v>
      </c>
      <c r="E1042" s="8634" t="s">
        <v>5930</v>
      </c>
      <c r="F1042" s="8634" t="s">
        <v>2186</v>
      </c>
      <c r="G1042" s="8634" t="s">
        <v>5931</v>
      </c>
      <c r="H1042" s="8634" t="s">
        <v>24</v>
      </c>
      <c r="I1042" s="8634" t="s">
        <v>722</v>
      </c>
    </row>
    <row customHeight="1" ht="11.25">
      <c r="A1043" s="8634" t="s">
        <v>2182</v>
      </c>
      <c r="B1043" s="8634" t="s">
        <v>14</v>
      </c>
      <c r="C1043" s="8634" t="s">
        <v>5932</v>
      </c>
      <c r="D1043" s="8634" t="s">
        <v>5933</v>
      </c>
      <c r="E1043" s="8634" t="s">
        <v>5934</v>
      </c>
      <c r="F1043" s="8634" t="s">
        <v>2600</v>
      </c>
      <c r="G1043" s="8634" t="s">
        <v>24</v>
      </c>
      <c r="H1043" s="8634" t="s">
        <v>24</v>
      </c>
      <c r="I1043" s="8634" t="s">
        <v>722</v>
      </c>
    </row>
    <row customHeight="1" ht="11.25">
      <c r="A1044" s="8634" t="s">
        <v>2182</v>
      </c>
      <c r="B1044" s="8634" t="s">
        <v>14</v>
      </c>
      <c r="C1044" s="8634" t="s">
        <v>5935</v>
      </c>
      <c r="D1044" s="8634" t="s">
        <v>5936</v>
      </c>
      <c r="E1044" s="8634" t="s">
        <v>5937</v>
      </c>
      <c r="F1044" s="8634" t="s">
        <v>2322</v>
      </c>
      <c r="G1044" s="8634" t="s">
        <v>5938</v>
      </c>
      <c r="H1044" s="8634" t="s">
        <v>24</v>
      </c>
      <c r="I1044" s="8634" t="s">
        <v>722</v>
      </c>
    </row>
    <row customHeight="1" ht="11.25">
      <c r="A1045" s="8634" t="s">
        <v>2182</v>
      </c>
      <c r="B1045" s="8634" t="s">
        <v>14</v>
      </c>
      <c r="C1045" s="8634" t="s">
        <v>5939</v>
      </c>
      <c r="D1045" s="8634" t="s">
        <v>5940</v>
      </c>
      <c r="E1045" s="8634" t="s">
        <v>5941</v>
      </c>
      <c r="F1045" s="8634" t="s">
        <v>2245</v>
      </c>
      <c r="G1045" s="8634" t="s">
        <v>24</v>
      </c>
      <c r="H1045" s="8634" t="s">
        <v>5942</v>
      </c>
      <c r="I1045" s="8634" t="s">
        <v>722</v>
      </c>
    </row>
    <row customHeight="1" ht="11.25">
      <c r="A1046" s="8634" t="s">
        <v>2182</v>
      </c>
      <c r="B1046" s="8634" t="s">
        <v>14</v>
      </c>
      <c r="C1046" s="8634" t="s">
        <v>5943</v>
      </c>
      <c r="D1046" s="8634" t="s">
        <v>5940</v>
      </c>
      <c r="E1046" s="8634" t="s">
        <v>5941</v>
      </c>
      <c r="F1046" s="8634" t="s">
        <v>2245</v>
      </c>
      <c r="G1046" s="8634" t="s">
        <v>5944</v>
      </c>
      <c r="H1046" s="8634" t="s">
        <v>24</v>
      </c>
      <c r="I1046" s="8634" t="s">
        <v>722</v>
      </c>
    </row>
    <row customHeight="1" ht="11.25">
      <c r="A1047" s="8634" t="s">
        <v>2182</v>
      </c>
      <c r="B1047" s="8634" t="s">
        <v>14</v>
      </c>
      <c r="C1047" s="8634" t="s">
        <v>5945</v>
      </c>
      <c r="D1047" s="8634" t="s">
        <v>5946</v>
      </c>
      <c r="E1047" s="8634" t="s">
        <v>5947</v>
      </c>
      <c r="F1047" s="8634" t="s">
        <v>2269</v>
      </c>
      <c r="G1047" s="8634" t="s">
        <v>24</v>
      </c>
      <c r="H1047" s="8634" t="s">
        <v>24</v>
      </c>
      <c r="I1047" s="8634" t="s">
        <v>722</v>
      </c>
    </row>
    <row customHeight="1" ht="11.25">
      <c r="A1048" s="8634" t="s">
        <v>2182</v>
      </c>
      <c r="B1048" s="8634" t="s">
        <v>14</v>
      </c>
      <c r="C1048" s="8634" t="s">
        <v>5948</v>
      </c>
      <c r="D1048" s="8634" t="s">
        <v>5949</v>
      </c>
      <c r="E1048" s="8634" t="s">
        <v>5950</v>
      </c>
      <c r="F1048" s="8634" t="s">
        <v>3295</v>
      </c>
      <c r="G1048" s="8634" t="s">
        <v>24</v>
      </c>
      <c r="H1048" s="8634" t="s">
        <v>24</v>
      </c>
      <c r="I1048" s="8634" t="s">
        <v>722</v>
      </c>
    </row>
    <row customHeight="1" ht="11.25">
      <c r="A1049" s="8634" t="s">
        <v>2182</v>
      </c>
      <c r="B1049" s="8634" t="s">
        <v>14</v>
      </c>
      <c r="C1049" s="8634" t="s">
        <v>5951</v>
      </c>
      <c r="D1049" s="8634" t="s">
        <v>5952</v>
      </c>
      <c r="E1049" s="8634" t="s">
        <v>5953</v>
      </c>
      <c r="F1049" s="8634" t="s">
        <v>5954</v>
      </c>
      <c r="G1049" s="8634" t="s">
        <v>5955</v>
      </c>
      <c r="H1049" s="8634" t="s">
        <v>24</v>
      </c>
      <c r="I1049" s="8634" t="s">
        <v>722</v>
      </c>
    </row>
    <row customHeight="1" ht="11.25">
      <c r="A1050" s="8634" t="s">
        <v>2182</v>
      </c>
      <c r="B1050" s="8634" t="s">
        <v>14</v>
      </c>
      <c r="C1050" s="8634" t="s">
        <v>5956</v>
      </c>
      <c r="D1050" s="8634" t="s">
        <v>5957</v>
      </c>
      <c r="E1050" s="8634" t="s">
        <v>5958</v>
      </c>
      <c r="F1050" s="8634" t="s">
        <v>2688</v>
      </c>
      <c r="G1050" s="8634" t="s">
        <v>5959</v>
      </c>
      <c r="H1050" s="8634" t="s">
        <v>24</v>
      </c>
      <c r="I1050" s="8634" t="s">
        <v>722</v>
      </c>
    </row>
    <row customHeight="1" ht="11.25">
      <c r="A1051" s="8634" t="s">
        <v>2182</v>
      </c>
      <c r="B1051" s="8634" t="s">
        <v>14</v>
      </c>
      <c r="C1051" s="8634" t="s">
        <v>5960</v>
      </c>
      <c r="D1051" s="8634" t="s">
        <v>5961</v>
      </c>
      <c r="E1051" s="8634" t="s">
        <v>5962</v>
      </c>
      <c r="F1051" s="8634" t="s">
        <v>2344</v>
      </c>
      <c r="G1051" s="8634" t="s">
        <v>24</v>
      </c>
      <c r="H1051" s="8634" t="s">
        <v>24</v>
      </c>
      <c r="I1051" s="8634" t="s">
        <v>722</v>
      </c>
    </row>
    <row customHeight="1" ht="11.25">
      <c r="A1052" s="8634" t="s">
        <v>2182</v>
      </c>
      <c r="B1052" s="8634" t="s">
        <v>14</v>
      </c>
      <c r="C1052" s="8634" t="s">
        <v>5963</v>
      </c>
      <c r="D1052" s="8634" t="s">
        <v>5964</v>
      </c>
      <c r="E1052" s="8634" t="s">
        <v>5965</v>
      </c>
      <c r="F1052" s="8634" t="s">
        <v>2233</v>
      </c>
      <c r="G1052" s="8634" t="s">
        <v>24</v>
      </c>
      <c r="H1052" s="8634" t="s">
        <v>24</v>
      </c>
      <c r="I1052" s="8634" t="s">
        <v>722</v>
      </c>
    </row>
    <row customHeight="1" ht="11.25">
      <c r="A1053" s="8634" t="s">
        <v>2182</v>
      </c>
      <c r="B1053" s="8634" t="s">
        <v>14</v>
      </c>
      <c r="C1053" s="8634" t="s">
        <v>5966</v>
      </c>
      <c r="D1053" s="8634" t="s">
        <v>5967</v>
      </c>
      <c r="E1053" s="8634" t="s">
        <v>3817</v>
      </c>
      <c r="F1053" s="8634" t="s">
        <v>2549</v>
      </c>
      <c r="G1053" s="8634" t="s">
        <v>24</v>
      </c>
      <c r="H1053" s="8634" t="s">
        <v>5968</v>
      </c>
      <c r="I1053" s="8634" t="s">
        <v>722</v>
      </c>
    </row>
    <row customHeight="1" ht="11.25">
      <c r="A1054" s="8634" t="s">
        <v>2182</v>
      </c>
      <c r="B1054" s="8634" t="s">
        <v>14</v>
      </c>
      <c r="C1054" s="8634" t="s">
        <v>5969</v>
      </c>
      <c r="D1054" s="8634" t="s">
        <v>5970</v>
      </c>
      <c r="E1054" s="8634" t="s">
        <v>5971</v>
      </c>
      <c r="F1054" s="8634" t="s">
        <v>2890</v>
      </c>
      <c r="G1054" s="8634" t="s">
        <v>24</v>
      </c>
      <c r="H1054" s="8634" t="s">
        <v>2187</v>
      </c>
      <c r="I1054" s="8634" t="s">
        <v>722</v>
      </c>
    </row>
    <row customHeight="1" ht="11.25">
      <c r="A1055" s="8634" t="s">
        <v>2182</v>
      </c>
      <c r="B1055" s="8634" t="s">
        <v>14</v>
      </c>
      <c r="C1055" s="8634" t="s">
        <v>5972</v>
      </c>
      <c r="D1055" s="8634" t="s">
        <v>5973</v>
      </c>
      <c r="E1055" s="8634" t="s">
        <v>5974</v>
      </c>
      <c r="F1055" s="8634" t="s">
        <v>2269</v>
      </c>
      <c r="G1055" s="8634" t="s">
        <v>5975</v>
      </c>
      <c r="H1055" s="8634" t="s">
        <v>24</v>
      </c>
      <c r="I1055" s="8634" t="s">
        <v>722</v>
      </c>
    </row>
    <row customHeight="1" ht="11.25">
      <c r="A1056" s="8634" t="s">
        <v>2182</v>
      </c>
      <c r="B1056" s="8634" t="s">
        <v>14</v>
      </c>
      <c r="C1056" s="8634" t="s">
        <v>5976</v>
      </c>
      <c r="D1056" s="8634" t="s">
        <v>5977</v>
      </c>
      <c r="E1056" s="8634" t="s">
        <v>5978</v>
      </c>
      <c r="F1056" s="8634" t="s">
        <v>2411</v>
      </c>
      <c r="G1056" s="8634" t="s">
        <v>5979</v>
      </c>
      <c r="H1056" s="8634" t="s">
        <v>24</v>
      </c>
      <c r="I1056" s="8634" t="s">
        <v>722</v>
      </c>
    </row>
    <row customHeight="1" ht="11.25">
      <c r="A1057" s="8634" t="s">
        <v>2182</v>
      </c>
      <c r="B1057" s="8634" t="s">
        <v>14</v>
      </c>
      <c r="C1057" s="8634" t="s">
        <v>5980</v>
      </c>
      <c r="D1057" s="8634" t="s">
        <v>5981</v>
      </c>
      <c r="E1057" s="8634" t="s">
        <v>5982</v>
      </c>
      <c r="F1057" s="8634" t="s">
        <v>3278</v>
      </c>
      <c r="G1057" s="8634" t="s">
        <v>24</v>
      </c>
      <c r="H1057" s="8634" t="s">
        <v>2400</v>
      </c>
      <c r="I1057" s="8634" t="s">
        <v>722</v>
      </c>
    </row>
    <row customHeight="1" ht="11.25">
      <c r="A1058" s="8634" t="s">
        <v>2182</v>
      </c>
      <c r="B1058" s="8634" t="s">
        <v>14</v>
      </c>
      <c r="C1058" s="8634" t="s">
        <v>5983</v>
      </c>
      <c r="D1058" s="8634" t="s">
        <v>5984</v>
      </c>
      <c r="E1058" s="8634" t="s">
        <v>5985</v>
      </c>
      <c r="F1058" s="8634" t="s">
        <v>2600</v>
      </c>
      <c r="G1058" s="8634" t="s">
        <v>24</v>
      </c>
      <c r="H1058" s="8634" t="s">
        <v>24</v>
      </c>
      <c r="I1058" s="8634" t="s">
        <v>722</v>
      </c>
    </row>
    <row customHeight="1" ht="11.25">
      <c r="A1059" s="8634" t="s">
        <v>2182</v>
      </c>
      <c r="B1059" s="8634" t="s">
        <v>14</v>
      </c>
      <c r="C1059" s="8634" t="s">
        <v>5986</v>
      </c>
      <c r="D1059" s="8634" t="s">
        <v>5987</v>
      </c>
      <c r="E1059" s="8634" t="s">
        <v>5988</v>
      </c>
      <c r="F1059" s="8634" t="s">
        <v>2447</v>
      </c>
      <c r="G1059" s="8634" t="s">
        <v>24</v>
      </c>
      <c r="H1059" s="8634" t="s">
        <v>24</v>
      </c>
      <c r="I1059" s="8634" t="s">
        <v>722</v>
      </c>
    </row>
    <row customHeight="1" ht="11.25">
      <c r="A1060" s="8634" t="s">
        <v>2182</v>
      </c>
      <c r="B1060" s="8634" t="s">
        <v>14</v>
      </c>
      <c r="C1060" s="8634" t="s">
        <v>5989</v>
      </c>
      <c r="D1060" s="8634" t="s">
        <v>5990</v>
      </c>
      <c r="E1060" s="8634" t="s">
        <v>5991</v>
      </c>
      <c r="F1060" s="8634" t="s">
        <v>2228</v>
      </c>
      <c r="G1060" s="8634" t="s">
        <v>24</v>
      </c>
      <c r="H1060" s="8634" t="s">
        <v>24</v>
      </c>
      <c r="I1060" s="8634" t="s">
        <v>722</v>
      </c>
    </row>
    <row customHeight="1" ht="11.25">
      <c r="A1061" s="8634" t="s">
        <v>2182</v>
      </c>
      <c r="B1061" s="8634" t="s">
        <v>14</v>
      </c>
      <c r="C1061" s="8634" t="s">
        <v>5992</v>
      </c>
      <c r="D1061" s="8634" t="s">
        <v>5993</v>
      </c>
      <c r="E1061" s="8634" t="s">
        <v>5994</v>
      </c>
      <c r="F1061" s="8634" t="s">
        <v>2344</v>
      </c>
      <c r="G1061" s="8634" t="s">
        <v>5995</v>
      </c>
      <c r="H1061" s="8634" t="s">
        <v>24</v>
      </c>
      <c r="I1061" s="8634" t="s">
        <v>722</v>
      </c>
    </row>
    <row customHeight="1" ht="11.25">
      <c r="A1062" s="8634" t="s">
        <v>2182</v>
      </c>
      <c r="B1062" s="8634" t="s">
        <v>14</v>
      </c>
      <c r="C1062" s="8634" t="s">
        <v>5996</v>
      </c>
      <c r="D1062" s="8634" t="s">
        <v>5997</v>
      </c>
      <c r="E1062" s="8634" t="s">
        <v>5998</v>
      </c>
      <c r="F1062" s="8634" t="s">
        <v>2626</v>
      </c>
      <c r="G1062" s="8634" t="s">
        <v>24</v>
      </c>
      <c r="H1062" s="8634" t="s">
        <v>24</v>
      </c>
      <c r="I1062" s="8634" t="s">
        <v>722</v>
      </c>
    </row>
    <row customHeight="1" ht="11.25">
      <c r="A1063" s="8634" t="s">
        <v>2182</v>
      </c>
      <c r="B1063" s="8634" t="s">
        <v>14</v>
      </c>
      <c r="C1063" s="8634" t="s">
        <v>5999</v>
      </c>
      <c r="D1063" s="8634" t="s">
        <v>6000</v>
      </c>
      <c r="E1063" s="8634" t="s">
        <v>6001</v>
      </c>
      <c r="F1063" s="8634" t="s">
        <v>2233</v>
      </c>
      <c r="G1063" s="8634" t="s">
        <v>24</v>
      </c>
      <c r="H1063" s="8634" t="s">
        <v>24</v>
      </c>
      <c r="I1063" s="8634" t="s">
        <v>722</v>
      </c>
    </row>
    <row customHeight="1" ht="11.25">
      <c r="A1064" s="8634" t="s">
        <v>2182</v>
      </c>
      <c r="B1064" s="8634" t="s">
        <v>14</v>
      </c>
      <c r="C1064" s="8634" t="s">
        <v>6002</v>
      </c>
      <c r="D1064" s="8634" t="s">
        <v>6003</v>
      </c>
      <c r="E1064" s="8634" t="s">
        <v>6004</v>
      </c>
      <c r="F1064" s="8634" t="s">
        <v>2213</v>
      </c>
      <c r="G1064" s="8634" t="s">
        <v>24</v>
      </c>
      <c r="H1064" s="8634" t="s">
        <v>24</v>
      </c>
      <c r="I1064" s="8634" t="s">
        <v>722</v>
      </c>
    </row>
    <row customHeight="1" ht="11.25">
      <c r="A1065" s="8634" t="s">
        <v>2182</v>
      </c>
      <c r="B1065" s="8634" t="s">
        <v>14</v>
      </c>
      <c r="C1065" s="8634" t="s">
        <v>6005</v>
      </c>
      <c r="D1065" s="8634" t="s">
        <v>6006</v>
      </c>
      <c r="E1065" s="8634" t="s">
        <v>6007</v>
      </c>
      <c r="F1065" s="8634" t="s">
        <v>2339</v>
      </c>
      <c r="G1065" s="8634" t="s">
        <v>24</v>
      </c>
      <c r="H1065" s="8634" t="s">
        <v>24</v>
      </c>
      <c r="I1065" s="8634" t="s">
        <v>722</v>
      </c>
    </row>
    <row customHeight="1" ht="11.25">
      <c r="A1066" s="8634" t="s">
        <v>2182</v>
      </c>
      <c r="B1066" s="8634" t="s">
        <v>14</v>
      </c>
      <c r="C1066" s="8634" t="s">
        <v>6008</v>
      </c>
      <c r="D1066" s="8634" t="s">
        <v>6009</v>
      </c>
      <c r="E1066" s="8634" t="s">
        <v>6010</v>
      </c>
      <c r="F1066" s="8634" t="s">
        <v>2890</v>
      </c>
      <c r="G1066" s="8634" t="s">
        <v>24</v>
      </c>
      <c r="H1066" s="8634" t="s">
        <v>24</v>
      </c>
      <c r="I1066" s="8634" t="s">
        <v>722</v>
      </c>
    </row>
    <row customHeight="1" ht="11.25">
      <c r="A1067" s="8634" t="s">
        <v>2182</v>
      </c>
      <c r="B1067" s="8634" t="s">
        <v>14</v>
      </c>
      <c r="C1067" s="8634" t="s">
        <v>6011</v>
      </c>
      <c r="D1067" s="8634" t="s">
        <v>6012</v>
      </c>
      <c r="E1067" s="8634" t="s">
        <v>6013</v>
      </c>
      <c r="F1067" s="8634" t="s">
        <v>2233</v>
      </c>
      <c r="G1067" s="8634" t="s">
        <v>2368</v>
      </c>
      <c r="H1067" s="8634" t="s">
        <v>24</v>
      </c>
      <c r="I1067" s="8634" t="s">
        <v>722</v>
      </c>
    </row>
    <row customHeight="1" ht="11.25">
      <c r="A1068" s="8634" t="s">
        <v>2182</v>
      </c>
      <c r="B1068" s="8634" t="s">
        <v>14</v>
      </c>
      <c r="C1068" s="8634" t="s">
        <v>6014</v>
      </c>
      <c r="D1068" s="8634" t="s">
        <v>6015</v>
      </c>
      <c r="E1068" s="8634" t="s">
        <v>6016</v>
      </c>
      <c r="F1068" s="8634" t="s">
        <v>2228</v>
      </c>
      <c r="G1068" s="8634" t="s">
        <v>24</v>
      </c>
      <c r="H1068" s="8634" t="s">
        <v>6017</v>
      </c>
      <c r="I1068" s="8634" t="s">
        <v>722</v>
      </c>
    </row>
    <row customHeight="1" ht="11.25">
      <c r="A1069" s="8634" t="s">
        <v>2182</v>
      </c>
      <c r="B1069" s="8634" t="s">
        <v>14</v>
      </c>
      <c r="C1069" s="8634" t="s">
        <v>6018</v>
      </c>
      <c r="D1069" s="8634" t="s">
        <v>6019</v>
      </c>
      <c r="E1069" s="8634" t="s">
        <v>6020</v>
      </c>
      <c r="F1069" s="8634" t="s">
        <v>2460</v>
      </c>
      <c r="G1069" s="8634" t="s">
        <v>24</v>
      </c>
      <c r="H1069" s="8634" t="s">
        <v>2187</v>
      </c>
      <c r="I1069" s="8634" t="s">
        <v>722</v>
      </c>
    </row>
    <row customHeight="1" ht="11.25">
      <c r="A1070" s="8634" t="s">
        <v>2182</v>
      </c>
      <c r="B1070" s="8634" t="s">
        <v>14</v>
      </c>
      <c r="C1070" s="8634" t="s">
        <v>6021</v>
      </c>
      <c r="D1070" s="8634" t="s">
        <v>6022</v>
      </c>
      <c r="E1070" s="8634" t="s">
        <v>6023</v>
      </c>
      <c r="F1070" s="8634" t="s">
        <v>2186</v>
      </c>
      <c r="G1070" s="8634" t="s">
        <v>24</v>
      </c>
      <c r="H1070" s="8634" t="s">
        <v>2187</v>
      </c>
      <c r="I1070" s="8634" t="s">
        <v>722</v>
      </c>
    </row>
    <row customHeight="1" ht="11.25">
      <c r="A1071" s="8634" t="s">
        <v>2182</v>
      </c>
      <c r="B1071" s="8634" t="s">
        <v>14</v>
      </c>
      <c r="C1071" s="8634" t="s">
        <v>6024</v>
      </c>
      <c r="D1071" s="8634" t="s">
        <v>6025</v>
      </c>
      <c r="E1071" s="8634" t="s">
        <v>6026</v>
      </c>
      <c r="F1071" s="8634" t="s">
        <v>2600</v>
      </c>
      <c r="G1071" s="8634" t="s">
        <v>24</v>
      </c>
      <c r="H1071" s="8634" t="s">
        <v>2187</v>
      </c>
      <c r="I1071" s="8634" t="s">
        <v>722</v>
      </c>
    </row>
    <row customHeight="1" ht="11.25">
      <c r="A1072" s="8634" t="s">
        <v>2182</v>
      </c>
      <c r="B1072" s="8634" t="s">
        <v>14</v>
      </c>
      <c r="C1072" s="8634" t="s">
        <v>6027</v>
      </c>
      <c r="D1072" s="8634" t="s">
        <v>6028</v>
      </c>
      <c r="E1072" s="8634" t="s">
        <v>6029</v>
      </c>
      <c r="F1072" s="8634" t="s">
        <v>2264</v>
      </c>
      <c r="G1072" s="8634" t="s">
        <v>24</v>
      </c>
      <c r="H1072" s="8634" t="s">
        <v>2187</v>
      </c>
      <c r="I1072" s="8634" t="s">
        <v>722</v>
      </c>
    </row>
    <row customHeight="1" ht="11.25">
      <c r="A1073" s="8634" t="s">
        <v>2182</v>
      </c>
      <c r="B1073" s="8634" t="s">
        <v>14</v>
      </c>
      <c r="C1073" s="8634" t="s">
        <v>6030</v>
      </c>
      <c r="D1073" s="8634" t="s">
        <v>6031</v>
      </c>
      <c r="E1073" s="8634" t="s">
        <v>6032</v>
      </c>
      <c r="F1073" s="8634" t="s">
        <v>2213</v>
      </c>
      <c r="G1073" s="8634" t="s">
        <v>24</v>
      </c>
      <c r="H1073" s="8634" t="s">
        <v>24</v>
      </c>
      <c r="I1073" s="8634" t="s">
        <v>722</v>
      </c>
    </row>
    <row customHeight="1" ht="11.25">
      <c r="A1074" s="8634" t="s">
        <v>2182</v>
      </c>
      <c r="B1074" s="8634" t="s">
        <v>14</v>
      </c>
      <c r="C1074" s="8634" t="s">
        <v>6033</v>
      </c>
      <c r="D1074" s="8634" t="s">
        <v>6034</v>
      </c>
      <c r="E1074" s="8634" t="s">
        <v>6035</v>
      </c>
      <c r="F1074" s="8634" t="s">
        <v>2492</v>
      </c>
      <c r="G1074" s="8634" t="s">
        <v>24</v>
      </c>
      <c r="H1074" s="8634" t="s">
        <v>2187</v>
      </c>
      <c r="I1074" s="8634" t="s">
        <v>722</v>
      </c>
    </row>
    <row customHeight="1" ht="11.25">
      <c r="A1075" s="8634" t="s">
        <v>2182</v>
      </c>
      <c r="B1075" s="8634" t="s">
        <v>14</v>
      </c>
      <c r="C1075" s="8634" t="s">
        <v>6036</v>
      </c>
      <c r="D1075" s="8634" t="s">
        <v>6037</v>
      </c>
      <c r="E1075" s="8634" t="s">
        <v>6038</v>
      </c>
      <c r="F1075" s="8634" t="s">
        <v>6039</v>
      </c>
      <c r="G1075" s="8634" t="s">
        <v>24</v>
      </c>
      <c r="H1075" s="8634" t="s">
        <v>2773</v>
      </c>
      <c r="I1075" s="8634" t="s">
        <v>722</v>
      </c>
    </row>
    <row customHeight="1" ht="11.25">
      <c r="A1076" s="8634" t="s">
        <v>2182</v>
      </c>
      <c r="B1076" s="8634" t="s">
        <v>14</v>
      </c>
      <c r="C1076" s="8634" t="s">
        <v>6040</v>
      </c>
      <c r="D1076" s="8634" t="s">
        <v>6041</v>
      </c>
      <c r="E1076" s="8634" t="s">
        <v>6042</v>
      </c>
      <c r="F1076" s="8634" t="s">
        <v>2218</v>
      </c>
      <c r="G1076" s="8634" t="s">
        <v>24</v>
      </c>
      <c r="H1076" s="8634" t="s">
        <v>24</v>
      </c>
      <c r="I1076" s="8634" t="s">
        <v>722</v>
      </c>
    </row>
    <row customHeight="1" ht="11.25">
      <c r="A1077" s="8634" t="s">
        <v>2182</v>
      </c>
      <c r="B1077" s="8634" t="s">
        <v>14</v>
      </c>
      <c r="C1077" s="8634" t="s">
        <v>6043</v>
      </c>
      <c r="D1077" s="8634" t="s">
        <v>6044</v>
      </c>
      <c r="E1077" s="8634" t="s">
        <v>6045</v>
      </c>
      <c r="F1077" s="8634" t="s">
        <v>2233</v>
      </c>
      <c r="G1077" s="8634" t="s">
        <v>24</v>
      </c>
      <c r="H1077" s="8634" t="s">
        <v>2187</v>
      </c>
      <c r="I1077" s="8634" t="s">
        <v>722</v>
      </c>
    </row>
    <row customHeight="1" ht="11.25">
      <c r="A1078" s="8634" t="s">
        <v>2182</v>
      </c>
      <c r="B1078" s="8634" t="s">
        <v>14</v>
      </c>
      <c r="C1078" s="8634" t="s">
        <v>6046</v>
      </c>
      <c r="D1078" s="8634" t="s">
        <v>6047</v>
      </c>
      <c r="E1078" s="8634" t="s">
        <v>6048</v>
      </c>
      <c r="F1078" s="8634" t="s">
        <v>2398</v>
      </c>
      <c r="G1078" s="8634" t="s">
        <v>24</v>
      </c>
      <c r="H1078" s="8634" t="s">
        <v>2187</v>
      </c>
      <c r="I1078" s="8634" t="s">
        <v>722</v>
      </c>
    </row>
    <row customHeight="1" ht="11.25">
      <c r="A1079" s="8634" t="s">
        <v>2182</v>
      </c>
      <c r="B1079" s="8634" t="s">
        <v>14</v>
      </c>
      <c r="C1079" s="8634" t="s">
        <v>6049</v>
      </c>
      <c r="D1079" s="8634" t="s">
        <v>6050</v>
      </c>
      <c r="E1079" s="8634" t="s">
        <v>6051</v>
      </c>
      <c r="F1079" s="8634" t="s">
        <v>2218</v>
      </c>
      <c r="G1079" s="8634" t="s">
        <v>24</v>
      </c>
      <c r="H1079" s="8634" t="s">
        <v>2187</v>
      </c>
      <c r="I1079" s="8634" t="s">
        <v>722</v>
      </c>
    </row>
    <row customHeight="1" ht="11.25">
      <c r="A1080" s="8634" t="s">
        <v>2182</v>
      </c>
      <c r="B1080" s="8634" t="s">
        <v>14</v>
      </c>
      <c r="C1080" s="8634" t="s">
        <v>6052</v>
      </c>
      <c r="D1080" s="8634" t="s">
        <v>6053</v>
      </c>
      <c r="E1080" s="8634" t="s">
        <v>6054</v>
      </c>
      <c r="F1080" s="8634" t="s">
        <v>2398</v>
      </c>
      <c r="G1080" s="8634" t="s">
        <v>24</v>
      </c>
      <c r="H1080" s="8634" t="s">
        <v>2187</v>
      </c>
      <c r="I1080" s="8634" t="s">
        <v>722</v>
      </c>
    </row>
    <row customHeight="1" ht="11.25">
      <c r="A1081" s="8634" t="s">
        <v>2182</v>
      </c>
      <c r="B1081" s="8634" t="s">
        <v>14</v>
      </c>
      <c r="C1081" s="8634" t="s">
        <v>6055</v>
      </c>
      <c r="D1081" s="8634" t="s">
        <v>6056</v>
      </c>
      <c r="E1081" s="8634" t="s">
        <v>6057</v>
      </c>
      <c r="F1081" s="8634" t="s">
        <v>2213</v>
      </c>
      <c r="G1081" s="8634" t="s">
        <v>24</v>
      </c>
      <c r="H1081" s="8634" t="s">
        <v>2187</v>
      </c>
      <c r="I1081" s="8634" t="s">
        <v>722</v>
      </c>
    </row>
    <row customHeight="1" ht="11.25">
      <c r="A1082" s="8634" t="s">
        <v>2182</v>
      </c>
      <c r="B1082" s="8634" t="s">
        <v>14</v>
      </c>
      <c r="C1082" s="8634" t="s">
        <v>6058</v>
      </c>
      <c r="D1082" s="8634" t="s">
        <v>6059</v>
      </c>
      <c r="E1082" s="8634" t="s">
        <v>6060</v>
      </c>
      <c r="F1082" s="8634" t="s">
        <v>2218</v>
      </c>
      <c r="G1082" s="8634" t="s">
        <v>24</v>
      </c>
      <c r="H1082" s="8634" t="s">
        <v>2187</v>
      </c>
      <c r="I1082" s="8634" t="s">
        <v>722</v>
      </c>
    </row>
    <row customHeight="1" ht="11.25">
      <c r="A1083" s="8634" t="s">
        <v>2182</v>
      </c>
      <c r="B1083" s="8634" t="s">
        <v>14</v>
      </c>
      <c r="C1083" s="8634" t="s">
        <v>6061</v>
      </c>
      <c r="D1083" s="8634" t="s">
        <v>6062</v>
      </c>
      <c r="E1083" s="8634" t="s">
        <v>6063</v>
      </c>
      <c r="F1083" s="8634" t="s">
        <v>2600</v>
      </c>
      <c r="G1083" s="8634" t="s">
        <v>24</v>
      </c>
      <c r="H1083" s="8634" t="s">
        <v>2187</v>
      </c>
      <c r="I1083" s="8634" t="s">
        <v>722</v>
      </c>
    </row>
    <row customHeight="1" ht="11.25">
      <c r="A1084" s="8634" t="s">
        <v>2182</v>
      </c>
      <c r="B1084" s="8634" t="s">
        <v>14</v>
      </c>
      <c r="C1084" s="8634" t="s">
        <v>6064</v>
      </c>
      <c r="D1084" s="8634" t="s">
        <v>6065</v>
      </c>
      <c r="E1084" s="8634" t="s">
        <v>6066</v>
      </c>
      <c r="F1084" s="8634" t="s">
        <v>2398</v>
      </c>
      <c r="G1084" s="8634" t="s">
        <v>24</v>
      </c>
      <c r="H1084" s="8634" t="s">
        <v>2187</v>
      </c>
      <c r="I1084" s="8634" t="s">
        <v>722</v>
      </c>
    </row>
    <row customHeight="1" ht="11.25">
      <c r="A1085" s="8634" t="s">
        <v>2182</v>
      </c>
      <c r="B1085" s="8634" t="s">
        <v>14</v>
      </c>
      <c r="C1085" s="8634" t="s">
        <v>6067</v>
      </c>
      <c r="D1085" s="8634" t="s">
        <v>6068</v>
      </c>
      <c r="E1085" s="8634" t="s">
        <v>6069</v>
      </c>
      <c r="F1085" s="8634" t="s">
        <v>2613</v>
      </c>
      <c r="G1085" s="8634" t="s">
        <v>24</v>
      </c>
      <c r="H1085" s="8634" t="s">
        <v>2187</v>
      </c>
      <c r="I1085" s="8634" t="s">
        <v>722</v>
      </c>
    </row>
    <row customHeight="1" ht="11.25">
      <c r="A1086" s="8634" t="s">
        <v>2182</v>
      </c>
      <c r="B1086" s="8634" t="s">
        <v>14</v>
      </c>
      <c r="C1086" s="8634" t="s">
        <v>6070</v>
      </c>
      <c r="D1086" s="8634" t="s">
        <v>6071</v>
      </c>
      <c r="E1086" s="8634" t="s">
        <v>6072</v>
      </c>
      <c r="F1086" s="8634" t="s">
        <v>2186</v>
      </c>
      <c r="G1086" s="8634" t="s">
        <v>24</v>
      </c>
      <c r="H1086" s="8634" t="s">
        <v>6073</v>
      </c>
      <c r="I1086" s="8634" t="s">
        <v>722</v>
      </c>
    </row>
    <row customHeight="1" ht="11.25">
      <c r="A1087" s="8634" t="s">
        <v>2182</v>
      </c>
      <c r="B1087" s="8634" t="s">
        <v>14</v>
      </c>
      <c r="C1087" s="8634" t="s">
        <v>6074</v>
      </c>
      <c r="D1087" s="8634" t="s">
        <v>6075</v>
      </c>
      <c r="E1087" s="8634" t="s">
        <v>6076</v>
      </c>
      <c r="F1087" s="8634" t="s">
        <v>2411</v>
      </c>
      <c r="G1087" s="8634" t="s">
        <v>24</v>
      </c>
      <c r="H1087" s="8634" t="s">
        <v>24</v>
      </c>
      <c r="I1087" s="8634" t="s">
        <v>722</v>
      </c>
    </row>
    <row customHeight="1" ht="11.25">
      <c r="A1088" s="8634" t="s">
        <v>2182</v>
      </c>
      <c r="B1088" s="8634" t="s">
        <v>14</v>
      </c>
      <c r="C1088" s="8634" t="s">
        <v>6077</v>
      </c>
      <c r="D1088" s="8634" t="s">
        <v>6078</v>
      </c>
      <c r="E1088" s="8634" t="s">
        <v>6079</v>
      </c>
      <c r="F1088" s="8634" t="s">
        <v>4352</v>
      </c>
      <c r="G1088" s="8634" t="s">
        <v>24</v>
      </c>
      <c r="H1088" s="8634" t="s">
        <v>2870</v>
      </c>
      <c r="I1088" s="8634" t="s">
        <v>722</v>
      </c>
    </row>
    <row customHeight="1" ht="11.25">
      <c r="A1089" s="8634" t="s">
        <v>2182</v>
      </c>
      <c r="B1089" s="8634" t="s">
        <v>14</v>
      </c>
      <c r="C1089" s="8634" t="s">
        <v>6080</v>
      </c>
      <c r="D1089" s="8634" t="s">
        <v>6081</v>
      </c>
      <c r="E1089" s="8634" t="s">
        <v>6072</v>
      </c>
      <c r="F1089" s="8634" t="s">
        <v>6082</v>
      </c>
      <c r="G1089" s="8634" t="s">
        <v>24</v>
      </c>
      <c r="H1089" s="8634" t="s">
        <v>24</v>
      </c>
      <c r="I1089" s="8634" t="s">
        <v>722</v>
      </c>
    </row>
    <row customHeight="1" ht="11.25">
      <c r="A1090" s="8634" t="s">
        <v>2182</v>
      </c>
      <c r="B1090" s="8634" t="s">
        <v>14</v>
      </c>
      <c r="C1090" s="8634" t="s">
        <v>6083</v>
      </c>
      <c r="D1090" s="8634" t="s">
        <v>6084</v>
      </c>
      <c r="E1090" s="8634" t="s">
        <v>6085</v>
      </c>
      <c r="F1090" s="8634" t="s">
        <v>2438</v>
      </c>
      <c r="G1090" s="8634" t="s">
        <v>24</v>
      </c>
      <c r="H1090" s="8634" t="s">
        <v>2187</v>
      </c>
      <c r="I1090" s="8634" t="s">
        <v>722</v>
      </c>
    </row>
    <row customHeight="1" ht="11.25">
      <c r="A1091" s="8634" t="s">
        <v>2182</v>
      </c>
      <c r="B1091" s="8634" t="s">
        <v>14</v>
      </c>
      <c r="C1091" s="8634" t="s">
        <v>6086</v>
      </c>
      <c r="D1091" s="8634" t="s">
        <v>6087</v>
      </c>
      <c r="E1091" s="8634" t="s">
        <v>6088</v>
      </c>
      <c r="F1091" s="8634" t="s">
        <v>2213</v>
      </c>
      <c r="G1091" s="8634" t="s">
        <v>24</v>
      </c>
      <c r="H1091" s="8634" t="s">
        <v>2187</v>
      </c>
      <c r="I1091" s="8634" t="s">
        <v>722</v>
      </c>
    </row>
    <row customHeight="1" ht="11.25">
      <c r="A1092" s="8634" t="s">
        <v>2182</v>
      </c>
      <c r="B1092" s="8634" t="s">
        <v>14</v>
      </c>
      <c r="C1092" s="8634" t="s">
        <v>6089</v>
      </c>
      <c r="D1092" s="8634" t="s">
        <v>6090</v>
      </c>
      <c r="E1092" s="8634" t="s">
        <v>6091</v>
      </c>
      <c r="F1092" s="8634" t="s">
        <v>2318</v>
      </c>
      <c r="G1092" s="8634" t="s">
        <v>6092</v>
      </c>
      <c r="H1092" s="8634" t="s">
        <v>24</v>
      </c>
      <c r="I1092" s="8634" t="s">
        <v>722</v>
      </c>
    </row>
    <row customHeight="1" ht="11.25">
      <c r="A1093" s="8634" t="s">
        <v>2182</v>
      </c>
      <c r="B1093" s="8634" t="s">
        <v>14</v>
      </c>
      <c r="C1093" s="8634" t="s">
        <v>6093</v>
      </c>
      <c r="D1093" s="8634" t="s">
        <v>6094</v>
      </c>
      <c r="E1093" s="8634" t="s">
        <v>6095</v>
      </c>
      <c r="F1093" s="8634" t="s">
        <v>2438</v>
      </c>
      <c r="G1093" s="8634" t="s">
        <v>24</v>
      </c>
      <c r="H1093" s="8634" t="s">
        <v>6096</v>
      </c>
      <c r="I1093" s="8634" t="s">
        <v>722</v>
      </c>
    </row>
    <row customHeight="1" ht="11.25">
      <c r="A1094" s="8634" t="s">
        <v>2182</v>
      </c>
      <c r="B1094" s="8634" t="s">
        <v>14</v>
      </c>
      <c r="C1094" s="8634" t="s">
        <v>6097</v>
      </c>
      <c r="D1094" s="8634" t="s">
        <v>6098</v>
      </c>
      <c r="E1094" s="8634" t="s">
        <v>6099</v>
      </c>
      <c r="F1094" s="8634" t="s">
        <v>2186</v>
      </c>
      <c r="G1094" s="8634" t="s">
        <v>24</v>
      </c>
      <c r="H1094" s="8634" t="s">
        <v>2187</v>
      </c>
      <c r="I1094" s="8634" t="s">
        <v>722</v>
      </c>
    </row>
    <row customHeight="1" ht="11.25">
      <c r="A1095" s="8634" t="s">
        <v>2182</v>
      </c>
      <c r="B1095" s="8634" t="s">
        <v>14</v>
      </c>
      <c r="C1095" s="8634" t="s">
        <v>6100</v>
      </c>
      <c r="D1095" s="8634" t="s">
        <v>6101</v>
      </c>
      <c r="E1095" s="8634" t="s">
        <v>6102</v>
      </c>
      <c r="F1095" s="8634" t="s">
        <v>2964</v>
      </c>
      <c r="G1095" s="8634" t="s">
        <v>24</v>
      </c>
      <c r="H1095" s="8634" t="s">
        <v>2187</v>
      </c>
      <c r="I1095" s="8634" t="s">
        <v>722</v>
      </c>
    </row>
    <row customHeight="1" ht="11.25">
      <c r="A1096" s="8634" t="s">
        <v>2182</v>
      </c>
      <c r="B1096" s="8634" t="s">
        <v>14</v>
      </c>
      <c r="C1096" s="8634" t="s">
        <v>6103</v>
      </c>
      <c r="D1096" s="8634" t="s">
        <v>6104</v>
      </c>
      <c r="E1096" s="8634" t="s">
        <v>6105</v>
      </c>
      <c r="F1096" s="8634" t="s">
        <v>2948</v>
      </c>
      <c r="G1096" s="8634" t="s">
        <v>24</v>
      </c>
      <c r="H1096" s="8634" t="s">
        <v>6106</v>
      </c>
      <c r="I1096" s="8634" t="s">
        <v>722</v>
      </c>
    </row>
    <row customHeight="1" ht="11.25">
      <c r="A1097" s="8634" t="s">
        <v>2182</v>
      </c>
      <c r="B1097" s="8634" t="s">
        <v>14</v>
      </c>
      <c r="C1097" s="8634" t="s">
        <v>6107</v>
      </c>
      <c r="D1097" s="8634" t="s">
        <v>6108</v>
      </c>
      <c r="E1097" s="8634" t="s">
        <v>6109</v>
      </c>
      <c r="F1097" s="8634" t="s">
        <v>6110</v>
      </c>
      <c r="G1097" s="8634" t="s">
        <v>24</v>
      </c>
      <c r="H1097" s="8634" t="s">
        <v>24</v>
      </c>
      <c r="I1097" s="8634" t="s">
        <v>722</v>
      </c>
    </row>
    <row customHeight="1" ht="11.25">
      <c r="A1098" s="8634" t="s">
        <v>2182</v>
      </c>
      <c r="B1098" s="8634" t="s">
        <v>14</v>
      </c>
      <c r="C1098" s="8634" t="s">
        <v>6111</v>
      </c>
      <c r="D1098" s="8634" t="s">
        <v>6112</v>
      </c>
      <c r="E1098" s="8634" t="s">
        <v>6113</v>
      </c>
      <c r="F1098" s="8634" t="s">
        <v>3011</v>
      </c>
      <c r="G1098" s="8634" t="s">
        <v>24</v>
      </c>
      <c r="H1098" s="8634" t="s">
        <v>5871</v>
      </c>
      <c r="I1098" s="8634" t="s">
        <v>722</v>
      </c>
    </row>
    <row customHeight="1" ht="11.25">
      <c r="A1099" s="8634" t="s">
        <v>2182</v>
      </c>
      <c r="B1099" s="8634" t="s">
        <v>14</v>
      </c>
      <c r="C1099" s="8634" t="s">
        <v>6114</v>
      </c>
      <c r="D1099" s="8634" t="s">
        <v>6115</v>
      </c>
      <c r="E1099" s="8634" t="s">
        <v>6116</v>
      </c>
      <c r="F1099" s="8634" t="s">
        <v>2322</v>
      </c>
      <c r="G1099" s="8634" t="s">
        <v>24</v>
      </c>
      <c r="H1099" s="8634" t="s">
        <v>24</v>
      </c>
      <c r="I1099" s="8634" t="s">
        <v>722</v>
      </c>
    </row>
    <row customHeight="1" ht="11.25">
      <c r="A1100" s="8634" t="s">
        <v>2182</v>
      </c>
      <c r="B1100" s="8634" t="s">
        <v>14</v>
      </c>
      <c r="C1100" s="8634" t="s">
        <v>6117</v>
      </c>
      <c r="D1100" s="8634" t="s">
        <v>6118</v>
      </c>
      <c r="E1100" s="8634" t="s">
        <v>6119</v>
      </c>
      <c r="F1100" s="8634" t="s">
        <v>2600</v>
      </c>
      <c r="G1100" s="8634" t="s">
        <v>6120</v>
      </c>
      <c r="H1100" s="8634" t="s">
        <v>24</v>
      </c>
      <c r="I1100" s="8634" t="s">
        <v>722</v>
      </c>
    </row>
    <row customHeight="1" ht="11.25">
      <c r="A1101" s="8634" t="s">
        <v>2182</v>
      </c>
      <c r="B1101" s="8634" t="s">
        <v>14</v>
      </c>
      <c r="C1101" s="8634" t="s">
        <v>6121</v>
      </c>
      <c r="D1101" s="8634" t="s">
        <v>6122</v>
      </c>
      <c r="E1101" s="8634" t="s">
        <v>6123</v>
      </c>
      <c r="F1101" s="8634" t="s">
        <v>2398</v>
      </c>
      <c r="G1101" s="8634" t="s">
        <v>24</v>
      </c>
      <c r="H1101" s="8634" t="s">
        <v>6124</v>
      </c>
      <c r="I1101" s="8634" t="s">
        <v>722</v>
      </c>
    </row>
    <row customHeight="1" ht="11.25">
      <c r="A1102" s="8634" t="s">
        <v>2182</v>
      </c>
      <c r="B1102" s="8634" t="s">
        <v>14</v>
      </c>
      <c r="C1102" s="8634" t="s">
        <v>6125</v>
      </c>
      <c r="D1102" s="8634" t="s">
        <v>6126</v>
      </c>
      <c r="E1102" s="8634" t="s">
        <v>6127</v>
      </c>
      <c r="F1102" s="8634" t="s">
        <v>2394</v>
      </c>
      <c r="G1102" s="8634" t="s">
        <v>24</v>
      </c>
      <c r="H1102" s="8634" t="s">
        <v>6128</v>
      </c>
      <c r="I1102" s="8634" t="s">
        <v>722</v>
      </c>
    </row>
    <row customHeight="1" ht="11.25">
      <c r="A1103" s="8634" t="s">
        <v>2182</v>
      </c>
      <c r="B1103" s="8634" t="s">
        <v>14</v>
      </c>
      <c r="C1103" s="8634" t="s">
        <v>6129</v>
      </c>
      <c r="D1103" s="8634" t="s">
        <v>6130</v>
      </c>
      <c r="E1103" s="8634" t="s">
        <v>6131</v>
      </c>
      <c r="F1103" s="8634" t="s">
        <v>2376</v>
      </c>
      <c r="G1103" s="8634" t="s">
        <v>24</v>
      </c>
      <c r="H1103" s="8634" t="s">
        <v>2187</v>
      </c>
      <c r="I1103" s="8634" t="s">
        <v>722</v>
      </c>
    </row>
    <row customHeight="1" ht="11.25">
      <c r="A1104" s="8634" t="s">
        <v>2182</v>
      </c>
      <c r="B1104" s="8634" t="s">
        <v>14</v>
      </c>
      <c r="C1104" s="8634" t="s">
        <v>6132</v>
      </c>
      <c r="D1104" s="8634" t="s">
        <v>6133</v>
      </c>
      <c r="E1104" s="8634" t="s">
        <v>6134</v>
      </c>
      <c r="F1104" s="8634" t="s">
        <v>3248</v>
      </c>
      <c r="G1104" s="8634" t="s">
        <v>6135</v>
      </c>
      <c r="H1104" s="8634" t="s">
        <v>24</v>
      </c>
      <c r="I1104" s="8634" t="s">
        <v>722</v>
      </c>
    </row>
    <row customHeight="1" ht="11.25">
      <c r="A1105" s="8634" t="s">
        <v>2182</v>
      </c>
      <c r="B1105" s="8634" t="s">
        <v>14</v>
      </c>
      <c r="C1105" s="8634" t="s">
        <v>6136</v>
      </c>
      <c r="D1105" s="8634" t="s">
        <v>6137</v>
      </c>
      <c r="E1105" s="8634" t="s">
        <v>6138</v>
      </c>
      <c r="F1105" s="8634" t="s">
        <v>2284</v>
      </c>
      <c r="G1105" s="8634" t="s">
        <v>24</v>
      </c>
      <c r="H1105" s="8634" t="s">
        <v>24</v>
      </c>
      <c r="I1105" s="8634" t="s">
        <v>722</v>
      </c>
    </row>
    <row customHeight="1" ht="11.25">
      <c r="A1106" s="8634" t="s">
        <v>2182</v>
      </c>
      <c r="B1106" s="8634" t="s">
        <v>14</v>
      </c>
      <c r="C1106" s="8634" t="s">
        <v>6139</v>
      </c>
      <c r="D1106" s="8634" t="s">
        <v>6140</v>
      </c>
      <c r="E1106" s="8634" t="s">
        <v>6141</v>
      </c>
      <c r="F1106" s="8634" t="s">
        <v>2600</v>
      </c>
      <c r="G1106" s="8634" t="s">
        <v>24</v>
      </c>
      <c r="H1106" s="8634" t="s">
        <v>24</v>
      </c>
      <c r="I1106" s="8634" t="s">
        <v>722</v>
      </c>
    </row>
    <row customHeight="1" ht="11.25">
      <c r="A1107" s="8634" t="s">
        <v>2182</v>
      </c>
      <c r="B1107" s="8634" t="s">
        <v>14</v>
      </c>
      <c r="C1107" s="8634" t="s">
        <v>6142</v>
      </c>
      <c r="D1107" s="8634" t="s">
        <v>6143</v>
      </c>
      <c r="E1107" s="8634" t="s">
        <v>6144</v>
      </c>
      <c r="F1107" s="8634" t="s">
        <v>2890</v>
      </c>
      <c r="G1107" s="8634" t="s">
        <v>24</v>
      </c>
      <c r="H1107" s="8634" t="s">
        <v>24</v>
      </c>
      <c r="I1107" s="8634" t="s">
        <v>722</v>
      </c>
    </row>
    <row customHeight="1" ht="11.25">
      <c r="A1108" s="8634" t="s">
        <v>2182</v>
      </c>
      <c r="B1108" s="8634" t="s">
        <v>14</v>
      </c>
      <c r="C1108" s="8634" t="s">
        <v>6145</v>
      </c>
      <c r="D1108" s="8634" t="s">
        <v>6146</v>
      </c>
      <c r="E1108" s="8634" t="s">
        <v>6147</v>
      </c>
      <c r="F1108" s="8634" t="s">
        <v>2411</v>
      </c>
      <c r="G1108" s="8634" t="s">
        <v>6148</v>
      </c>
      <c r="H1108" s="8634" t="s">
        <v>24</v>
      </c>
      <c r="I1108" s="8634" t="s">
        <v>722</v>
      </c>
    </row>
    <row customHeight="1" ht="11.25">
      <c r="A1109" s="8634" t="s">
        <v>2182</v>
      </c>
      <c r="B1109" s="8634" t="s">
        <v>14</v>
      </c>
      <c r="C1109" s="8634" t="s">
        <v>6149</v>
      </c>
      <c r="D1109" s="8634" t="s">
        <v>6150</v>
      </c>
      <c r="E1109" s="8634" t="s">
        <v>6151</v>
      </c>
      <c r="F1109" s="8634" t="s">
        <v>2964</v>
      </c>
      <c r="G1109" s="8634" t="s">
        <v>6152</v>
      </c>
      <c r="H1109" s="8634" t="s">
        <v>24</v>
      </c>
      <c r="I1109" s="8634" t="s">
        <v>722</v>
      </c>
    </row>
    <row customHeight="1" ht="11.25">
      <c r="A1110" s="8634" t="s">
        <v>2182</v>
      </c>
      <c r="B1110" s="8634" t="s">
        <v>14</v>
      </c>
      <c r="C1110" s="8634" t="s">
        <v>6153</v>
      </c>
      <c r="D1110" s="8634" t="s">
        <v>6154</v>
      </c>
      <c r="E1110" s="8634" t="s">
        <v>6155</v>
      </c>
      <c r="F1110" s="8634" t="s">
        <v>2233</v>
      </c>
      <c r="G1110" s="8634" t="s">
        <v>24</v>
      </c>
      <c r="H1110" s="8634" t="s">
        <v>24</v>
      </c>
      <c r="I1110" s="8634" t="s">
        <v>722</v>
      </c>
    </row>
    <row customHeight="1" ht="11.25">
      <c r="A1111" s="8634" t="s">
        <v>2182</v>
      </c>
      <c r="B1111" s="8634" t="s">
        <v>14</v>
      </c>
      <c r="C1111" s="8634" t="s">
        <v>6156</v>
      </c>
      <c r="D1111" s="8634" t="s">
        <v>6157</v>
      </c>
      <c r="E1111" s="8634" t="s">
        <v>6158</v>
      </c>
      <c r="F1111" s="8634" t="s">
        <v>2512</v>
      </c>
      <c r="G1111" s="8634" t="s">
        <v>24</v>
      </c>
      <c r="H1111" s="8634" t="s">
        <v>2187</v>
      </c>
      <c r="I1111" s="8634" t="s">
        <v>722</v>
      </c>
    </row>
    <row customHeight="1" ht="11.25">
      <c r="A1112" s="8634" t="s">
        <v>2182</v>
      </c>
      <c r="B1112" s="8634" t="s">
        <v>14</v>
      </c>
      <c r="C1112" s="8634" t="s">
        <v>6159</v>
      </c>
      <c r="D1112" s="8634" t="s">
        <v>6160</v>
      </c>
      <c r="E1112" s="8634" t="s">
        <v>6161</v>
      </c>
      <c r="F1112" s="8634" t="s">
        <v>2394</v>
      </c>
      <c r="G1112" s="8634" t="s">
        <v>24</v>
      </c>
      <c r="H1112" s="8634" t="s">
        <v>24</v>
      </c>
      <c r="I1112" s="8634" t="s">
        <v>722</v>
      </c>
    </row>
    <row customHeight="1" ht="11.25">
      <c r="A1113" s="8634" t="s">
        <v>2182</v>
      </c>
      <c r="B1113" s="8634" t="s">
        <v>14</v>
      </c>
      <c r="C1113" s="8634" t="s">
        <v>6162</v>
      </c>
      <c r="D1113" s="8634" t="s">
        <v>6163</v>
      </c>
      <c r="E1113" s="8634" t="s">
        <v>6164</v>
      </c>
      <c r="F1113" s="8634" t="s">
        <v>2344</v>
      </c>
      <c r="G1113" s="8634" t="s">
        <v>6165</v>
      </c>
      <c r="H1113" s="8634" t="s">
        <v>24</v>
      </c>
      <c r="I1113" s="8634" t="s">
        <v>722</v>
      </c>
    </row>
    <row customHeight="1" ht="11.25">
      <c r="A1114" s="8634" t="s">
        <v>2182</v>
      </c>
      <c r="B1114" s="8634" t="s">
        <v>14</v>
      </c>
      <c r="C1114" s="8634" t="s">
        <v>6166</v>
      </c>
      <c r="D1114" s="8634" t="s">
        <v>6167</v>
      </c>
      <c r="E1114" s="8634" t="s">
        <v>3871</v>
      </c>
      <c r="F1114" s="8634" t="s">
        <v>2772</v>
      </c>
      <c r="G1114" s="8634" t="s">
        <v>5875</v>
      </c>
      <c r="H1114" s="8634" t="s">
        <v>24</v>
      </c>
      <c r="I1114" s="8634" t="s">
        <v>722</v>
      </c>
    </row>
    <row customHeight="1" ht="11.25">
      <c r="A1115" s="8634" t="s">
        <v>2182</v>
      </c>
      <c r="B1115" s="8634" t="s">
        <v>14</v>
      </c>
      <c r="C1115" s="8634" t="s">
        <v>6168</v>
      </c>
      <c r="D1115" s="8634" t="s">
        <v>6169</v>
      </c>
      <c r="E1115" s="8634" t="s">
        <v>6170</v>
      </c>
      <c r="F1115" s="8634" t="s">
        <v>6171</v>
      </c>
      <c r="G1115" s="8634" t="s">
        <v>24</v>
      </c>
      <c r="H1115" s="8634" t="s">
        <v>2187</v>
      </c>
      <c r="I1115" s="8634" t="s">
        <v>722</v>
      </c>
    </row>
    <row customHeight="1" ht="11.25">
      <c r="A1116" s="8634" t="s">
        <v>2182</v>
      </c>
      <c r="B1116" s="8634" t="s">
        <v>14</v>
      </c>
      <c r="C1116" s="8634" t="s">
        <v>6172</v>
      </c>
      <c r="D1116" s="8634" t="s">
        <v>6169</v>
      </c>
      <c r="E1116" s="8634" t="s">
        <v>6170</v>
      </c>
      <c r="F1116" s="8634" t="s">
        <v>2318</v>
      </c>
      <c r="G1116" s="8634" t="s">
        <v>6173</v>
      </c>
      <c r="H1116" s="8634" t="s">
        <v>24</v>
      </c>
      <c r="I1116" s="8634" t="s">
        <v>722</v>
      </c>
    </row>
    <row customHeight="1" ht="11.25">
      <c r="A1117" s="8634" t="s">
        <v>2182</v>
      </c>
      <c r="B1117" s="8634" t="s">
        <v>14</v>
      </c>
      <c r="C1117" s="8634" t="s">
        <v>6174</v>
      </c>
      <c r="D1117" s="8634" t="s">
        <v>6175</v>
      </c>
      <c r="E1117" s="8634" t="s">
        <v>6079</v>
      </c>
      <c r="F1117" s="8634" t="s">
        <v>6176</v>
      </c>
      <c r="G1117" s="8634" t="s">
        <v>24</v>
      </c>
      <c r="H1117" s="8634" t="s">
        <v>2187</v>
      </c>
      <c r="I1117" s="8634" t="s">
        <v>722</v>
      </c>
    </row>
    <row customHeight="1" ht="11.25">
      <c r="A1118" s="8634" t="s">
        <v>2182</v>
      </c>
      <c r="B1118" s="8634" t="s">
        <v>14</v>
      </c>
      <c r="C1118" s="8634" t="s">
        <v>6177</v>
      </c>
      <c r="D1118" s="8634" t="s">
        <v>6178</v>
      </c>
      <c r="E1118" s="8634" t="s">
        <v>6179</v>
      </c>
      <c r="F1118" s="8634" t="s">
        <v>6180</v>
      </c>
      <c r="G1118" s="8634" t="s">
        <v>6181</v>
      </c>
      <c r="H1118" s="8634" t="s">
        <v>24</v>
      </c>
      <c r="I1118" s="8634" t="s">
        <v>722</v>
      </c>
    </row>
    <row customHeight="1" ht="11.25">
      <c r="A1119" s="8634" t="s">
        <v>2182</v>
      </c>
      <c r="B1119" s="8634" t="s">
        <v>14</v>
      </c>
      <c r="C1119" s="8634" t="s">
        <v>6182</v>
      </c>
      <c r="D1119" s="8634" t="s">
        <v>6183</v>
      </c>
      <c r="E1119" s="8634" t="s">
        <v>6184</v>
      </c>
      <c r="F1119" s="8634" t="s">
        <v>6185</v>
      </c>
      <c r="G1119" s="8634" t="s">
        <v>24</v>
      </c>
      <c r="H1119" s="8634" t="s">
        <v>2187</v>
      </c>
      <c r="I1119" s="8634" t="s">
        <v>722</v>
      </c>
    </row>
    <row customHeight="1" ht="11.25">
      <c r="A1120" s="8634" t="s">
        <v>2182</v>
      </c>
      <c r="B1120" s="8634" t="s">
        <v>14</v>
      </c>
      <c r="C1120" s="8634" t="s">
        <v>6186</v>
      </c>
      <c r="D1120" s="8634" t="s">
        <v>44</v>
      </c>
      <c r="E1120" s="8634" t="s">
        <v>47</v>
      </c>
      <c r="F1120" s="8634" t="s">
        <v>49</v>
      </c>
      <c r="G1120" s="8634" t="s">
        <v>6187</v>
      </c>
      <c r="H1120" s="8634" t="s">
        <v>24</v>
      </c>
      <c r="I1120" s="8634" t="s">
        <v>722</v>
      </c>
    </row>
    <row customHeight="1" ht="11.25">
      <c r="A1121" s="8634" t="s">
        <v>2182</v>
      </c>
      <c r="B1121" s="8634" t="s">
        <v>14</v>
      </c>
      <c r="C1121" s="8634" t="s">
        <v>6188</v>
      </c>
      <c r="D1121" s="8634" t="s">
        <v>6189</v>
      </c>
      <c r="E1121" s="8634" t="s">
        <v>6190</v>
      </c>
      <c r="F1121" s="8634" t="s">
        <v>6191</v>
      </c>
      <c r="G1121" s="8634" t="s">
        <v>6192</v>
      </c>
      <c r="H1121" s="8634" t="s">
        <v>24</v>
      </c>
      <c r="I1121" s="8634" t="s">
        <v>722</v>
      </c>
    </row>
    <row customHeight="1" ht="11.25">
      <c r="A1122" s="8634" t="s">
        <v>2182</v>
      </c>
      <c r="B1122" s="8634" t="s">
        <v>14</v>
      </c>
      <c r="C1122" s="8634" t="s">
        <v>6193</v>
      </c>
      <c r="D1122" s="8634" t="s">
        <v>6194</v>
      </c>
      <c r="E1122" s="8634" t="s">
        <v>6195</v>
      </c>
      <c r="F1122" s="8634" t="s">
        <v>2721</v>
      </c>
      <c r="G1122" s="8634" t="s">
        <v>24</v>
      </c>
      <c r="H1122" s="8634" t="s">
        <v>2400</v>
      </c>
      <c r="I1122" s="8634" t="s">
        <v>722</v>
      </c>
    </row>
    <row customHeight="1" ht="11.25">
      <c r="A1123" s="8634" t="s">
        <v>2182</v>
      </c>
      <c r="B1123" s="8634" t="s">
        <v>14</v>
      </c>
      <c r="C1123" s="8634" t="s">
        <v>6196</v>
      </c>
      <c r="D1123" s="8634" t="s">
        <v>6197</v>
      </c>
      <c r="E1123" s="8634" t="s">
        <v>6198</v>
      </c>
      <c r="F1123" s="8634" t="s">
        <v>6199</v>
      </c>
      <c r="G1123" s="8634" t="s">
        <v>6200</v>
      </c>
      <c r="H1123" s="8634" t="s">
        <v>24</v>
      </c>
      <c r="I1123" s="8634" t="s">
        <v>722</v>
      </c>
    </row>
    <row customHeight="1" ht="11.25">
      <c r="A1124" s="8634" t="s">
        <v>2182</v>
      </c>
      <c r="B1124" s="8634" t="s">
        <v>14</v>
      </c>
      <c r="C1124" s="8634" t="s">
        <v>6201</v>
      </c>
      <c r="D1124" s="8634" t="s">
        <v>6202</v>
      </c>
      <c r="E1124" s="8634" t="s">
        <v>6203</v>
      </c>
      <c r="F1124" s="8634" t="s">
        <v>6204</v>
      </c>
      <c r="G1124" s="8634" t="s">
        <v>6205</v>
      </c>
      <c r="H1124" s="8634" t="s">
        <v>24</v>
      </c>
      <c r="I1124" s="8634" t="s">
        <v>722</v>
      </c>
    </row>
    <row customHeight="1" ht="11.25">
      <c r="A1125" s="8634" t="s">
        <v>2182</v>
      </c>
      <c r="B1125" s="8634" t="s">
        <v>14</v>
      </c>
      <c r="C1125" s="8634" t="s">
        <v>6206</v>
      </c>
      <c r="D1125" s="8634" t="s">
        <v>6207</v>
      </c>
      <c r="E1125" s="8634" t="s">
        <v>3020</v>
      </c>
      <c r="F1125" s="8634" t="s">
        <v>6208</v>
      </c>
      <c r="G1125" s="8634" t="s">
        <v>6209</v>
      </c>
      <c r="H1125" s="8634" t="s">
        <v>2187</v>
      </c>
      <c r="I1125" s="8634" t="s">
        <v>722</v>
      </c>
    </row>
    <row customHeight="1" ht="11.25">
      <c r="A1126" s="8634" t="s">
        <v>2182</v>
      </c>
      <c r="B1126" s="8634" t="s">
        <v>14</v>
      </c>
      <c r="C1126" s="8634" t="s">
        <v>6210</v>
      </c>
      <c r="D1126" s="8634" t="s">
        <v>6211</v>
      </c>
      <c r="E1126" s="8634" t="s">
        <v>6212</v>
      </c>
      <c r="F1126" s="8634" t="s">
        <v>6213</v>
      </c>
      <c r="G1126" s="8634" t="s">
        <v>6214</v>
      </c>
      <c r="H1126" s="8634" t="s">
        <v>2187</v>
      </c>
      <c r="I1126" s="8634" t="s">
        <v>722</v>
      </c>
    </row>
    <row customHeight="1" ht="11.25">
      <c r="A1127" s="8634" t="s">
        <v>2182</v>
      </c>
      <c r="B1127" s="8634" t="s">
        <v>14</v>
      </c>
      <c r="C1127" s="8634" t="s">
        <v>6215</v>
      </c>
      <c r="D1127" s="8634" t="s">
        <v>6216</v>
      </c>
      <c r="E1127" s="8634" t="s">
        <v>6217</v>
      </c>
      <c r="F1127" s="8634" t="s">
        <v>6218</v>
      </c>
      <c r="G1127" s="8634" t="s">
        <v>24</v>
      </c>
      <c r="H1127" s="8634" t="s">
        <v>24</v>
      </c>
      <c r="I1127" s="8634" t="s">
        <v>722</v>
      </c>
    </row>
    <row customHeight="1" ht="11.25">
      <c r="A1128" s="8634" t="s">
        <v>2182</v>
      </c>
      <c r="B1128" s="8634" t="s">
        <v>14</v>
      </c>
      <c r="C1128" s="8634" t="s">
        <v>6219</v>
      </c>
      <c r="D1128" s="8634" t="s">
        <v>6220</v>
      </c>
      <c r="E1128" s="8634" t="s">
        <v>6221</v>
      </c>
      <c r="F1128" s="8634" t="s">
        <v>2322</v>
      </c>
      <c r="G1128" s="8634" t="s">
        <v>24</v>
      </c>
      <c r="H1128" s="8634" t="s">
        <v>24</v>
      </c>
      <c r="I1128" s="8634" t="s">
        <v>722</v>
      </c>
    </row>
    <row customHeight="1" ht="11.25">
      <c r="A1129" s="8634" t="s">
        <v>2182</v>
      </c>
      <c r="B1129" s="8634" t="s">
        <v>14</v>
      </c>
      <c r="C1129" s="8634" t="s">
        <v>6222</v>
      </c>
      <c r="D1129" s="8634" t="s">
        <v>6223</v>
      </c>
      <c r="E1129" s="8634" t="s">
        <v>5171</v>
      </c>
      <c r="F1129" s="8634" t="s">
        <v>6224</v>
      </c>
      <c r="G1129" s="8634" t="s">
        <v>24</v>
      </c>
      <c r="H1129" s="8634" t="s">
        <v>24</v>
      </c>
      <c r="I1129" s="8634" t="s">
        <v>722</v>
      </c>
    </row>
    <row customHeight="1" ht="11.25">
      <c r="A1130" s="8634" t="s">
        <v>2182</v>
      </c>
      <c r="B1130" s="8634" t="s">
        <v>14</v>
      </c>
      <c r="C1130" s="8634" t="s">
        <v>6225</v>
      </c>
      <c r="D1130" s="8634" t="s">
        <v>6226</v>
      </c>
      <c r="E1130" s="8634" t="s">
        <v>5698</v>
      </c>
      <c r="F1130" s="8634" t="s">
        <v>6227</v>
      </c>
      <c r="G1130" s="8634" t="s">
        <v>24</v>
      </c>
      <c r="H1130" s="8634" t="s">
        <v>24</v>
      </c>
      <c r="I1130" s="8634" t="s">
        <v>722</v>
      </c>
    </row>
    <row customHeight="1" ht="11.25">
      <c r="A1131" s="8634" t="s">
        <v>2182</v>
      </c>
      <c r="B1131" s="8634" t="s">
        <v>14</v>
      </c>
      <c r="C1131" s="8634" t="s">
        <v>6228</v>
      </c>
      <c r="D1131" s="8634" t="s">
        <v>6229</v>
      </c>
      <c r="E1131" s="8634" t="s">
        <v>6230</v>
      </c>
      <c r="F1131" s="8634" t="s">
        <v>6231</v>
      </c>
      <c r="G1131" s="8634" t="s">
        <v>6232</v>
      </c>
      <c r="H1131" s="8634" t="s">
        <v>24</v>
      </c>
      <c r="I1131" s="8634" t="s">
        <v>722</v>
      </c>
    </row>
    <row customHeight="1" ht="11.25">
      <c r="A1132" s="8634" t="s">
        <v>2182</v>
      </c>
      <c r="B1132" s="8634" t="s">
        <v>14</v>
      </c>
      <c r="C1132" s="8634" t="s">
        <v>6233</v>
      </c>
      <c r="D1132" s="8634" t="s">
        <v>6234</v>
      </c>
      <c r="E1132" s="8634" t="s">
        <v>6235</v>
      </c>
      <c r="F1132" s="8634" t="s">
        <v>2322</v>
      </c>
      <c r="G1132" s="8634" t="s">
        <v>24</v>
      </c>
      <c r="H1132" s="8634" t="s">
        <v>2187</v>
      </c>
      <c r="I1132" s="8634" t="s">
        <v>722</v>
      </c>
    </row>
    <row customHeight="1" ht="11.25">
      <c r="A1133" s="8634" t="s">
        <v>2182</v>
      </c>
      <c r="B1133" s="8634" t="s">
        <v>14</v>
      </c>
      <c r="C1133" s="8634" t="s">
        <v>6236</v>
      </c>
      <c r="D1133" s="8634" t="s">
        <v>6237</v>
      </c>
      <c r="E1133" s="8634" t="s">
        <v>6238</v>
      </c>
      <c r="F1133" s="8634" t="s">
        <v>2721</v>
      </c>
      <c r="G1133" s="8634" t="s">
        <v>6239</v>
      </c>
      <c r="H1133" s="8634" t="s">
        <v>24</v>
      </c>
      <c r="I1133" s="8634" t="s">
        <v>722</v>
      </c>
    </row>
    <row customHeight="1" ht="11.25">
      <c r="A1134" s="8634" t="s">
        <v>2182</v>
      </c>
      <c r="B1134" s="8634" t="s">
        <v>14</v>
      </c>
      <c r="C1134" s="8634" t="s">
        <v>6240</v>
      </c>
      <c r="D1134" s="8634" t="s">
        <v>6241</v>
      </c>
      <c r="E1134" s="8634" t="s">
        <v>5171</v>
      </c>
      <c r="F1134" s="8634" t="s">
        <v>6242</v>
      </c>
      <c r="G1134" s="8634" t="s">
        <v>24</v>
      </c>
      <c r="H1134" s="8634" t="s">
        <v>24</v>
      </c>
      <c r="I1134" s="8634" t="s">
        <v>722</v>
      </c>
    </row>
    <row customHeight="1" ht="11.25">
      <c r="A1135" s="8634" t="s">
        <v>2182</v>
      </c>
      <c r="B1135" s="8634" t="s">
        <v>14</v>
      </c>
      <c r="C1135" s="8634" t="s">
        <v>6243</v>
      </c>
      <c r="D1135" s="8634" t="s">
        <v>6244</v>
      </c>
      <c r="E1135" s="8634" t="s">
        <v>6245</v>
      </c>
      <c r="F1135" s="8634" t="s">
        <v>2213</v>
      </c>
      <c r="G1135" s="8634" t="s">
        <v>24</v>
      </c>
      <c r="H1135" s="8634" t="s">
        <v>2187</v>
      </c>
      <c r="I1135" s="8634" t="s">
        <v>722</v>
      </c>
    </row>
    <row customHeight="1" ht="11.25">
      <c r="A1136" s="8634" t="s">
        <v>2182</v>
      </c>
      <c r="B1136" s="8634" t="s">
        <v>14</v>
      </c>
      <c r="C1136" s="8634" t="s">
        <v>6246</v>
      </c>
      <c r="D1136" s="8634" t="s">
        <v>6247</v>
      </c>
      <c r="E1136" s="8634" t="s">
        <v>2393</v>
      </c>
      <c r="F1136" s="8634" t="s">
        <v>2976</v>
      </c>
      <c r="G1136" s="8634" t="s">
        <v>24</v>
      </c>
      <c r="H1136" s="8634" t="s">
        <v>2187</v>
      </c>
      <c r="I1136" s="8634" t="s">
        <v>722</v>
      </c>
    </row>
    <row customHeight="1" ht="11.25">
      <c r="A1137" s="8634" t="s">
        <v>2182</v>
      </c>
      <c r="B1137" s="8634" t="s">
        <v>14</v>
      </c>
      <c r="C1137" s="8634" t="s">
        <v>6248</v>
      </c>
      <c r="D1137" s="8634" t="s">
        <v>6249</v>
      </c>
      <c r="E1137" s="8634" t="s">
        <v>6250</v>
      </c>
      <c r="F1137" s="8634" t="s">
        <v>2948</v>
      </c>
      <c r="G1137" s="8634" t="s">
        <v>24</v>
      </c>
      <c r="H1137" s="8634" t="s">
        <v>24</v>
      </c>
      <c r="I1137" s="8634" t="s">
        <v>722</v>
      </c>
    </row>
    <row customHeight="1" ht="11.25">
      <c r="A1138" s="8634" t="s">
        <v>2182</v>
      </c>
      <c r="B1138" s="8634" t="s">
        <v>14</v>
      </c>
      <c r="C1138" s="8634" t="s">
        <v>6251</v>
      </c>
      <c r="D1138" s="8634" t="s">
        <v>6252</v>
      </c>
      <c r="E1138" s="8634" t="s">
        <v>5777</v>
      </c>
      <c r="F1138" s="8634" t="s">
        <v>6253</v>
      </c>
      <c r="G1138" s="8634" t="s">
        <v>24</v>
      </c>
      <c r="H1138" s="8634" t="s">
        <v>24</v>
      </c>
      <c r="I1138" s="8634" t="s">
        <v>722</v>
      </c>
    </row>
    <row customHeight="1" ht="11.25">
      <c r="A1139" s="8634" t="s">
        <v>2182</v>
      </c>
      <c r="B1139" s="8634" t="s">
        <v>14</v>
      </c>
      <c r="C1139" s="8634" t="s">
        <v>6254</v>
      </c>
      <c r="D1139" s="8634" t="s">
        <v>6255</v>
      </c>
      <c r="E1139" s="8634" t="s">
        <v>2325</v>
      </c>
      <c r="F1139" s="8634" t="s">
        <v>2688</v>
      </c>
      <c r="G1139" s="8634" t="s">
        <v>24</v>
      </c>
      <c r="H1139" s="8634" t="s">
        <v>24</v>
      </c>
      <c r="I1139" s="8634" t="s">
        <v>809</v>
      </c>
    </row>
    <row customHeight="1" ht="11.25">
      <c r="A1140" s="8634" t="s">
        <v>2182</v>
      </c>
      <c r="B1140" s="8634" t="s">
        <v>14</v>
      </c>
      <c r="C1140" s="8634" t="s">
        <v>2197</v>
      </c>
      <c r="D1140" s="8634" t="s">
        <v>2198</v>
      </c>
      <c r="E1140" s="8634" t="s">
        <v>2199</v>
      </c>
      <c r="F1140" s="8634" t="s">
        <v>2200</v>
      </c>
      <c r="G1140" s="8634" t="s">
        <v>2201</v>
      </c>
      <c r="H1140" s="8634" t="s">
        <v>24</v>
      </c>
      <c r="I1140" s="8634" t="s">
        <v>809</v>
      </c>
    </row>
    <row customHeight="1" ht="11.25">
      <c r="A1141" s="8634" t="s">
        <v>2182</v>
      </c>
      <c r="B1141" s="8634" t="s">
        <v>14</v>
      </c>
      <c r="C1141" s="8634" t="s">
        <v>2202</v>
      </c>
      <c r="D1141" s="8634" t="s">
        <v>2203</v>
      </c>
      <c r="E1141" s="8634" t="s">
        <v>2194</v>
      </c>
      <c r="F1141" s="8634" t="s">
        <v>2204</v>
      </c>
      <c r="G1141" s="8634" t="s">
        <v>24</v>
      </c>
      <c r="H1141" s="8634" t="s">
        <v>2196</v>
      </c>
      <c r="I1141" s="8634" t="s">
        <v>809</v>
      </c>
    </row>
    <row customHeight="1" ht="11.25">
      <c r="A1142" s="8634" t="s">
        <v>2182</v>
      </c>
      <c r="B1142" s="8634" t="s">
        <v>14</v>
      </c>
      <c r="C1142" s="8634" t="s">
        <v>2215</v>
      </c>
      <c r="D1142" s="8634" t="s">
        <v>2216</v>
      </c>
      <c r="E1142" s="8634" t="s">
        <v>2217</v>
      </c>
      <c r="F1142" s="8634" t="s">
        <v>2218</v>
      </c>
      <c r="G1142" s="8634" t="s">
        <v>2219</v>
      </c>
      <c r="H1142" s="8634" t="s">
        <v>24</v>
      </c>
      <c r="I1142" s="8634" t="s">
        <v>809</v>
      </c>
    </row>
    <row customHeight="1" ht="11.25">
      <c r="A1143" s="8634" t="s">
        <v>2182</v>
      </c>
      <c r="B1143" s="8634" t="s">
        <v>14</v>
      </c>
      <c r="C1143" s="8634" t="s">
        <v>2220</v>
      </c>
      <c r="D1143" s="8634" t="s">
        <v>2221</v>
      </c>
      <c r="E1143" s="8634" t="s">
        <v>2222</v>
      </c>
      <c r="F1143" s="8634" t="s">
        <v>2223</v>
      </c>
      <c r="G1143" s="8634" t="s">
        <v>2224</v>
      </c>
      <c r="H1143" s="8634" t="s">
        <v>24</v>
      </c>
      <c r="I1143" s="8634" t="s">
        <v>809</v>
      </c>
    </row>
    <row customHeight="1" ht="11.25">
      <c r="A1144" s="8634" t="s">
        <v>2182</v>
      </c>
      <c r="B1144" s="8634" t="s">
        <v>14</v>
      </c>
      <c r="C1144" s="8634" t="s">
        <v>2225</v>
      </c>
      <c r="D1144" s="8634" t="s">
        <v>2226</v>
      </c>
      <c r="E1144" s="8634" t="s">
        <v>2227</v>
      </c>
      <c r="F1144" s="8634" t="s">
        <v>2228</v>
      </c>
      <c r="G1144" s="8634" t="s">
        <v>2229</v>
      </c>
      <c r="H1144" s="8634" t="s">
        <v>24</v>
      </c>
      <c r="I1144" s="8634" t="s">
        <v>809</v>
      </c>
    </row>
    <row customHeight="1" ht="11.25">
      <c r="A1145" s="8634" t="s">
        <v>2182</v>
      </c>
      <c r="B1145" s="8634" t="s">
        <v>14</v>
      </c>
      <c r="C1145" s="8634" t="s">
        <v>2239</v>
      </c>
      <c r="D1145" s="8634" t="s">
        <v>2240</v>
      </c>
      <c r="E1145" s="8634" t="s">
        <v>2241</v>
      </c>
      <c r="F1145" s="8634" t="s">
        <v>2213</v>
      </c>
      <c r="G1145" s="8634" t="s">
        <v>24</v>
      </c>
      <c r="H1145" s="8634" t="s">
        <v>24</v>
      </c>
      <c r="I1145" s="8634" t="s">
        <v>809</v>
      </c>
    </row>
    <row customHeight="1" ht="11.25">
      <c r="A1146" s="8634" t="s">
        <v>2182</v>
      </c>
      <c r="B1146" s="8634" t="s">
        <v>14</v>
      </c>
      <c r="C1146" s="8634" t="s">
        <v>2247</v>
      </c>
      <c r="D1146" s="8634" t="s">
        <v>2248</v>
      </c>
      <c r="E1146" s="8634" t="s">
        <v>2249</v>
      </c>
      <c r="F1146" s="8634" t="s">
        <v>2250</v>
      </c>
      <c r="G1146" s="8634" t="s">
        <v>2251</v>
      </c>
      <c r="H1146" s="8634" t="s">
        <v>2252</v>
      </c>
      <c r="I1146" s="8634" t="s">
        <v>809</v>
      </c>
    </row>
    <row customHeight="1" ht="11.25">
      <c r="A1147" s="8634" t="s">
        <v>2182</v>
      </c>
      <c r="B1147" s="8634" t="s">
        <v>14</v>
      </c>
      <c r="C1147" s="8634" t="s">
        <v>2253</v>
      </c>
      <c r="D1147" s="8634" t="s">
        <v>2254</v>
      </c>
      <c r="E1147" s="8634" t="s">
        <v>2255</v>
      </c>
      <c r="F1147" s="8634" t="s">
        <v>2228</v>
      </c>
      <c r="G1147" s="8634" t="s">
        <v>2256</v>
      </c>
      <c r="H1147" s="8634" t="s">
        <v>24</v>
      </c>
      <c r="I1147" s="8634" t="s">
        <v>809</v>
      </c>
    </row>
    <row customHeight="1" ht="11.25">
      <c r="A1148" s="8634" t="s">
        <v>2182</v>
      </c>
      <c r="B1148" s="8634" t="s">
        <v>14</v>
      </c>
      <c r="C1148" s="8634" t="s">
        <v>2257</v>
      </c>
      <c r="D1148" s="8634" t="s">
        <v>2258</v>
      </c>
      <c r="E1148" s="8634" t="s">
        <v>2259</v>
      </c>
      <c r="F1148" s="8634" t="s">
        <v>2218</v>
      </c>
      <c r="G1148" s="8634" t="s">
        <v>2260</v>
      </c>
      <c r="H1148" s="8634" t="s">
        <v>24</v>
      </c>
      <c r="I1148" s="8634" t="s">
        <v>809</v>
      </c>
    </row>
    <row customHeight="1" ht="11.25">
      <c r="A1149" s="8634" t="s">
        <v>2182</v>
      </c>
      <c r="B1149" s="8634" t="s">
        <v>14</v>
      </c>
      <c r="C1149" s="8634" t="s">
        <v>2261</v>
      </c>
      <c r="D1149" s="8634" t="s">
        <v>2262</v>
      </c>
      <c r="E1149" s="8634" t="s">
        <v>2263</v>
      </c>
      <c r="F1149" s="8634" t="s">
        <v>2264</v>
      </c>
      <c r="G1149" s="8634" t="s">
        <v>2265</v>
      </c>
      <c r="H1149" s="8634" t="s">
        <v>24</v>
      </c>
      <c r="I1149" s="8634" t="s">
        <v>809</v>
      </c>
    </row>
    <row customHeight="1" ht="11.25">
      <c r="A1150" s="8634" t="s">
        <v>2182</v>
      </c>
      <c r="B1150" s="8634" t="s">
        <v>14</v>
      </c>
      <c r="C1150" s="8634" t="s">
        <v>2266</v>
      </c>
      <c r="D1150" s="8634" t="s">
        <v>2267</v>
      </c>
      <c r="E1150" s="8634" t="s">
        <v>2268</v>
      </c>
      <c r="F1150" s="8634" t="s">
        <v>2269</v>
      </c>
      <c r="G1150" s="8634" t="s">
        <v>2270</v>
      </c>
      <c r="H1150" s="8634" t="s">
        <v>24</v>
      </c>
      <c r="I1150" s="8634" t="s">
        <v>809</v>
      </c>
    </row>
    <row customHeight="1" ht="11.25">
      <c r="A1151" s="8634" t="s">
        <v>2182</v>
      </c>
      <c r="B1151" s="8634" t="s">
        <v>14</v>
      </c>
      <c r="C1151" s="8634" t="s">
        <v>2271</v>
      </c>
      <c r="D1151" s="8634" t="s">
        <v>2272</v>
      </c>
      <c r="E1151" s="8634" t="s">
        <v>2273</v>
      </c>
      <c r="F1151" s="8634" t="s">
        <v>2274</v>
      </c>
      <c r="G1151" s="8634" t="s">
        <v>2275</v>
      </c>
      <c r="H1151" s="8634" t="s">
        <v>24</v>
      </c>
      <c r="I1151" s="8634" t="s">
        <v>809</v>
      </c>
    </row>
    <row customHeight="1" ht="11.25">
      <c r="A1152" s="8634" t="s">
        <v>2182</v>
      </c>
      <c r="B1152" s="8634" t="s">
        <v>14</v>
      </c>
      <c r="C1152" s="8634" t="s">
        <v>2281</v>
      </c>
      <c r="D1152" s="8634" t="s">
        <v>2282</v>
      </c>
      <c r="E1152" s="8634" t="s">
        <v>2283</v>
      </c>
      <c r="F1152" s="8634" t="s">
        <v>2284</v>
      </c>
      <c r="G1152" s="8634" t="s">
        <v>2285</v>
      </c>
      <c r="H1152" s="8634" t="s">
        <v>24</v>
      </c>
      <c r="I1152" s="8634" t="s">
        <v>809</v>
      </c>
    </row>
    <row customHeight="1" ht="11.25">
      <c r="A1153" s="8634" t="s">
        <v>2182</v>
      </c>
      <c r="B1153" s="8634" t="s">
        <v>14</v>
      </c>
      <c r="C1153" s="8634" t="s">
        <v>2286</v>
      </c>
      <c r="D1153" s="8634" t="s">
        <v>2287</v>
      </c>
      <c r="E1153" s="8634" t="s">
        <v>2288</v>
      </c>
      <c r="F1153" s="8634" t="s">
        <v>2218</v>
      </c>
      <c r="G1153" s="8634" t="s">
        <v>2289</v>
      </c>
      <c r="H1153" s="8634" t="s">
        <v>24</v>
      </c>
      <c r="I1153" s="8634" t="s">
        <v>809</v>
      </c>
    </row>
    <row customHeight="1" ht="11.25">
      <c r="A1154" s="8634" t="s">
        <v>2182</v>
      </c>
      <c r="B1154" s="8634" t="s">
        <v>14</v>
      </c>
      <c r="C1154" s="8634" t="s">
        <v>2297</v>
      </c>
      <c r="D1154" s="8634" t="s">
        <v>2298</v>
      </c>
      <c r="E1154" s="8634" t="s">
        <v>2299</v>
      </c>
      <c r="F1154" s="8634" t="s">
        <v>2300</v>
      </c>
      <c r="G1154" s="8634" t="s">
        <v>2301</v>
      </c>
      <c r="H1154" s="8634" t="s">
        <v>24</v>
      </c>
      <c r="I1154" s="8634" t="s">
        <v>809</v>
      </c>
    </row>
    <row customHeight="1" ht="11.25">
      <c r="A1155" s="8634" t="s">
        <v>2182</v>
      </c>
      <c r="B1155" s="8634" t="s">
        <v>14</v>
      </c>
      <c r="C1155" s="8634" t="s">
        <v>2315</v>
      </c>
      <c r="D1155" s="8634" t="s">
        <v>2316</v>
      </c>
      <c r="E1155" s="8634" t="s">
        <v>2317</v>
      </c>
      <c r="F1155" s="8634" t="s">
        <v>2318</v>
      </c>
      <c r="G1155" s="8634" t="s">
        <v>24</v>
      </c>
      <c r="H1155" s="8634" t="s">
        <v>24</v>
      </c>
      <c r="I1155" s="8634" t="s">
        <v>809</v>
      </c>
    </row>
    <row customHeight="1" ht="11.25">
      <c r="A1156" s="8634" t="s">
        <v>2182</v>
      </c>
      <c r="B1156" s="8634" t="s">
        <v>14</v>
      </c>
      <c r="C1156" s="8634" t="s">
        <v>2331</v>
      </c>
      <c r="D1156" s="8634" t="s">
        <v>2332</v>
      </c>
      <c r="E1156" s="8634" t="s">
        <v>2333</v>
      </c>
      <c r="F1156" s="8634" t="s">
        <v>2334</v>
      </c>
      <c r="G1156" s="8634" t="s">
        <v>2335</v>
      </c>
      <c r="H1156" s="8634" t="s">
        <v>24</v>
      </c>
      <c r="I1156" s="8634" t="s">
        <v>809</v>
      </c>
    </row>
    <row customHeight="1" ht="11.25">
      <c r="A1157" s="8634" t="s">
        <v>2182</v>
      </c>
      <c r="B1157" s="8634" t="s">
        <v>14</v>
      </c>
      <c r="C1157" s="8634" t="s">
        <v>2336</v>
      </c>
      <c r="D1157" s="8634" t="s">
        <v>2337</v>
      </c>
      <c r="E1157" s="8634" t="s">
        <v>2338</v>
      </c>
      <c r="F1157" s="8634" t="s">
        <v>2339</v>
      </c>
      <c r="G1157" s="8634" t="s">
        <v>2340</v>
      </c>
      <c r="H1157" s="8634" t="s">
        <v>24</v>
      </c>
      <c r="I1157" s="8634" t="s">
        <v>809</v>
      </c>
    </row>
    <row customHeight="1" ht="11.25">
      <c r="A1158" s="8634" t="s">
        <v>2182</v>
      </c>
      <c r="B1158" s="8634" t="s">
        <v>14</v>
      </c>
      <c r="C1158" s="8634" t="s">
        <v>2351</v>
      </c>
      <c r="D1158" s="8634" t="s">
        <v>2352</v>
      </c>
      <c r="E1158" s="8634" t="s">
        <v>2353</v>
      </c>
      <c r="F1158" s="8634" t="s">
        <v>2354</v>
      </c>
      <c r="G1158" s="8634" t="s">
        <v>2355</v>
      </c>
      <c r="H1158" s="8634" t="s">
        <v>24</v>
      </c>
      <c r="I1158" s="8634" t="s">
        <v>809</v>
      </c>
    </row>
    <row customHeight="1" ht="11.25">
      <c r="A1159" s="8634" t="s">
        <v>2182</v>
      </c>
      <c r="B1159" s="8634" t="s">
        <v>14</v>
      </c>
      <c r="C1159" s="8634" t="s">
        <v>2356</v>
      </c>
      <c r="D1159" s="8634" t="s">
        <v>2357</v>
      </c>
      <c r="E1159" s="8634" t="s">
        <v>2358</v>
      </c>
      <c r="F1159" s="8634" t="s">
        <v>2213</v>
      </c>
      <c r="G1159" s="8634" t="s">
        <v>2359</v>
      </c>
      <c r="H1159" s="8634" t="s">
        <v>24</v>
      </c>
      <c r="I1159" s="8634" t="s">
        <v>809</v>
      </c>
    </row>
    <row customHeight="1" ht="11.25">
      <c r="A1160" s="8634" t="s">
        <v>2182</v>
      </c>
      <c r="B1160" s="8634" t="s">
        <v>14</v>
      </c>
      <c r="C1160" s="8634" t="s">
        <v>2360</v>
      </c>
      <c r="D1160" s="8634" t="s">
        <v>2361</v>
      </c>
      <c r="E1160" s="8634" t="s">
        <v>2362</v>
      </c>
      <c r="F1160" s="8634" t="s">
        <v>2363</v>
      </c>
      <c r="G1160" s="8634" t="s">
        <v>2364</v>
      </c>
      <c r="H1160" s="8634" t="s">
        <v>24</v>
      </c>
      <c r="I1160" s="8634" t="s">
        <v>809</v>
      </c>
    </row>
    <row customHeight="1" ht="11.25">
      <c r="A1161" s="8634" t="s">
        <v>2182</v>
      </c>
      <c r="B1161" s="8634" t="s">
        <v>14</v>
      </c>
      <c r="C1161" s="8634" t="s">
        <v>2365</v>
      </c>
      <c r="D1161" s="8634" t="s">
        <v>2366</v>
      </c>
      <c r="E1161" s="8634" t="s">
        <v>2367</v>
      </c>
      <c r="F1161" s="8634" t="s">
        <v>2339</v>
      </c>
      <c r="G1161" s="8634" t="s">
        <v>2368</v>
      </c>
      <c r="H1161" s="8634" t="s">
        <v>24</v>
      </c>
      <c r="I1161" s="8634" t="s">
        <v>809</v>
      </c>
    </row>
    <row customHeight="1" ht="11.25">
      <c r="A1162" s="8634" t="s">
        <v>2182</v>
      </c>
      <c r="B1162" s="8634" t="s">
        <v>14</v>
      </c>
      <c r="C1162" s="8634" t="s">
        <v>2369</v>
      </c>
      <c r="D1162" s="8634" t="s">
        <v>2370</v>
      </c>
      <c r="E1162" s="8634" t="s">
        <v>2371</v>
      </c>
      <c r="F1162" s="8634" t="s">
        <v>2334</v>
      </c>
      <c r="G1162" s="8634" t="s">
        <v>2372</v>
      </c>
      <c r="H1162" s="8634" t="s">
        <v>24</v>
      </c>
      <c r="I1162" s="8634" t="s">
        <v>809</v>
      </c>
    </row>
    <row customHeight="1" ht="11.25">
      <c r="A1163" s="8634" t="s">
        <v>2182</v>
      </c>
      <c r="B1163" s="8634" t="s">
        <v>14</v>
      </c>
      <c r="C1163" s="8634" t="s">
        <v>2382</v>
      </c>
      <c r="D1163" s="8634" t="s">
        <v>2383</v>
      </c>
      <c r="E1163" s="8634" t="s">
        <v>2384</v>
      </c>
      <c r="F1163" s="8634" t="s">
        <v>2339</v>
      </c>
      <c r="G1163" s="8634" t="s">
        <v>2385</v>
      </c>
      <c r="H1163" s="8634" t="s">
        <v>24</v>
      </c>
      <c r="I1163" s="8634" t="s">
        <v>809</v>
      </c>
    </row>
    <row customHeight="1" ht="11.25">
      <c r="A1164" s="8634" t="s">
        <v>2182</v>
      </c>
      <c r="B1164" s="8634" t="s">
        <v>14</v>
      </c>
      <c r="C1164" s="8634" t="s">
        <v>2391</v>
      </c>
      <c r="D1164" s="8634" t="s">
        <v>2392</v>
      </c>
      <c r="E1164" s="8634" t="s">
        <v>2393</v>
      </c>
      <c r="F1164" s="8634" t="s">
        <v>2394</v>
      </c>
      <c r="G1164" s="8634" t="s">
        <v>24</v>
      </c>
      <c r="H1164" s="8634" t="s">
        <v>24</v>
      </c>
      <c r="I1164" s="8634" t="s">
        <v>809</v>
      </c>
    </row>
    <row customHeight="1" ht="11.25">
      <c r="A1165" s="8634" t="s">
        <v>2182</v>
      </c>
      <c r="B1165" s="8634" t="s">
        <v>14</v>
      </c>
      <c r="C1165" s="8634" t="s">
        <v>2395</v>
      </c>
      <c r="D1165" s="8634" t="s">
        <v>2396</v>
      </c>
      <c r="E1165" s="8634" t="s">
        <v>2397</v>
      </c>
      <c r="F1165" s="8634" t="s">
        <v>2398</v>
      </c>
      <c r="G1165" s="8634" t="s">
        <v>2399</v>
      </c>
      <c r="H1165" s="8634" t="s">
        <v>2400</v>
      </c>
      <c r="I1165" s="8634" t="s">
        <v>809</v>
      </c>
    </row>
    <row customHeight="1" ht="11.25">
      <c r="A1166" s="8634" t="s">
        <v>2182</v>
      </c>
      <c r="B1166" s="8634" t="s">
        <v>14</v>
      </c>
      <c r="C1166" s="8634" t="s">
        <v>2401</v>
      </c>
      <c r="D1166" s="8634" t="s">
        <v>2402</v>
      </c>
      <c r="E1166" s="8634" t="s">
        <v>2403</v>
      </c>
      <c r="F1166" s="8634" t="s">
        <v>2404</v>
      </c>
      <c r="G1166" s="8634" t="s">
        <v>24</v>
      </c>
      <c r="H1166" s="8634" t="s">
        <v>24</v>
      </c>
      <c r="I1166" s="8634" t="s">
        <v>809</v>
      </c>
    </row>
    <row customHeight="1" ht="11.25">
      <c r="A1167" s="8634" t="s">
        <v>2182</v>
      </c>
      <c r="B1167" s="8634" t="s">
        <v>14</v>
      </c>
      <c r="C1167" s="8634" t="s">
        <v>2405</v>
      </c>
      <c r="D1167" s="8634" t="s">
        <v>2406</v>
      </c>
      <c r="E1167" s="8634" t="s">
        <v>2407</v>
      </c>
      <c r="F1167" s="8634" t="s">
        <v>2218</v>
      </c>
      <c r="G1167" s="8634" t="s">
        <v>24</v>
      </c>
      <c r="H1167" s="8634" t="s">
        <v>24</v>
      </c>
      <c r="I1167" s="8634" t="s">
        <v>809</v>
      </c>
    </row>
    <row customHeight="1" ht="11.25">
      <c r="A1168" s="8634" t="s">
        <v>2182</v>
      </c>
      <c r="B1168" s="8634" t="s">
        <v>14</v>
      </c>
      <c r="C1168" s="8634" t="s">
        <v>2413</v>
      </c>
      <c r="D1168" s="8634" t="s">
        <v>2414</v>
      </c>
      <c r="E1168" s="8634" t="s">
        <v>2415</v>
      </c>
      <c r="F1168" s="8634" t="s">
        <v>2269</v>
      </c>
      <c r="G1168" s="8634" t="s">
        <v>2416</v>
      </c>
      <c r="H1168" s="8634" t="s">
        <v>24</v>
      </c>
      <c r="I1168" s="8634" t="s">
        <v>809</v>
      </c>
    </row>
    <row customHeight="1" ht="11.25">
      <c r="A1169" s="8634" t="s">
        <v>2182</v>
      </c>
      <c r="B1169" s="8634" t="s">
        <v>14</v>
      </c>
      <c r="C1169" s="8634" t="s">
        <v>2417</v>
      </c>
      <c r="D1169" s="8634" t="s">
        <v>2418</v>
      </c>
      <c r="E1169" s="8634" t="s">
        <v>2419</v>
      </c>
      <c r="F1169" s="8634" t="s">
        <v>2228</v>
      </c>
      <c r="G1169" s="8634" t="s">
        <v>2420</v>
      </c>
      <c r="H1169" s="8634" t="s">
        <v>24</v>
      </c>
      <c r="I1169" s="8634" t="s">
        <v>809</v>
      </c>
    </row>
    <row customHeight="1" ht="11.25">
      <c r="A1170" s="8634" t="s">
        <v>2182</v>
      </c>
      <c r="B1170" s="8634" t="s">
        <v>14</v>
      </c>
      <c r="C1170" s="8634" t="s">
        <v>2421</v>
      </c>
      <c r="D1170" s="8634" t="s">
        <v>2422</v>
      </c>
      <c r="E1170" s="8634" t="s">
        <v>2423</v>
      </c>
      <c r="F1170" s="8634" t="s">
        <v>2245</v>
      </c>
      <c r="G1170" s="8634" t="s">
        <v>24</v>
      </c>
      <c r="H1170" s="8634" t="s">
        <v>24</v>
      </c>
      <c r="I1170" s="8634" t="s">
        <v>809</v>
      </c>
    </row>
    <row customHeight="1" ht="11.25">
      <c r="A1171" s="8634" t="s">
        <v>2182</v>
      </c>
      <c r="B1171" s="8634" t="s">
        <v>14</v>
      </c>
      <c r="C1171" s="8634" t="s">
        <v>2424</v>
      </c>
      <c r="D1171" s="8634" t="s">
        <v>2425</v>
      </c>
      <c r="E1171" s="8634" t="s">
        <v>2426</v>
      </c>
      <c r="F1171" s="8634" t="s">
        <v>2398</v>
      </c>
      <c r="G1171" s="8634" t="s">
        <v>2427</v>
      </c>
      <c r="H1171" s="8634" t="s">
        <v>24</v>
      </c>
      <c r="I1171" s="8634" t="s">
        <v>809</v>
      </c>
    </row>
    <row customHeight="1" ht="11.25">
      <c r="A1172" s="8634" t="s">
        <v>2182</v>
      </c>
      <c r="B1172" s="8634" t="s">
        <v>14</v>
      </c>
      <c r="C1172" s="8634" t="s">
        <v>2444</v>
      </c>
      <c r="D1172" s="8634" t="s">
        <v>2445</v>
      </c>
      <c r="E1172" s="8634" t="s">
        <v>2446</v>
      </c>
      <c r="F1172" s="8634" t="s">
        <v>2447</v>
      </c>
      <c r="G1172" s="8634" t="s">
        <v>2448</v>
      </c>
      <c r="H1172" s="8634" t="s">
        <v>24</v>
      </c>
      <c r="I1172" s="8634" t="s">
        <v>809</v>
      </c>
    </row>
    <row customHeight="1" ht="11.25">
      <c r="A1173" s="8634" t="s">
        <v>2182</v>
      </c>
      <c r="B1173" s="8634" t="s">
        <v>14</v>
      </c>
      <c r="C1173" s="8634" t="s">
        <v>2449</v>
      </c>
      <c r="D1173" s="8634" t="s">
        <v>2450</v>
      </c>
      <c r="E1173" s="8634" t="s">
        <v>2451</v>
      </c>
      <c r="F1173" s="8634" t="s">
        <v>2452</v>
      </c>
      <c r="G1173" s="8634" t="s">
        <v>24</v>
      </c>
      <c r="H1173" s="8634" t="s">
        <v>24</v>
      </c>
      <c r="I1173" s="8634" t="s">
        <v>809</v>
      </c>
    </row>
    <row customHeight="1" ht="11.25">
      <c r="A1174" s="8634" t="s">
        <v>2182</v>
      </c>
      <c r="B1174" s="8634" t="s">
        <v>14</v>
      </c>
      <c r="C1174" s="8634" t="s">
        <v>2453</v>
      </c>
      <c r="D1174" s="8634" t="s">
        <v>2454</v>
      </c>
      <c r="E1174" s="8634" t="s">
        <v>2455</v>
      </c>
      <c r="F1174" s="8634" t="s">
        <v>2398</v>
      </c>
      <c r="G1174" s="8634" t="s">
        <v>2456</v>
      </c>
      <c r="H1174" s="8634" t="s">
        <v>24</v>
      </c>
      <c r="I1174" s="8634" t="s">
        <v>809</v>
      </c>
    </row>
    <row customHeight="1" ht="11.25">
      <c r="A1175" s="8634" t="s">
        <v>2182</v>
      </c>
      <c r="B1175" s="8634" t="s">
        <v>14</v>
      </c>
      <c r="C1175" s="8634" t="s">
        <v>2466</v>
      </c>
      <c r="D1175" s="8634" t="s">
        <v>2467</v>
      </c>
      <c r="E1175" s="8634" t="s">
        <v>2468</v>
      </c>
      <c r="F1175" s="8634" t="s">
        <v>2469</v>
      </c>
      <c r="G1175" s="8634" t="s">
        <v>24</v>
      </c>
      <c r="H1175" s="8634" t="s">
        <v>24</v>
      </c>
      <c r="I1175" s="8634" t="s">
        <v>809</v>
      </c>
    </row>
    <row customHeight="1" ht="11.25">
      <c r="A1176" s="8634" t="s">
        <v>2182</v>
      </c>
      <c r="B1176" s="8634" t="s">
        <v>14</v>
      </c>
      <c r="C1176" s="8634" t="s">
        <v>2474</v>
      </c>
      <c r="D1176" s="8634" t="s">
        <v>2475</v>
      </c>
      <c r="E1176" s="8634" t="s">
        <v>2476</v>
      </c>
      <c r="F1176" s="8634" t="s">
        <v>2477</v>
      </c>
      <c r="G1176" s="8634" t="s">
        <v>2478</v>
      </c>
      <c r="H1176" s="8634" t="s">
        <v>24</v>
      </c>
      <c r="I1176" s="8634" t="s">
        <v>809</v>
      </c>
    </row>
    <row customHeight="1" ht="11.25">
      <c r="A1177" s="8634" t="s">
        <v>2182</v>
      </c>
      <c r="B1177" s="8634" t="s">
        <v>14</v>
      </c>
      <c r="C1177" s="8634" t="s">
        <v>2479</v>
      </c>
      <c r="D1177" s="8634" t="s">
        <v>2480</v>
      </c>
      <c r="E1177" s="8634" t="s">
        <v>2481</v>
      </c>
      <c r="F1177" s="8634" t="s">
        <v>2233</v>
      </c>
      <c r="G1177" s="8634" t="s">
        <v>2482</v>
      </c>
      <c r="H1177" s="8634" t="s">
        <v>24</v>
      </c>
      <c r="I1177" s="8634" t="s">
        <v>809</v>
      </c>
    </row>
    <row customHeight="1" ht="11.25">
      <c r="A1178" s="8634" t="s">
        <v>2182</v>
      </c>
      <c r="B1178" s="8634" t="s">
        <v>14</v>
      </c>
      <c r="C1178" s="8634" t="s">
        <v>2487</v>
      </c>
      <c r="D1178" s="8634" t="s">
        <v>2488</v>
      </c>
      <c r="E1178" s="8634" t="s">
        <v>2199</v>
      </c>
      <c r="F1178" s="8634" t="s">
        <v>2269</v>
      </c>
      <c r="G1178" s="8634" t="s">
        <v>2201</v>
      </c>
      <c r="H1178" s="8634" t="s">
        <v>24</v>
      </c>
      <c r="I1178" s="8634" t="s">
        <v>809</v>
      </c>
    </row>
    <row customHeight="1" ht="11.25">
      <c r="A1179" s="8634" t="s">
        <v>2182</v>
      </c>
      <c r="B1179" s="8634" t="s">
        <v>14</v>
      </c>
      <c r="C1179" s="8634" t="s">
        <v>2489</v>
      </c>
      <c r="D1179" s="8634" t="s">
        <v>2490</v>
      </c>
      <c r="E1179" s="8634" t="s">
        <v>2491</v>
      </c>
      <c r="F1179" s="8634" t="s">
        <v>2492</v>
      </c>
      <c r="G1179" s="8634" t="s">
        <v>2493</v>
      </c>
      <c r="H1179" s="8634" t="s">
        <v>24</v>
      </c>
      <c r="I1179" s="8634" t="s">
        <v>809</v>
      </c>
    </row>
    <row customHeight="1" ht="11.25">
      <c r="A1180" s="8634" t="s">
        <v>2182</v>
      </c>
      <c r="B1180" s="8634" t="s">
        <v>14</v>
      </c>
      <c r="C1180" s="8634" t="s">
        <v>2502</v>
      </c>
      <c r="D1180" s="8634" t="s">
        <v>2503</v>
      </c>
      <c r="E1180" s="8634" t="s">
        <v>2504</v>
      </c>
      <c r="F1180" s="8634" t="s">
        <v>2438</v>
      </c>
      <c r="G1180" s="8634" t="s">
        <v>2505</v>
      </c>
      <c r="H1180" s="8634" t="s">
        <v>24</v>
      </c>
      <c r="I1180" s="8634" t="s">
        <v>809</v>
      </c>
    </row>
    <row customHeight="1" ht="11.25">
      <c r="A1181" s="8634" t="s">
        <v>2182</v>
      </c>
      <c r="B1181" s="8634" t="s">
        <v>14</v>
      </c>
      <c r="C1181" s="8634" t="s">
        <v>2506</v>
      </c>
      <c r="D1181" s="8634" t="s">
        <v>2507</v>
      </c>
      <c r="E1181" s="8634" t="s">
        <v>2508</v>
      </c>
      <c r="F1181" s="8634" t="s">
        <v>2339</v>
      </c>
      <c r="G1181" s="8634" t="s">
        <v>24</v>
      </c>
      <c r="H1181" s="8634" t="s">
        <v>24</v>
      </c>
      <c r="I1181" s="8634" t="s">
        <v>809</v>
      </c>
    </row>
    <row customHeight="1" ht="11.25">
      <c r="A1182" s="8634" t="s">
        <v>2182</v>
      </c>
      <c r="B1182" s="8634" t="s">
        <v>14</v>
      </c>
      <c r="C1182" s="8634" t="s">
        <v>2514</v>
      </c>
      <c r="D1182" s="8634" t="s">
        <v>2515</v>
      </c>
      <c r="E1182" s="8634" t="s">
        <v>2516</v>
      </c>
      <c r="F1182" s="8634" t="s">
        <v>2411</v>
      </c>
      <c r="G1182" s="8634" t="s">
        <v>2517</v>
      </c>
      <c r="H1182" s="8634" t="s">
        <v>24</v>
      </c>
      <c r="I1182" s="8634" t="s">
        <v>809</v>
      </c>
    </row>
    <row customHeight="1" ht="11.25">
      <c r="A1183" s="8634" t="s">
        <v>2182</v>
      </c>
      <c r="B1183" s="8634" t="s">
        <v>14</v>
      </c>
      <c r="C1183" s="8634" t="s">
        <v>2522</v>
      </c>
      <c r="D1183" s="8634" t="s">
        <v>2523</v>
      </c>
      <c r="E1183" s="8634" t="s">
        <v>2524</v>
      </c>
      <c r="F1183" s="8634" t="s">
        <v>2477</v>
      </c>
      <c r="G1183" s="8634" t="s">
        <v>24</v>
      </c>
      <c r="H1183" s="8634" t="s">
        <v>24</v>
      </c>
      <c r="I1183" s="8634" t="s">
        <v>809</v>
      </c>
    </row>
    <row customHeight="1" ht="11.25">
      <c r="A1184" s="8634" t="s">
        <v>2182</v>
      </c>
      <c r="B1184" s="8634" t="s">
        <v>14</v>
      </c>
      <c r="C1184" s="8634" t="s">
        <v>2528</v>
      </c>
      <c r="D1184" s="8634" t="s">
        <v>2529</v>
      </c>
      <c r="E1184" s="8634" t="s">
        <v>2530</v>
      </c>
      <c r="F1184" s="8634" t="s">
        <v>2218</v>
      </c>
      <c r="G1184" s="8634" t="s">
        <v>2531</v>
      </c>
      <c r="H1184" s="8634" t="s">
        <v>24</v>
      </c>
      <c r="I1184" s="8634" t="s">
        <v>809</v>
      </c>
    </row>
    <row customHeight="1" ht="11.25">
      <c r="A1185" s="8634" t="s">
        <v>2182</v>
      </c>
      <c r="B1185" s="8634" t="s">
        <v>14</v>
      </c>
      <c r="C1185" s="8634" t="s">
        <v>2539</v>
      </c>
      <c r="D1185" s="8634" t="s">
        <v>2540</v>
      </c>
      <c r="E1185" s="8634" t="s">
        <v>2541</v>
      </c>
      <c r="F1185" s="8634" t="s">
        <v>2322</v>
      </c>
      <c r="G1185" s="8634" t="s">
        <v>24</v>
      </c>
      <c r="H1185" s="8634" t="s">
        <v>24</v>
      </c>
      <c r="I1185" s="8634" t="s">
        <v>809</v>
      </c>
    </row>
    <row customHeight="1" ht="11.25">
      <c r="A1186" s="8634" t="s">
        <v>2182</v>
      </c>
      <c r="B1186" s="8634" t="s">
        <v>14</v>
      </c>
      <c r="C1186" s="8634" t="s">
        <v>2542</v>
      </c>
      <c r="D1186" s="8634" t="s">
        <v>2543</v>
      </c>
      <c r="E1186" s="8634" t="s">
        <v>2544</v>
      </c>
      <c r="F1186" s="8634" t="s">
        <v>2363</v>
      </c>
      <c r="G1186" s="8634" t="s">
        <v>2545</v>
      </c>
      <c r="H1186" s="8634" t="s">
        <v>24</v>
      </c>
      <c r="I1186" s="8634" t="s">
        <v>809</v>
      </c>
    </row>
    <row customHeight="1" ht="11.25">
      <c r="A1187" s="8634" t="s">
        <v>2182</v>
      </c>
      <c r="B1187" s="8634" t="s">
        <v>14</v>
      </c>
      <c r="C1187" s="8634" t="s">
        <v>2546</v>
      </c>
      <c r="D1187" s="8634" t="s">
        <v>2547</v>
      </c>
      <c r="E1187" s="8634" t="s">
        <v>2548</v>
      </c>
      <c r="F1187" s="8634" t="s">
        <v>2549</v>
      </c>
      <c r="G1187" s="8634" t="s">
        <v>2550</v>
      </c>
      <c r="H1187" s="8634" t="s">
        <v>24</v>
      </c>
      <c r="I1187" s="8634" t="s">
        <v>809</v>
      </c>
    </row>
    <row customHeight="1" ht="11.25">
      <c r="A1188" s="8634" t="s">
        <v>2182</v>
      </c>
      <c r="B1188" s="8634" t="s">
        <v>14</v>
      </c>
      <c r="C1188" s="8634" t="s">
        <v>2551</v>
      </c>
      <c r="D1188" s="8634" t="s">
        <v>2552</v>
      </c>
      <c r="E1188" s="8634" t="s">
        <v>2553</v>
      </c>
      <c r="F1188" s="8634" t="s">
        <v>2554</v>
      </c>
      <c r="G1188" s="8634" t="s">
        <v>2555</v>
      </c>
      <c r="H1188" s="8634" t="s">
        <v>24</v>
      </c>
      <c r="I1188" s="8634" t="s">
        <v>809</v>
      </c>
    </row>
    <row customHeight="1" ht="11.25">
      <c r="A1189" s="8634" t="s">
        <v>2182</v>
      </c>
      <c r="B1189" s="8634" t="s">
        <v>14</v>
      </c>
      <c r="C1189" s="8634" t="s">
        <v>6256</v>
      </c>
      <c r="D1189" s="8634" t="s">
        <v>6257</v>
      </c>
      <c r="E1189" s="8634" t="s">
        <v>6258</v>
      </c>
      <c r="F1189" s="8634" t="s">
        <v>2330</v>
      </c>
      <c r="G1189" s="8634" t="s">
        <v>3982</v>
      </c>
      <c r="H1189" s="8634" t="s">
        <v>24</v>
      </c>
      <c r="I1189" s="8634" t="s">
        <v>809</v>
      </c>
    </row>
    <row customHeight="1" ht="11.25">
      <c r="A1190" s="8634" t="s">
        <v>2182</v>
      </c>
      <c r="B1190" s="8634" t="s">
        <v>14</v>
      </c>
      <c r="C1190" s="8634" t="s">
        <v>2556</v>
      </c>
      <c r="D1190" s="8634" t="s">
        <v>2557</v>
      </c>
      <c r="E1190" s="8634" t="s">
        <v>2558</v>
      </c>
      <c r="F1190" s="8634" t="s">
        <v>2213</v>
      </c>
      <c r="G1190" s="8634" t="s">
        <v>2559</v>
      </c>
      <c r="H1190" s="8634" t="s">
        <v>24</v>
      </c>
      <c r="I1190" s="8634" t="s">
        <v>809</v>
      </c>
    </row>
    <row customHeight="1" ht="11.25">
      <c r="A1191" s="8634" t="s">
        <v>2182</v>
      </c>
      <c r="B1191" s="8634" t="s">
        <v>14</v>
      </c>
      <c r="C1191" s="8634" t="s">
        <v>2568</v>
      </c>
      <c r="D1191" s="8634" t="s">
        <v>2569</v>
      </c>
      <c r="E1191" s="8634" t="s">
        <v>2570</v>
      </c>
      <c r="F1191" s="8634" t="s">
        <v>2213</v>
      </c>
      <c r="G1191" s="8634" t="s">
        <v>2571</v>
      </c>
      <c r="H1191" s="8634" t="s">
        <v>24</v>
      </c>
      <c r="I1191" s="8634" t="s">
        <v>809</v>
      </c>
    </row>
    <row customHeight="1" ht="11.25">
      <c r="A1192" s="8634" t="s">
        <v>2182</v>
      </c>
      <c r="B1192" s="8634" t="s">
        <v>14</v>
      </c>
      <c r="C1192" s="8634" t="s">
        <v>2579</v>
      </c>
      <c r="D1192" s="8634" t="s">
        <v>2580</v>
      </c>
      <c r="E1192" s="8634" t="s">
        <v>2581</v>
      </c>
      <c r="F1192" s="8634" t="s">
        <v>2228</v>
      </c>
      <c r="G1192" s="8634" t="s">
        <v>2582</v>
      </c>
      <c r="H1192" s="8634" t="s">
        <v>24</v>
      </c>
      <c r="I1192" s="8634" t="s">
        <v>809</v>
      </c>
    </row>
    <row customHeight="1" ht="11.25">
      <c r="A1193" s="8634" t="s">
        <v>2182</v>
      </c>
      <c r="B1193" s="8634" t="s">
        <v>14</v>
      </c>
      <c r="C1193" s="8634" t="s">
        <v>2588</v>
      </c>
      <c r="D1193" s="8634" t="s">
        <v>2589</v>
      </c>
      <c r="E1193" s="8634" t="s">
        <v>2590</v>
      </c>
      <c r="F1193" s="8634" t="s">
        <v>2563</v>
      </c>
      <c r="G1193" s="8634" t="s">
        <v>2591</v>
      </c>
      <c r="H1193" s="8634" t="s">
        <v>24</v>
      </c>
      <c r="I1193" s="8634" t="s">
        <v>809</v>
      </c>
    </row>
    <row customHeight="1" ht="11.25">
      <c r="A1194" s="8634" t="s">
        <v>2182</v>
      </c>
      <c r="B1194" s="8634" t="s">
        <v>14</v>
      </c>
      <c r="C1194" s="8634" t="s">
        <v>2597</v>
      </c>
      <c r="D1194" s="8634" t="s">
        <v>2598</v>
      </c>
      <c r="E1194" s="8634" t="s">
        <v>2599</v>
      </c>
      <c r="F1194" s="8634" t="s">
        <v>2600</v>
      </c>
      <c r="G1194" s="8634" t="s">
        <v>2601</v>
      </c>
      <c r="H1194" s="8634" t="s">
        <v>24</v>
      </c>
      <c r="I1194" s="8634" t="s">
        <v>809</v>
      </c>
    </row>
    <row customHeight="1" ht="11.25">
      <c r="A1195" s="8634" t="s">
        <v>2182</v>
      </c>
      <c r="B1195" s="8634" t="s">
        <v>14</v>
      </c>
      <c r="C1195" s="8634" t="s">
        <v>2602</v>
      </c>
      <c r="D1195" s="8634" t="s">
        <v>2603</v>
      </c>
      <c r="E1195" s="8634" t="s">
        <v>2604</v>
      </c>
      <c r="F1195" s="8634" t="s">
        <v>2339</v>
      </c>
      <c r="G1195" s="8634" t="s">
        <v>2605</v>
      </c>
      <c r="H1195" s="8634" t="s">
        <v>24</v>
      </c>
      <c r="I1195" s="8634" t="s">
        <v>809</v>
      </c>
    </row>
    <row customHeight="1" ht="11.25">
      <c r="A1196" s="8634" t="s">
        <v>2182</v>
      </c>
      <c r="B1196" s="8634" t="s">
        <v>14</v>
      </c>
      <c r="C1196" s="8634" t="s">
        <v>2606</v>
      </c>
      <c r="D1196" s="8634" t="s">
        <v>2607</v>
      </c>
      <c r="E1196" s="8634" t="s">
        <v>2608</v>
      </c>
      <c r="F1196" s="8634" t="s">
        <v>2334</v>
      </c>
      <c r="G1196" s="8634" t="s">
        <v>2609</v>
      </c>
      <c r="H1196" s="8634" t="s">
        <v>24</v>
      </c>
      <c r="I1196" s="8634" t="s">
        <v>809</v>
      </c>
    </row>
    <row customHeight="1" ht="11.25">
      <c r="A1197" s="8634" t="s">
        <v>2182</v>
      </c>
      <c r="B1197" s="8634" t="s">
        <v>14</v>
      </c>
      <c r="C1197" s="8634" t="s">
        <v>2615</v>
      </c>
      <c r="D1197" s="8634" t="s">
        <v>2616</v>
      </c>
      <c r="E1197" s="8634" t="s">
        <v>2617</v>
      </c>
      <c r="F1197" s="8634" t="s">
        <v>2334</v>
      </c>
      <c r="G1197" s="8634" t="s">
        <v>2618</v>
      </c>
      <c r="H1197" s="8634" t="s">
        <v>24</v>
      </c>
      <c r="I1197" s="8634" t="s">
        <v>809</v>
      </c>
    </row>
    <row customHeight="1" ht="11.25">
      <c r="A1198" s="8634" t="s">
        <v>2182</v>
      </c>
      <c r="B1198" s="8634" t="s">
        <v>14</v>
      </c>
      <c r="C1198" s="8634" t="s">
        <v>2619</v>
      </c>
      <c r="D1198" s="8634" t="s">
        <v>2620</v>
      </c>
      <c r="E1198" s="8634" t="s">
        <v>2621</v>
      </c>
      <c r="F1198" s="8634" t="s">
        <v>2213</v>
      </c>
      <c r="G1198" s="8634" t="s">
        <v>2622</v>
      </c>
      <c r="H1198" s="8634" t="s">
        <v>24</v>
      </c>
      <c r="I1198" s="8634" t="s">
        <v>809</v>
      </c>
    </row>
    <row customHeight="1" ht="11.25">
      <c r="A1199" s="8634" t="s">
        <v>2182</v>
      </c>
      <c r="B1199" s="8634" t="s">
        <v>14</v>
      </c>
      <c r="C1199" s="8634" t="s">
        <v>2631</v>
      </c>
      <c r="D1199" s="8634" t="s">
        <v>2632</v>
      </c>
      <c r="E1199" s="8634" t="s">
        <v>2633</v>
      </c>
      <c r="F1199" s="8634" t="s">
        <v>2492</v>
      </c>
      <c r="G1199" s="8634" t="s">
        <v>2634</v>
      </c>
      <c r="H1199" s="8634" t="s">
        <v>24</v>
      </c>
      <c r="I1199" s="8634" t="s">
        <v>809</v>
      </c>
    </row>
    <row customHeight="1" ht="11.25">
      <c r="A1200" s="8634" t="s">
        <v>2182</v>
      </c>
      <c r="B1200" s="8634" t="s">
        <v>14</v>
      </c>
      <c r="C1200" s="8634" t="s">
        <v>2635</v>
      </c>
      <c r="D1200" s="8634" t="s">
        <v>2636</v>
      </c>
      <c r="E1200" s="8634" t="s">
        <v>2637</v>
      </c>
      <c r="F1200" s="8634" t="s">
        <v>2512</v>
      </c>
      <c r="G1200" s="8634" t="s">
        <v>2638</v>
      </c>
      <c r="H1200" s="8634" t="s">
        <v>2187</v>
      </c>
      <c r="I1200" s="8634" t="s">
        <v>809</v>
      </c>
    </row>
    <row customHeight="1" ht="11.25">
      <c r="A1201" s="8634" t="s">
        <v>2182</v>
      </c>
      <c r="B1201" s="8634" t="s">
        <v>14</v>
      </c>
      <c r="C1201" s="8634" t="s">
        <v>2639</v>
      </c>
      <c r="D1201" s="8634" t="s">
        <v>2640</v>
      </c>
      <c r="E1201" s="8634" t="s">
        <v>2641</v>
      </c>
      <c r="F1201" s="8634" t="s">
        <v>2218</v>
      </c>
      <c r="G1201" s="8634" t="s">
        <v>24</v>
      </c>
      <c r="H1201" s="8634" t="s">
        <v>24</v>
      </c>
      <c r="I1201" s="8634" t="s">
        <v>809</v>
      </c>
    </row>
    <row customHeight="1" ht="11.25">
      <c r="A1202" s="8634" t="s">
        <v>2182</v>
      </c>
      <c r="B1202" s="8634" t="s">
        <v>14</v>
      </c>
      <c r="C1202" s="8634" t="s">
        <v>2642</v>
      </c>
      <c r="D1202" s="8634" t="s">
        <v>2643</v>
      </c>
      <c r="E1202" s="8634" t="s">
        <v>2644</v>
      </c>
      <c r="F1202" s="8634" t="s">
        <v>2512</v>
      </c>
      <c r="G1202" s="8634" t="s">
        <v>24</v>
      </c>
      <c r="H1202" s="8634" t="s">
        <v>24</v>
      </c>
      <c r="I1202" s="8634" t="s">
        <v>809</v>
      </c>
    </row>
    <row customHeight="1" ht="11.25">
      <c r="A1203" s="8634" t="s">
        <v>2182</v>
      </c>
      <c r="B1203" s="8634" t="s">
        <v>14</v>
      </c>
      <c r="C1203" s="8634" t="s">
        <v>2645</v>
      </c>
      <c r="D1203" s="8634" t="s">
        <v>2643</v>
      </c>
      <c r="E1203" s="8634" t="s">
        <v>2646</v>
      </c>
      <c r="F1203" s="8634" t="s">
        <v>2322</v>
      </c>
      <c r="G1203" s="8634" t="s">
        <v>2647</v>
      </c>
      <c r="H1203" s="8634" t="s">
        <v>24</v>
      </c>
      <c r="I1203" s="8634" t="s">
        <v>809</v>
      </c>
    </row>
    <row customHeight="1" ht="11.25">
      <c r="A1204" s="8634" t="s">
        <v>2182</v>
      </c>
      <c r="B1204" s="8634" t="s">
        <v>14</v>
      </c>
      <c r="C1204" s="8634" t="s">
        <v>2648</v>
      </c>
      <c r="D1204" s="8634" t="s">
        <v>2649</v>
      </c>
      <c r="E1204" s="8634" t="s">
        <v>2650</v>
      </c>
      <c r="F1204" s="8634" t="s">
        <v>2651</v>
      </c>
      <c r="G1204" s="8634" t="s">
        <v>24</v>
      </c>
      <c r="H1204" s="8634" t="s">
        <v>24</v>
      </c>
      <c r="I1204" s="8634" t="s">
        <v>809</v>
      </c>
    </row>
    <row customHeight="1" ht="11.25">
      <c r="A1205" s="8634" t="s">
        <v>2182</v>
      </c>
      <c r="B1205" s="8634" t="s">
        <v>14</v>
      </c>
      <c r="C1205" s="8634" t="s">
        <v>2652</v>
      </c>
      <c r="D1205" s="8634" t="s">
        <v>2653</v>
      </c>
      <c r="E1205" s="8634" t="s">
        <v>2654</v>
      </c>
      <c r="F1205" s="8634" t="s">
        <v>2223</v>
      </c>
      <c r="G1205" s="8634" t="s">
        <v>2655</v>
      </c>
      <c r="H1205" s="8634" t="s">
        <v>24</v>
      </c>
      <c r="I1205" s="8634" t="s">
        <v>809</v>
      </c>
    </row>
    <row customHeight="1" ht="11.25">
      <c r="A1206" s="8634" t="s">
        <v>2182</v>
      </c>
      <c r="B1206" s="8634" t="s">
        <v>14</v>
      </c>
      <c r="C1206" s="8634" t="s">
        <v>2660</v>
      </c>
      <c r="D1206" s="8634" t="s">
        <v>2661</v>
      </c>
      <c r="E1206" s="8634" t="s">
        <v>2662</v>
      </c>
      <c r="F1206" s="8634" t="s">
        <v>2600</v>
      </c>
      <c r="G1206" s="8634" t="s">
        <v>2663</v>
      </c>
      <c r="H1206" s="8634" t="s">
        <v>24</v>
      </c>
      <c r="I1206" s="8634" t="s">
        <v>809</v>
      </c>
    </row>
    <row customHeight="1" ht="11.25">
      <c r="A1207" s="8634" t="s">
        <v>2182</v>
      </c>
      <c r="B1207" s="8634" t="s">
        <v>14</v>
      </c>
      <c r="C1207" s="8634" t="s">
        <v>2682</v>
      </c>
      <c r="D1207" s="8634" t="s">
        <v>2683</v>
      </c>
      <c r="E1207" s="8634" t="s">
        <v>2684</v>
      </c>
      <c r="F1207" s="8634" t="s">
        <v>2330</v>
      </c>
      <c r="G1207" s="8634" t="s">
        <v>24</v>
      </c>
      <c r="H1207" s="8634" t="s">
        <v>24</v>
      </c>
      <c r="I1207" s="8634" t="s">
        <v>809</v>
      </c>
    </row>
    <row customHeight="1" ht="11.25">
      <c r="A1208" s="8634" t="s">
        <v>2182</v>
      </c>
      <c r="B1208" s="8634" t="s">
        <v>14</v>
      </c>
      <c r="C1208" s="8634" t="s">
        <v>6259</v>
      </c>
      <c r="D1208" s="8634" t="s">
        <v>6260</v>
      </c>
      <c r="E1208" s="8634" t="s">
        <v>6261</v>
      </c>
      <c r="F1208" s="8634" t="s">
        <v>2284</v>
      </c>
      <c r="G1208" s="8634" t="s">
        <v>6262</v>
      </c>
      <c r="H1208" s="8634" t="s">
        <v>2187</v>
      </c>
      <c r="I1208" s="8634" t="s">
        <v>809</v>
      </c>
    </row>
    <row customHeight="1" ht="11.25">
      <c r="A1209" s="8634" t="s">
        <v>2182</v>
      </c>
      <c r="B1209" s="8634" t="s">
        <v>14</v>
      </c>
      <c r="C1209" s="8634" t="s">
        <v>2693</v>
      </c>
      <c r="D1209" s="8634" t="s">
        <v>2694</v>
      </c>
      <c r="E1209" s="8634" t="s">
        <v>2695</v>
      </c>
      <c r="F1209" s="8634" t="s">
        <v>2696</v>
      </c>
      <c r="G1209" s="8634" t="s">
        <v>2555</v>
      </c>
      <c r="H1209" s="8634" t="s">
        <v>2697</v>
      </c>
      <c r="I1209" s="8634" t="s">
        <v>809</v>
      </c>
    </row>
    <row customHeight="1" ht="11.25">
      <c r="A1210" s="8634" t="s">
        <v>2182</v>
      </c>
      <c r="B1210" s="8634" t="s">
        <v>14</v>
      </c>
      <c r="C1210" s="8634" t="s">
        <v>2698</v>
      </c>
      <c r="D1210" s="8634" t="s">
        <v>2699</v>
      </c>
      <c r="E1210" s="8634" t="s">
        <v>2700</v>
      </c>
      <c r="F1210" s="8634" t="s">
        <v>2563</v>
      </c>
      <c r="G1210" s="8634" t="s">
        <v>2701</v>
      </c>
      <c r="H1210" s="8634" t="s">
        <v>24</v>
      </c>
      <c r="I1210" s="8634" t="s">
        <v>809</v>
      </c>
    </row>
    <row customHeight="1" ht="11.25">
      <c r="A1211" s="8634" t="s">
        <v>2182</v>
      </c>
      <c r="B1211" s="8634" t="s">
        <v>14</v>
      </c>
      <c r="C1211" s="8634" t="s">
        <v>2711</v>
      </c>
      <c r="D1211" s="8634" t="s">
        <v>2712</v>
      </c>
      <c r="E1211" s="8634" t="s">
        <v>2713</v>
      </c>
      <c r="F1211" s="8634" t="s">
        <v>2213</v>
      </c>
      <c r="G1211" s="8634" t="s">
        <v>2714</v>
      </c>
      <c r="H1211" s="8634" t="s">
        <v>24</v>
      </c>
      <c r="I1211" s="8634" t="s">
        <v>809</v>
      </c>
    </row>
    <row customHeight="1" ht="11.25">
      <c r="A1212" s="8634" t="s">
        <v>2182</v>
      </c>
      <c r="B1212" s="8634" t="s">
        <v>14</v>
      </c>
      <c r="C1212" s="8634" t="s">
        <v>2715</v>
      </c>
      <c r="D1212" s="8634" t="s">
        <v>2716</v>
      </c>
      <c r="E1212" s="8634" t="s">
        <v>2717</v>
      </c>
      <c r="F1212" s="8634" t="s">
        <v>2363</v>
      </c>
      <c r="G1212" s="8634" t="s">
        <v>2622</v>
      </c>
      <c r="H1212" s="8634" t="s">
        <v>24</v>
      </c>
      <c r="I1212" s="8634" t="s">
        <v>809</v>
      </c>
    </row>
    <row customHeight="1" ht="11.25">
      <c r="A1213" s="8634" t="s">
        <v>2182</v>
      </c>
      <c r="B1213" s="8634" t="s">
        <v>14</v>
      </c>
      <c r="C1213" s="8634" t="s">
        <v>2718</v>
      </c>
      <c r="D1213" s="8634" t="s">
        <v>2719</v>
      </c>
      <c r="E1213" s="8634" t="s">
        <v>2720</v>
      </c>
      <c r="F1213" s="8634" t="s">
        <v>2721</v>
      </c>
      <c r="G1213" s="8634" t="s">
        <v>24</v>
      </c>
      <c r="H1213" s="8634" t="s">
        <v>24</v>
      </c>
      <c r="I1213" s="8634" t="s">
        <v>809</v>
      </c>
    </row>
    <row customHeight="1" ht="11.25">
      <c r="A1214" s="8634" t="s">
        <v>2182</v>
      </c>
      <c r="B1214" s="8634" t="s">
        <v>14</v>
      </c>
      <c r="C1214" s="8634" t="s">
        <v>6263</v>
      </c>
      <c r="D1214" s="8634" t="s">
        <v>6264</v>
      </c>
      <c r="E1214" s="8634" t="s">
        <v>6265</v>
      </c>
      <c r="F1214" s="8634" t="s">
        <v>2721</v>
      </c>
      <c r="G1214" s="8634" t="s">
        <v>6266</v>
      </c>
      <c r="H1214" s="8634" t="s">
        <v>24</v>
      </c>
      <c r="I1214" s="8634" t="s">
        <v>809</v>
      </c>
    </row>
    <row customHeight="1" ht="11.25">
      <c r="A1215" s="8634" t="s">
        <v>2182</v>
      </c>
      <c r="B1215" s="8634" t="s">
        <v>14</v>
      </c>
      <c r="C1215" s="8634" t="s">
        <v>2728</v>
      </c>
      <c r="D1215" s="8634" t="s">
        <v>2729</v>
      </c>
      <c r="E1215" s="8634" t="s">
        <v>2730</v>
      </c>
      <c r="F1215" s="8634" t="s">
        <v>2600</v>
      </c>
      <c r="G1215" s="8634" t="s">
        <v>2731</v>
      </c>
      <c r="H1215" s="8634" t="s">
        <v>24</v>
      </c>
      <c r="I1215" s="8634" t="s">
        <v>809</v>
      </c>
    </row>
    <row customHeight="1" ht="11.25">
      <c r="A1216" s="8634" t="s">
        <v>2182</v>
      </c>
      <c r="B1216" s="8634" t="s">
        <v>14</v>
      </c>
      <c r="C1216" s="8634" t="s">
        <v>6267</v>
      </c>
      <c r="D1216" s="8634" t="s">
        <v>6268</v>
      </c>
      <c r="E1216" s="8634" t="s">
        <v>6269</v>
      </c>
      <c r="F1216" s="8634" t="s">
        <v>2228</v>
      </c>
      <c r="G1216" s="8634" t="s">
        <v>24</v>
      </c>
      <c r="H1216" s="8634" t="s">
        <v>6270</v>
      </c>
      <c r="I1216" s="8634" t="s">
        <v>809</v>
      </c>
    </row>
    <row customHeight="1" ht="11.25">
      <c r="A1217" s="8634" t="s">
        <v>2182</v>
      </c>
      <c r="B1217" s="8634" t="s">
        <v>14</v>
      </c>
      <c r="C1217" s="8634" t="s">
        <v>2739</v>
      </c>
      <c r="D1217" s="8634" t="s">
        <v>2740</v>
      </c>
      <c r="E1217" s="8634" t="s">
        <v>2741</v>
      </c>
      <c r="F1217" s="8634" t="s">
        <v>2742</v>
      </c>
      <c r="G1217" s="8634" t="s">
        <v>2743</v>
      </c>
      <c r="H1217" s="8634" t="s">
        <v>24</v>
      </c>
      <c r="I1217" s="8634" t="s">
        <v>809</v>
      </c>
    </row>
    <row customHeight="1" ht="11.25">
      <c r="A1218" s="8634" t="s">
        <v>2182</v>
      </c>
      <c r="B1218" s="8634" t="s">
        <v>14</v>
      </c>
      <c r="C1218" s="8634" t="s">
        <v>2748</v>
      </c>
      <c r="D1218" s="8634" t="s">
        <v>2749</v>
      </c>
      <c r="E1218" s="8634" t="s">
        <v>2750</v>
      </c>
      <c r="F1218" s="8634" t="s">
        <v>2751</v>
      </c>
      <c r="G1218" s="8634" t="s">
        <v>2752</v>
      </c>
      <c r="H1218" s="8634" t="s">
        <v>24</v>
      </c>
      <c r="I1218" s="8634" t="s">
        <v>809</v>
      </c>
    </row>
    <row customHeight="1" ht="11.25">
      <c r="A1219" s="8634" t="s">
        <v>2182</v>
      </c>
      <c r="B1219" s="8634" t="s">
        <v>14</v>
      </c>
      <c r="C1219" s="8634" t="s">
        <v>2757</v>
      </c>
      <c r="D1219" s="8634" t="s">
        <v>2758</v>
      </c>
      <c r="E1219" s="8634" t="s">
        <v>2759</v>
      </c>
      <c r="F1219" s="8634" t="s">
        <v>2264</v>
      </c>
      <c r="G1219" s="8634" t="s">
        <v>24</v>
      </c>
      <c r="H1219" s="8634" t="s">
        <v>2187</v>
      </c>
      <c r="I1219" s="8634" t="s">
        <v>809</v>
      </c>
    </row>
    <row customHeight="1" ht="11.25">
      <c r="A1220" s="8634" t="s">
        <v>2182</v>
      </c>
      <c r="B1220" s="8634" t="s">
        <v>14</v>
      </c>
      <c r="C1220" s="8634" t="s">
        <v>6271</v>
      </c>
      <c r="D1220" s="8634" t="s">
        <v>6272</v>
      </c>
      <c r="E1220" s="8634" t="s">
        <v>6273</v>
      </c>
      <c r="F1220" s="8634" t="s">
        <v>2447</v>
      </c>
      <c r="G1220" s="8634" t="s">
        <v>24</v>
      </c>
      <c r="H1220" s="8634" t="s">
        <v>2187</v>
      </c>
      <c r="I1220" s="8634" t="s">
        <v>809</v>
      </c>
    </row>
    <row customHeight="1" ht="11.25">
      <c r="A1221" s="8634" t="s">
        <v>2182</v>
      </c>
      <c r="B1221" s="8634" t="s">
        <v>14</v>
      </c>
      <c r="C1221" s="8634" t="s">
        <v>2793</v>
      </c>
      <c r="D1221" s="8634" t="s">
        <v>2794</v>
      </c>
      <c r="E1221" s="8634" t="s">
        <v>2795</v>
      </c>
      <c r="F1221" s="8634" t="s">
        <v>2512</v>
      </c>
      <c r="G1221" s="8634" t="s">
        <v>2796</v>
      </c>
      <c r="H1221" s="8634" t="s">
        <v>24</v>
      </c>
      <c r="I1221" s="8634" t="s">
        <v>809</v>
      </c>
    </row>
    <row customHeight="1" ht="11.25">
      <c r="A1222" s="8634" t="s">
        <v>2182</v>
      </c>
      <c r="B1222" s="8634" t="s">
        <v>14</v>
      </c>
      <c r="C1222" s="8634" t="s">
        <v>2812</v>
      </c>
      <c r="D1222" s="8634" t="s">
        <v>2813</v>
      </c>
      <c r="E1222" s="8634" t="s">
        <v>2814</v>
      </c>
      <c r="F1222" s="8634" t="s">
        <v>2512</v>
      </c>
      <c r="G1222" s="8634" t="s">
        <v>2815</v>
      </c>
      <c r="H1222" s="8634" t="s">
        <v>24</v>
      </c>
      <c r="I1222" s="8634" t="s">
        <v>809</v>
      </c>
    </row>
    <row customHeight="1" ht="11.25">
      <c r="A1223" s="8634" t="s">
        <v>2182</v>
      </c>
      <c r="B1223" s="8634" t="s">
        <v>14</v>
      </c>
      <c r="C1223" s="8634" t="s">
        <v>2816</v>
      </c>
      <c r="D1223" s="8634" t="s">
        <v>2817</v>
      </c>
      <c r="E1223" s="8634" t="s">
        <v>2818</v>
      </c>
      <c r="F1223" s="8634" t="s">
        <v>2460</v>
      </c>
      <c r="G1223" s="8634" t="s">
        <v>2819</v>
      </c>
      <c r="H1223" s="8634" t="s">
        <v>24</v>
      </c>
      <c r="I1223" s="8634" t="s">
        <v>809</v>
      </c>
    </row>
    <row customHeight="1" ht="11.25">
      <c r="A1224" s="8634" t="s">
        <v>2182</v>
      </c>
      <c r="B1224" s="8634" t="s">
        <v>14</v>
      </c>
      <c r="C1224" s="8634" t="s">
        <v>2820</v>
      </c>
      <c r="D1224" s="8634" t="s">
        <v>2821</v>
      </c>
      <c r="E1224" s="8634" t="s">
        <v>2822</v>
      </c>
      <c r="F1224" s="8634" t="s">
        <v>2823</v>
      </c>
      <c r="G1224" s="8634" t="s">
        <v>2824</v>
      </c>
      <c r="H1224" s="8634" t="s">
        <v>24</v>
      </c>
      <c r="I1224" s="8634" t="s">
        <v>809</v>
      </c>
    </row>
    <row customHeight="1" ht="11.25">
      <c r="A1225" s="8634" t="s">
        <v>2182</v>
      </c>
      <c r="B1225" s="8634" t="s">
        <v>14</v>
      </c>
      <c r="C1225" s="8634" t="s">
        <v>2829</v>
      </c>
      <c r="D1225" s="8634" t="s">
        <v>2830</v>
      </c>
      <c r="E1225" s="8634" t="s">
        <v>2831</v>
      </c>
      <c r="F1225" s="8634" t="s">
        <v>2832</v>
      </c>
      <c r="G1225" s="8634" t="s">
        <v>2833</v>
      </c>
      <c r="H1225" s="8634" t="s">
        <v>2834</v>
      </c>
      <c r="I1225" s="8634" t="s">
        <v>809</v>
      </c>
    </row>
    <row customHeight="1" ht="11.25">
      <c r="A1226" s="8634" t="s">
        <v>2182</v>
      </c>
      <c r="B1226" s="8634" t="s">
        <v>14</v>
      </c>
      <c r="C1226" s="8634" t="s">
        <v>2839</v>
      </c>
      <c r="D1226" s="8634" t="s">
        <v>2840</v>
      </c>
      <c r="E1226" s="8634" t="s">
        <v>2841</v>
      </c>
      <c r="F1226" s="8634" t="s">
        <v>2349</v>
      </c>
      <c r="G1226" s="8634" t="s">
        <v>24</v>
      </c>
      <c r="H1226" s="8634" t="s">
        <v>2842</v>
      </c>
      <c r="I1226" s="8634" t="s">
        <v>809</v>
      </c>
    </row>
    <row customHeight="1" ht="11.25">
      <c r="A1227" s="8634" t="s">
        <v>2182</v>
      </c>
      <c r="B1227" s="8634" t="s">
        <v>14</v>
      </c>
      <c r="C1227" s="8634" t="s">
        <v>2843</v>
      </c>
      <c r="D1227" s="8634" t="s">
        <v>2844</v>
      </c>
      <c r="E1227" s="8634" t="s">
        <v>2845</v>
      </c>
      <c r="F1227" s="8634" t="s">
        <v>2300</v>
      </c>
      <c r="G1227" s="8634" t="s">
        <v>2846</v>
      </c>
      <c r="H1227" s="8634" t="s">
        <v>24</v>
      </c>
      <c r="I1227" s="8634" t="s">
        <v>809</v>
      </c>
    </row>
    <row customHeight="1" ht="11.25">
      <c r="A1228" s="8634" t="s">
        <v>2182</v>
      </c>
      <c r="B1228" s="8634" t="s">
        <v>14</v>
      </c>
      <c r="C1228" s="8634" t="s">
        <v>2847</v>
      </c>
      <c r="D1228" s="8634" t="s">
        <v>2848</v>
      </c>
      <c r="E1228" s="8634" t="s">
        <v>2849</v>
      </c>
      <c r="F1228" s="8634" t="s">
        <v>2460</v>
      </c>
      <c r="G1228" s="8634" t="s">
        <v>2850</v>
      </c>
      <c r="H1228" s="8634" t="s">
        <v>24</v>
      </c>
      <c r="I1228" s="8634" t="s">
        <v>809</v>
      </c>
    </row>
    <row customHeight="1" ht="11.25">
      <c r="A1229" s="8634" t="s">
        <v>2182</v>
      </c>
      <c r="B1229" s="8634" t="s">
        <v>14</v>
      </c>
      <c r="C1229" s="8634" t="s">
        <v>2851</v>
      </c>
      <c r="D1229" s="8634" t="s">
        <v>2852</v>
      </c>
      <c r="E1229" s="8634" t="s">
        <v>2853</v>
      </c>
      <c r="F1229" s="8634" t="s">
        <v>2854</v>
      </c>
      <c r="G1229" s="8634" t="s">
        <v>24</v>
      </c>
      <c r="H1229" s="8634" t="s">
        <v>24</v>
      </c>
      <c r="I1229" s="8634" t="s">
        <v>809</v>
      </c>
    </row>
    <row customHeight="1" ht="11.25">
      <c r="A1230" s="8634" t="s">
        <v>2182</v>
      </c>
      <c r="B1230" s="8634" t="s">
        <v>14</v>
      </c>
      <c r="C1230" s="8634" t="s">
        <v>2855</v>
      </c>
      <c r="D1230" s="8634" t="s">
        <v>2856</v>
      </c>
      <c r="E1230" s="8634" t="s">
        <v>2857</v>
      </c>
      <c r="F1230" s="8634" t="s">
        <v>2721</v>
      </c>
      <c r="G1230" s="8634" t="s">
        <v>2858</v>
      </c>
      <c r="H1230" s="8634" t="s">
        <v>2187</v>
      </c>
      <c r="I1230" s="8634" t="s">
        <v>809</v>
      </c>
    </row>
    <row customHeight="1" ht="11.25">
      <c r="A1231" s="8634" t="s">
        <v>2182</v>
      </c>
      <c r="B1231" s="8634" t="s">
        <v>14</v>
      </c>
      <c r="C1231" s="8634" t="s">
        <v>2859</v>
      </c>
      <c r="D1231" s="8634" t="s">
        <v>2856</v>
      </c>
      <c r="E1231" s="8634" t="s">
        <v>2860</v>
      </c>
      <c r="F1231" s="8634" t="s">
        <v>2721</v>
      </c>
      <c r="G1231" s="8634" t="s">
        <v>2861</v>
      </c>
      <c r="H1231" s="8634" t="s">
        <v>24</v>
      </c>
      <c r="I1231" s="8634" t="s">
        <v>809</v>
      </c>
    </row>
    <row customHeight="1" ht="11.25">
      <c r="A1232" s="8634" t="s">
        <v>2182</v>
      </c>
      <c r="B1232" s="8634" t="s">
        <v>14</v>
      </c>
      <c r="C1232" s="8634" t="s">
        <v>2862</v>
      </c>
      <c r="D1232" s="8634" t="s">
        <v>2863</v>
      </c>
      <c r="E1232" s="8634" t="s">
        <v>2864</v>
      </c>
      <c r="F1232" s="8634" t="s">
        <v>2339</v>
      </c>
      <c r="G1232" s="8634" t="s">
        <v>2865</v>
      </c>
      <c r="H1232" s="8634" t="s">
        <v>2866</v>
      </c>
      <c r="I1232" s="8634" t="s">
        <v>809</v>
      </c>
    </row>
    <row customHeight="1" ht="11.25">
      <c r="A1233" s="8634" t="s">
        <v>2182</v>
      </c>
      <c r="B1233" s="8634" t="s">
        <v>14</v>
      </c>
      <c r="C1233" s="8634" t="s">
        <v>2867</v>
      </c>
      <c r="D1233" s="8634" t="s">
        <v>2868</v>
      </c>
      <c r="E1233" s="8634" t="s">
        <v>2869</v>
      </c>
      <c r="F1233" s="8634" t="s">
        <v>2854</v>
      </c>
      <c r="G1233" s="8634" t="s">
        <v>24</v>
      </c>
      <c r="H1233" s="8634" t="s">
        <v>2870</v>
      </c>
      <c r="I1233" s="8634" t="s">
        <v>809</v>
      </c>
    </row>
    <row customHeight="1" ht="11.25">
      <c r="A1234" s="8634" t="s">
        <v>2182</v>
      </c>
      <c r="B1234" s="8634" t="s">
        <v>14</v>
      </c>
      <c r="C1234" s="8634" t="s">
        <v>2887</v>
      </c>
      <c r="D1234" s="8634" t="s">
        <v>2888</v>
      </c>
      <c r="E1234" s="8634" t="s">
        <v>2889</v>
      </c>
      <c r="F1234" s="8634" t="s">
        <v>2890</v>
      </c>
      <c r="G1234" s="8634" t="s">
        <v>2891</v>
      </c>
      <c r="H1234" s="8634" t="s">
        <v>24</v>
      </c>
      <c r="I1234" s="8634" t="s">
        <v>809</v>
      </c>
    </row>
    <row customHeight="1" ht="11.25">
      <c r="A1235" s="8634" t="s">
        <v>2182</v>
      </c>
      <c r="B1235" s="8634" t="s">
        <v>14</v>
      </c>
      <c r="C1235" s="8634" t="s">
        <v>2892</v>
      </c>
      <c r="D1235" s="8634" t="s">
        <v>2893</v>
      </c>
      <c r="E1235" s="8634" t="s">
        <v>2894</v>
      </c>
      <c r="F1235" s="8634" t="s">
        <v>2563</v>
      </c>
      <c r="G1235" s="8634" t="s">
        <v>2895</v>
      </c>
      <c r="H1235" s="8634" t="s">
        <v>24</v>
      </c>
      <c r="I1235" s="8634" t="s">
        <v>809</v>
      </c>
    </row>
    <row customHeight="1" ht="11.25">
      <c r="A1236" s="8634" t="s">
        <v>2182</v>
      </c>
      <c r="B1236" s="8634" t="s">
        <v>14</v>
      </c>
      <c r="C1236" s="8634" t="s">
        <v>2900</v>
      </c>
      <c r="D1236" s="8634" t="s">
        <v>2901</v>
      </c>
      <c r="E1236" s="8634" t="s">
        <v>2902</v>
      </c>
      <c r="F1236" s="8634" t="s">
        <v>2626</v>
      </c>
      <c r="G1236" s="8634" t="s">
        <v>2903</v>
      </c>
      <c r="H1236" s="8634" t="s">
        <v>24</v>
      </c>
      <c r="I1236" s="8634" t="s">
        <v>809</v>
      </c>
    </row>
    <row customHeight="1" ht="11.25">
      <c r="A1237" s="8634" t="s">
        <v>2182</v>
      </c>
      <c r="B1237" s="8634" t="s">
        <v>14</v>
      </c>
      <c r="C1237" s="8634" t="s">
        <v>2904</v>
      </c>
      <c r="D1237" s="8634" t="s">
        <v>2905</v>
      </c>
      <c r="E1237" s="8634" t="s">
        <v>2906</v>
      </c>
      <c r="F1237" s="8634" t="s">
        <v>2245</v>
      </c>
      <c r="G1237" s="8634" t="s">
        <v>2907</v>
      </c>
      <c r="H1237" s="8634" t="s">
        <v>24</v>
      </c>
      <c r="I1237" s="8634" t="s">
        <v>809</v>
      </c>
    </row>
    <row customHeight="1" ht="11.25">
      <c r="A1238" s="8634" t="s">
        <v>2182</v>
      </c>
      <c r="B1238" s="8634" t="s">
        <v>14</v>
      </c>
      <c r="C1238" s="8634" t="s">
        <v>2908</v>
      </c>
      <c r="D1238" s="8634" t="s">
        <v>2909</v>
      </c>
      <c r="E1238" s="8634" t="s">
        <v>2910</v>
      </c>
      <c r="F1238" s="8634" t="s">
        <v>2705</v>
      </c>
      <c r="G1238" s="8634" t="s">
        <v>24</v>
      </c>
      <c r="H1238" s="8634" t="s">
        <v>24</v>
      </c>
      <c r="I1238" s="8634" t="s">
        <v>809</v>
      </c>
    </row>
    <row customHeight="1" ht="11.25">
      <c r="A1239" s="8634" t="s">
        <v>2182</v>
      </c>
      <c r="B1239" s="8634" t="s">
        <v>14</v>
      </c>
      <c r="C1239" s="8634" t="s">
        <v>2911</v>
      </c>
      <c r="D1239" s="8634" t="s">
        <v>2912</v>
      </c>
      <c r="E1239" s="8634" t="s">
        <v>2913</v>
      </c>
      <c r="F1239" s="8634" t="s">
        <v>2626</v>
      </c>
      <c r="G1239" s="8634" t="s">
        <v>2914</v>
      </c>
      <c r="H1239" s="8634" t="s">
        <v>2915</v>
      </c>
      <c r="I1239" s="8634" t="s">
        <v>809</v>
      </c>
    </row>
    <row customHeight="1" ht="11.25">
      <c r="A1240" s="8634" t="s">
        <v>2182</v>
      </c>
      <c r="B1240" s="8634" t="s">
        <v>14</v>
      </c>
      <c r="C1240" s="8634" t="s">
        <v>2916</v>
      </c>
      <c r="D1240" s="8634" t="s">
        <v>2917</v>
      </c>
      <c r="E1240" s="8634" t="s">
        <v>2898</v>
      </c>
      <c r="F1240" s="8634" t="s">
        <v>2567</v>
      </c>
      <c r="G1240" s="8634" t="s">
        <v>2918</v>
      </c>
      <c r="H1240" s="8634" t="s">
        <v>24</v>
      </c>
      <c r="I1240" s="8634" t="s">
        <v>809</v>
      </c>
    </row>
    <row customHeight="1" ht="11.25">
      <c r="A1241" s="8634" t="s">
        <v>2182</v>
      </c>
      <c r="B1241" s="8634" t="s">
        <v>14</v>
      </c>
      <c r="C1241" s="8634" t="s">
        <v>2919</v>
      </c>
      <c r="D1241" s="8634" t="s">
        <v>2920</v>
      </c>
      <c r="E1241" s="8634" t="s">
        <v>2921</v>
      </c>
      <c r="F1241" s="8634" t="s">
        <v>2626</v>
      </c>
      <c r="G1241" s="8634" t="s">
        <v>2922</v>
      </c>
      <c r="H1241" s="8634" t="s">
        <v>24</v>
      </c>
      <c r="I1241" s="8634" t="s">
        <v>809</v>
      </c>
    </row>
    <row customHeight="1" ht="11.25">
      <c r="A1242" s="8634" t="s">
        <v>2182</v>
      </c>
      <c r="B1242" s="8634" t="s">
        <v>14</v>
      </c>
      <c r="C1242" s="8634" t="s">
        <v>2923</v>
      </c>
      <c r="D1242" s="8634" t="s">
        <v>2924</v>
      </c>
      <c r="E1242" s="8634" t="s">
        <v>2925</v>
      </c>
      <c r="F1242" s="8634" t="s">
        <v>2344</v>
      </c>
      <c r="G1242" s="8634" t="s">
        <v>2926</v>
      </c>
      <c r="H1242" s="8634" t="s">
        <v>24</v>
      </c>
      <c r="I1242" s="8634" t="s">
        <v>809</v>
      </c>
    </row>
    <row customHeight="1" ht="11.25">
      <c r="A1243" s="8634" t="s">
        <v>2182</v>
      </c>
      <c r="B1243" s="8634" t="s">
        <v>14</v>
      </c>
      <c r="C1243" s="8634" t="s">
        <v>2927</v>
      </c>
      <c r="D1243" s="8634" t="s">
        <v>2928</v>
      </c>
      <c r="E1243" s="8634" t="s">
        <v>2929</v>
      </c>
      <c r="F1243" s="8634" t="s">
        <v>2394</v>
      </c>
      <c r="G1243" s="8634" t="s">
        <v>24</v>
      </c>
      <c r="H1243" s="8634" t="s">
        <v>24</v>
      </c>
      <c r="I1243" s="8634" t="s">
        <v>809</v>
      </c>
    </row>
    <row customHeight="1" ht="11.25">
      <c r="A1244" s="8634" t="s">
        <v>2182</v>
      </c>
      <c r="B1244" s="8634" t="s">
        <v>14</v>
      </c>
      <c r="C1244" s="8634" t="s">
        <v>6274</v>
      </c>
      <c r="D1244" s="8634" t="s">
        <v>6275</v>
      </c>
      <c r="E1244" s="8634" t="s">
        <v>6276</v>
      </c>
      <c r="F1244" s="8634" t="s">
        <v>2213</v>
      </c>
      <c r="G1244" s="8634" t="s">
        <v>6277</v>
      </c>
      <c r="H1244" s="8634" t="s">
        <v>6278</v>
      </c>
      <c r="I1244" s="8634" t="s">
        <v>809</v>
      </c>
    </row>
    <row customHeight="1" ht="11.25">
      <c r="A1245" s="8634" t="s">
        <v>2182</v>
      </c>
      <c r="B1245" s="8634" t="s">
        <v>14</v>
      </c>
      <c r="C1245" s="8634" t="s">
        <v>2938</v>
      </c>
      <c r="D1245" s="8634" t="s">
        <v>2939</v>
      </c>
      <c r="E1245" s="8634" t="s">
        <v>2940</v>
      </c>
      <c r="F1245" s="8634" t="s">
        <v>2218</v>
      </c>
      <c r="G1245" s="8634" t="s">
        <v>24</v>
      </c>
      <c r="H1245" s="8634" t="s">
        <v>24</v>
      </c>
      <c r="I1245" s="8634" t="s">
        <v>809</v>
      </c>
    </row>
    <row customHeight="1" ht="11.25">
      <c r="A1246" s="8634" t="s">
        <v>2182</v>
      </c>
      <c r="B1246" s="8634" t="s">
        <v>14</v>
      </c>
      <c r="C1246" s="8634" t="s">
        <v>2941</v>
      </c>
      <c r="D1246" s="8634" t="s">
        <v>2942</v>
      </c>
      <c r="E1246" s="8634" t="s">
        <v>2943</v>
      </c>
      <c r="F1246" s="8634" t="s">
        <v>2890</v>
      </c>
      <c r="G1246" s="8634" t="s">
        <v>2944</v>
      </c>
      <c r="H1246" s="8634" t="s">
        <v>24</v>
      </c>
      <c r="I1246" s="8634" t="s">
        <v>809</v>
      </c>
    </row>
    <row customHeight="1" ht="11.25">
      <c r="A1247" s="8634" t="s">
        <v>2182</v>
      </c>
      <c r="B1247" s="8634" t="s">
        <v>14</v>
      </c>
      <c r="C1247" s="8634" t="s">
        <v>2945</v>
      </c>
      <c r="D1247" s="8634" t="s">
        <v>2946</v>
      </c>
      <c r="E1247" s="8634" t="s">
        <v>2947</v>
      </c>
      <c r="F1247" s="8634" t="s">
        <v>2948</v>
      </c>
      <c r="G1247" s="8634" t="s">
        <v>2949</v>
      </c>
      <c r="H1247" s="8634" t="s">
        <v>2187</v>
      </c>
      <c r="I1247" s="8634" t="s">
        <v>809</v>
      </c>
    </row>
    <row customHeight="1" ht="11.25">
      <c r="A1248" s="8634" t="s">
        <v>2182</v>
      </c>
      <c r="B1248" s="8634" t="s">
        <v>14</v>
      </c>
      <c r="C1248" s="8634" t="s">
        <v>2954</v>
      </c>
      <c r="D1248" s="8634" t="s">
        <v>2955</v>
      </c>
      <c r="E1248" s="8634" t="s">
        <v>2956</v>
      </c>
      <c r="F1248" s="8634" t="s">
        <v>2339</v>
      </c>
      <c r="G1248" s="8634" t="s">
        <v>2345</v>
      </c>
      <c r="H1248" s="8634" t="s">
        <v>24</v>
      </c>
      <c r="I1248" s="8634" t="s">
        <v>809</v>
      </c>
    </row>
    <row customHeight="1" ht="11.25">
      <c r="A1249" s="8634" t="s">
        <v>2182</v>
      </c>
      <c r="B1249" s="8634" t="s">
        <v>14</v>
      </c>
      <c r="C1249" s="8634" t="s">
        <v>2961</v>
      </c>
      <c r="D1249" s="8634" t="s">
        <v>2962</v>
      </c>
      <c r="E1249" s="8634" t="s">
        <v>2963</v>
      </c>
      <c r="F1249" s="8634" t="s">
        <v>2964</v>
      </c>
      <c r="G1249" s="8634" t="s">
        <v>2965</v>
      </c>
      <c r="H1249" s="8634" t="s">
        <v>24</v>
      </c>
      <c r="I1249" s="8634" t="s">
        <v>809</v>
      </c>
    </row>
    <row customHeight="1" ht="11.25">
      <c r="A1250" s="8634" t="s">
        <v>2182</v>
      </c>
      <c r="B1250" s="8634" t="s">
        <v>14</v>
      </c>
      <c r="C1250" s="8634" t="s">
        <v>2966</v>
      </c>
      <c r="D1250" s="8634" t="s">
        <v>2967</v>
      </c>
      <c r="E1250" s="8634" t="s">
        <v>2968</v>
      </c>
      <c r="F1250" s="8634" t="s">
        <v>2411</v>
      </c>
      <c r="G1250" s="8634" t="s">
        <v>24</v>
      </c>
      <c r="H1250" s="8634" t="s">
        <v>24</v>
      </c>
      <c r="I1250" s="8634" t="s">
        <v>809</v>
      </c>
    </row>
    <row customHeight="1" ht="11.25">
      <c r="A1251" s="8634" t="s">
        <v>2182</v>
      </c>
      <c r="B1251" s="8634" t="s">
        <v>14</v>
      </c>
      <c r="C1251" s="8634" t="s">
        <v>2969</v>
      </c>
      <c r="D1251" s="8634" t="s">
        <v>2970</v>
      </c>
      <c r="E1251" s="8634" t="s">
        <v>2971</v>
      </c>
      <c r="F1251" s="8634" t="s">
        <v>2376</v>
      </c>
      <c r="G1251" s="8634" t="s">
        <v>2972</v>
      </c>
      <c r="H1251" s="8634" t="s">
        <v>24</v>
      </c>
      <c r="I1251" s="8634" t="s">
        <v>809</v>
      </c>
    </row>
    <row customHeight="1" ht="11.25">
      <c r="A1252" s="8634" t="s">
        <v>2182</v>
      </c>
      <c r="B1252" s="8634" t="s">
        <v>14</v>
      </c>
      <c r="C1252" s="8634" t="s">
        <v>2973</v>
      </c>
      <c r="D1252" s="8634" t="s">
        <v>2974</v>
      </c>
      <c r="E1252" s="8634" t="s">
        <v>2975</v>
      </c>
      <c r="F1252" s="8634" t="s">
        <v>2976</v>
      </c>
      <c r="G1252" s="8634" t="s">
        <v>2977</v>
      </c>
      <c r="H1252" s="8634" t="s">
        <v>24</v>
      </c>
      <c r="I1252" s="8634" t="s">
        <v>809</v>
      </c>
    </row>
    <row customHeight="1" ht="11.25">
      <c r="A1253" s="8634" t="s">
        <v>2182</v>
      </c>
      <c r="B1253" s="8634" t="s">
        <v>14</v>
      </c>
      <c r="C1253" s="8634" t="s">
        <v>2978</v>
      </c>
      <c r="D1253" s="8634" t="s">
        <v>2979</v>
      </c>
      <c r="E1253" s="8634" t="s">
        <v>2980</v>
      </c>
      <c r="F1253" s="8634" t="s">
        <v>2354</v>
      </c>
      <c r="G1253" s="8634" t="s">
        <v>24</v>
      </c>
      <c r="H1253" s="8634" t="s">
        <v>2981</v>
      </c>
      <c r="I1253" s="8634" t="s">
        <v>809</v>
      </c>
    </row>
    <row customHeight="1" ht="11.25">
      <c r="A1254" s="8634" t="s">
        <v>2182</v>
      </c>
      <c r="B1254" s="8634" t="s">
        <v>14</v>
      </c>
      <c r="C1254" s="8634" t="s">
        <v>2997</v>
      </c>
      <c r="D1254" s="8634" t="s">
        <v>2998</v>
      </c>
      <c r="E1254" s="8634" t="s">
        <v>2999</v>
      </c>
      <c r="F1254" s="8634" t="s">
        <v>2322</v>
      </c>
      <c r="G1254" s="8634" t="s">
        <v>24</v>
      </c>
      <c r="H1254" s="8634" t="s">
        <v>3000</v>
      </c>
      <c r="I1254" s="8634" t="s">
        <v>809</v>
      </c>
    </row>
    <row customHeight="1" ht="11.25">
      <c r="A1255" s="8634" t="s">
        <v>2182</v>
      </c>
      <c r="B1255" s="8634" t="s">
        <v>14</v>
      </c>
      <c r="C1255" s="8634" t="s">
        <v>3008</v>
      </c>
      <c r="D1255" s="8634" t="s">
        <v>3009</v>
      </c>
      <c r="E1255" s="8634" t="s">
        <v>3010</v>
      </c>
      <c r="F1255" s="8634" t="s">
        <v>3011</v>
      </c>
      <c r="G1255" s="8634" t="s">
        <v>3012</v>
      </c>
      <c r="H1255" s="8634" t="s">
        <v>24</v>
      </c>
      <c r="I1255" s="8634" t="s">
        <v>809</v>
      </c>
    </row>
    <row customHeight="1" ht="11.25">
      <c r="A1256" s="8634" t="s">
        <v>2182</v>
      </c>
      <c r="B1256" s="8634" t="s">
        <v>14</v>
      </c>
      <c r="C1256" s="8634" t="s">
        <v>3018</v>
      </c>
      <c r="D1256" s="8634" t="s">
        <v>3019</v>
      </c>
      <c r="E1256" s="8634" t="s">
        <v>3020</v>
      </c>
      <c r="F1256" s="8634" t="s">
        <v>2389</v>
      </c>
      <c r="G1256" s="8634" t="s">
        <v>3021</v>
      </c>
      <c r="H1256" s="8634" t="s">
        <v>24</v>
      </c>
      <c r="I1256" s="8634" t="s">
        <v>809</v>
      </c>
    </row>
    <row customHeight="1" ht="11.25">
      <c r="A1257" s="8634" t="s">
        <v>2182</v>
      </c>
      <c r="B1257" s="8634" t="s">
        <v>14</v>
      </c>
      <c r="C1257" s="8634" t="s">
        <v>3022</v>
      </c>
      <c r="D1257" s="8634" t="s">
        <v>3023</v>
      </c>
      <c r="E1257" s="8634" t="s">
        <v>3024</v>
      </c>
      <c r="F1257" s="8634" t="s">
        <v>2854</v>
      </c>
      <c r="G1257" s="8634" t="s">
        <v>3025</v>
      </c>
      <c r="H1257" s="8634" t="s">
        <v>24</v>
      </c>
      <c r="I1257" s="8634" t="s">
        <v>809</v>
      </c>
    </row>
    <row customHeight="1" ht="11.25">
      <c r="A1258" s="8634" t="s">
        <v>2182</v>
      </c>
      <c r="B1258" s="8634" t="s">
        <v>14</v>
      </c>
      <c r="C1258" s="8634" t="s">
        <v>3029</v>
      </c>
      <c r="D1258" s="8634" t="s">
        <v>3030</v>
      </c>
      <c r="E1258" s="8634" t="s">
        <v>3031</v>
      </c>
      <c r="F1258" s="8634" t="s">
        <v>2344</v>
      </c>
      <c r="G1258" s="8634" t="s">
        <v>3032</v>
      </c>
      <c r="H1258" s="8634" t="s">
        <v>24</v>
      </c>
      <c r="I1258" s="8634" t="s">
        <v>809</v>
      </c>
    </row>
    <row customHeight="1" ht="11.25">
      <c r="A1259" s="8634" t="s">
        <v>2182</v>
      </c>
      <c r="B1259" s="8634" t="s">
        <v>14</v>
      </c>
      <c r="C1259" s="8634" t="s">
        <v>3033</v>
      </c>
      <c r="D1259" s="8634" t="s">
        <v>3034</v>
      </c>
      <c r="E1259" s="8634" t="s">
        <v>3035</v>
      </c>
      <c r="F1259" s="8634" t="s">
        <v>2398</v>
      </c>
      <c r="G1259" s="8634" t="s">
        <v>3036</v>
      </c>
      <c r="H1259" s="8634" t="s">
        <v>24</v>
      </c>
      <c r="I1259" s="8634" t="s">
        <v>809</v>
      </c>
    </row>
    <row customHeight="1" ht="11.25">
      <c r="A1260" s="8634" t="s">
        <v>2182</v>
      </c>
      <c r="B1260" s="8634" t="s">
        <v>14</v>
      </c>
      <c r="C1260" s="8634" t="s">
        <v>6279</v>
      </c>
      <c r="D1260" s="8634" t="s">
        <v>6280</v>
      </c>
      <c r="E1260" s="8634" t="s">
        <v>6281</v>
      </c>
      <c r="F1260" s="8634" t="s">
        <v>2334</v>
      </c>
      <c r="G1260" s="8634" t="s">
        <v>24</v>
      </c>
      <c r="H1260" s="8634" t="s">
        <v>2187</v>
      </c>
      <c r="I1260" s="8634" t="s">
        <v>809</v>
      </c>
    </row>
    <row customHeight="1" ht="11.25">
      <c r="A1261" s="8634" t="s">
        <v>2182</v>
      </c>
      <c r="B1261" s="8634" t="s">
        <v>14</v>
      </c>
      <c r="C1261" s="8634" t="s">
        <v>6282</v>
      </c>
      <c r="D1261" s="8634" t="s">
        <v>6283</v>
      </c>
      <c r="E1261" s="8634" t="s">
        <v>6284</v>
      </c>
      <c r="F1261" s="8634" t="s">
        <v>2334</v>
      </c>
      <c r="G1261" s="8634" t="s">
        <v>6285</v>
      </c>
      <c r="H1261" s="8634" t="s">
        <v>2187</v>
      </c>
      <c r="I1261" s="8634" t="s">
        <v>809</v>
      </c>
    </row>
    <row customHeight="1" ht="11.25">
      <c r="A1262" s="8634" t="s">
        <v>2182</v>
      </c>
      <c r="B1262" s="8634" t="s">
        <v>14</v>
      </c>
      <c r="C1262" s="8634" t="s">
        <v>3037</v>
      </c>
      <c r="D1262" s="8634" t="s">
        <v>3038</v>
      </c>
      <c r="E1262" s="8634" t="s">
        <v>3039</v>
      </c>
      <c r="F1262" s="8634" t="s">
        <v>3040</v>
      </c>
      <c r="G1262" s="8634" t="s">
        <v>3041</v>
      </c>
      <c r="H1262" s="8634" t="s">
        <v>24</v>
      </c>
      <c r="I1262" s="8634" t="s">
        <v>809</v>
      </c>
    </row>
    <row customHeight="1" ht="11.25">
      <c r="A1263" s="8634" t="s">
        <v>2182</v>
      </c>
      <c r="B1263" s="8634" t="s">
        <v>14</v>
      </c>
      <c r="C1263" s="8634" t="s">
        <v>6286</v>
      </c>
      <c r="D1263" s="8634" t="s">
        <v>6287</v>
      </c>
      <c r="E1263" s="8634" t="s">
        <v>6288</v>
      </c>
      <c r="F1263" s="8634" t="s">
        <v>2349</v>
      </c>
      <c r="G1263" s="8634" t="s">
        <v>24</v>
      </c>
      <c r="H1263" s="8634" t="s">
        <v>2187</v>
      </c>
      <c r="I1263" s="8634" t="s">
        <v>809</v>
      </c>
    </row>
    <row customHeight="1" ht="11.25">
      <c r="A1264" s="8634" t="s">
        <v>2182</v>
      </c>
      <c r="B1264" s="8634" t="s">
        <v>14</v>
      </c>
      <c r="C1264" s="8634" t="s">
        <v>3047</v>
      </c>
      <c r="D1264" s="8634" t="s">
        <v>3048</v>
      </c>
      <c r="E1264" s="8634" t="s">
        <v>3049</v>
      </c>
      <c r="F1264" s="8634" t="s">
        <v>3050</v>
      </c>
      <c r="G1264" s="8634" t="s">
        <v>3051</v>
      </c>
      <c r="H1264" s="8634" t="s">
        <v>24</v>
      </c>
      <c r="I1264" s="8634" t="s">
        <v>809</v>
      </c>
    </row>
    <row customHeight="1" ht="11.25">
      <c r="A1265" s="8634" t="s">
        <v>2182</v>
      </c>
      <c r="B1265" s="8634" t="s">
        <v>14</v>
      </c>
      <c r="C1265" s="8634" t="s">
        <v>3055</v>
      </c>
      <c r="D1265" s="8634" t="s">
        <v>3056</v>
      </c>
      <c r="E1265" s="8634" t="s">
        <v>3057</v>
      </c>
      <c r="F1265" s="8634" t="s">
        <v>2394</v>
      </c>
      <c r="G1265" s="8634" t="s">
        <v>24</v>
      </c>
      <c r="H1265" s="8634" t="s">
        <v>24</v>
      </c>
      <c r="I1265" s="8634" t="s">
        <v>809</v>
      </c>
    </row>
    <row customHeight="1" ht="11.25">
      <c r="A1266" s="8634" t="s">
        <v>2182</v>
      </c>
      <c r="B1266" s="8634" t="s">
        <v>14</v>
      </c>
      <c r="C1266" s="8634" t="s">
        <v>3071</v>
      </c>
      <c r="D1266" s="8634" t="s">
        <v>3072</v>
      </c>
      <c r="E1266" s="8634" t="s">
        <v>3073</v>
      </c>
      <c r="F1266" s="8634" t="s">
        <v>2250</v>
      </c>
      <c r="G1266" s="8634" t="s">
        <v>24</v>
      </c>
      <c r="H1266" s="8634" t="s">
        <v>24</v>
      </c>
      <c r="I1266" s="8634" t="s">
        <v>809</v>
      </c>
    </row>
    <row customHeight="1" ht="11.25">
      <c r="A1267" s="8634" t="s">
        <v>2182</v>
      </c>
      <c r="B1267" s="8634" t="s">
        <v>14</v>
      </c>
      <c r="C1267" s="8634" t="s">
        <v>3077</v>
      </c>
      <c r="D1267" s="8634" t="s">
        <v>3075</v>
      </c>
      <c r="E1267" s="8634" t="s">
        <v>3076</v>
      </c>
      <c r="F1267" s="8634" t="s">
        <v>3078</v>
      </c>
      <c r="G1267" s="8634" t="s">
        <v>24</v>
      </c>
      <c r="H1267" s="8634" t="s">
        <v>3079</v>
      </c>
      <c r="I1267" s="8634" t="s">
        <v>809</v>
      </c>
    </row>
    <row customHeight="1" ht="11.25">
      <c r="A1268" s="8634" t="s">
        <v>2182</v>
      </c>
      <c r="B1268" s="8634" t="s">
        <v>14</v>
      </c>
      <c r="C1268" s="8634" t="s">
        <v>3090</v>
      </c>
      <c r="D1268" s="8634" t="s">
        <v>3091</v>
      </c>
      <c r="E1268" s="8634" t="s">
        <v>3092</v>
      </c>
      <c r="F1268" s="8634" t="s">
        <v>2245</v>
      </c>
      <c r="G1268" s="8634" t="s">
        <v>24</v>
      </c>
      <c r="H1268" s="8634" t="s">
        <v>3093</v>
      </c>
      <c r="I1268" s="8634" t="s">
        <v>809</v>
      </c>
    </row>
    <row customHeight="1" ht="11.25">
      <c r="A1269" s="8634" t="s">
        <v>2182</v>
      </c>
      <c r="B1269" s="8634" t="s">
        <v>14</v>
      </c>
      <c r="C1269" s="8634" t="s">
        <v>3101</v>
      </c>
      <c r="D1269" s="8634" t="s">
        <v>3102</v>
      </c>
      <c r="E1269" s="8634" t="s">
        <v>3103</v>
      </c>
      <c r="F1269" s="8634" t="s">
        <v>2600</v>
      </c>
      <c r="G1269" s="8634" t="s">
        <v>3104</v>
      </c>
      <c r="H1269" s="8634" t="s">
        <v>24</v>
      </c>
      <c r="I1269" s="8634" t="s">
        <v>809</v>
      </c>
    </row>
    <row customHeight="1" ht="11.25">
      <c r="A1270" s="8634" t="s">
        <v>2182</v>
      </c>
      <c r="B1270" s="8634" t="s">
        <v>14</v>
      </c>
      <c r="C1270" s="8634" t="s">
        <v>3109</v>
      </c>
      <c r="D1270" s="8634" t="s">
        <v>3110</v>
      </c>
      <c r="E1270" s="8634" t="s">
        <v>3111</v>
      </c>
      <c r="F1270" s="8634" t="s">
        <v>3007</v>
      </c>
      <c r="G1270" s="8634" t="s">
        <v>24</v>
      </c>
      <c r="H1270" s="8634" t="s">
        <v>2187</v>
      </c>
      <c r="I1270" s="8634" t="s">
        <v>809</v>
      </c>
    </row>
    <row customHeight="1" ht="11.25">
      <c r="A1271" s="8634" t="s">
        <v>2182</v>
      </c>
      <c r="B1271" s="8634" t="s">
        <v>14</v>
      </c>
      <c r="C1271" s="8634" t="s">
        <v>3123</v>
      </c>
      <c r="D1271" s="8634" t="s">
        <v>3124</v>
      </c>
      <c r="E1271" s="8634" t="s">
        <v>3125</v>
      </c>
      <c r="F1271" s="8634" t="s">
        <v>3126</v>
      </c>
      <c r="G1271" s="8634" t="s">
        <v>24</v>
      </c>
      <c r="H1271" s="8634" t="s">
        <v>24</v>
      </c>
      <c r="I1271" s="8634" t="s">
        <v>809</v>
      </c>
    </row>
    <row customHeight="1" ht="11.25">
      <c r="A1272" s="8634" t="s">
        <v>2182</v>
      </c>
      <c r="B1272" s="8634" t="s">
        <v>14</v>
      </c>
      <c r="C1272" s="8634" t="s">
        <v>6289</v>
      </c>
      <c r="D1272" s="8634" t="s">
        <v>6290</v>
      </c>
      <c r="E1272" s="8634" t="s">
        <v>6291</v>
      </c>
      <c r="F1272" s="8634" t="s">
        <v>2223</v>
      </c>
      <c r="G1272" s="8634" t="s">
        <v>24</v>
      </c>
      <c r="H1272" s="8634" t="s">
        <v>24</v>
      </c>
      <c r="I1272" s="8634" t="s">
        <v>809</v>
      </c>
    </row>
    <row customHeight="1" ht="11.25">
      <c r="A1273" s="8634" t="s">
        <v>2182</v>
      </c>
      <c r="B1273" s="8634" t="s">
        <v>14</v>
      </c>
      <c r="C1273" s="8634" t="s">
        <v>3154</v>
      </c>
      <c r="D1273" s="8634" t="s">
        <v>3155</v>
      </c>
      <c r="E1273" s="8634" t="s">
        <v>3156</v>
      </c>
      <c r="F1273" s="8634" t="s">
        <v>2854</v>
      </c>
      <c r="G1273" s="8634" t="s">
        <v>3157</v>
      </c>
      <c r="H1273" s="8634" t="s">
        <v>24</v>
      </c>
      <c r="I1273" s="8634" t="s">
        <v>809</v>
      </c>
    </row>
    <row customHeight="1" ht="11.25">
      <c r="A1274" s="8634" t="s">
        <v>2182</v>
      </c>
      <c r="B1274" s="8634" t="s">
        <v>14</v>
      </c>
      <c r="C1274" s="8634" t="s">
        <v>3158</v>
      </c>
      <c r="D1274" s="8634" t="s">
        <v>3159</v>
      </c>
      <c r="E1274" s="8634" t="s">
        <v>3160</v>
      </c>
      <c r="F1274" s="8634" t="s">
        <v>2213</v>
      </c>
      <c r="G1274" s="8634" t="s">
        <v>3161</v>
      </c>
      <c r="H1274" s="8634" t="s">
        <v>24</v>
      </c>
      <c r="I1274" s="8634" t="s">
        <v>809</v>
      </c>
    </row>
    <row customHeight="1" ht="11.25">
      <c r="A1275" s="8634" t="s">
        <v>2182</v>
      </c>
      <c r="B1275" s="8634" t="s">
        <v>14</v>
      </c>
      <c r="C1275" s="8634" t="s">
        <v>3171</v>
      </c>
      <c r="D1275" s="8634" t="s">
        <v>3172</v>
      </c>
      <c r="E1275" s="8634" t="s">
        <v>3173</v>
      </c>
      <c r="F1275" s="8634" t="s">
        <v>2600</v>
      </c>
      <c r="G1275" s="8634" t="s">
        <v>3174</v>
      </c>
      <c r="H1275" s="8634" t="s">
        <v>24</v>
      </c>
      <c r="I1275" s="8634" t="s">
        <v>809</v>
      </c>
    </row>
    <row customHeight="1" ht="11.25">
      <c r="A1276" s="8634" t="s">
        <v>2182</v>
      </c>
      <c r="B1276" s="8634" t="s">
        <v>14</v>
      </c>
      <c r="C1276" s="8634" t="s">
        <v>3181</v>
      </c>
      <c r="D1276" s="8634" t="s">
        <v>3182</v>
      </c>
      <c r="E1276" s="8634" t="s">
        <v>3183</v>
      </c>
      <c r="F1276" s="8634" t="s">
        <v>2186</v>
      </c>
      <c r="G1276" s="8634" t="s">
        <v>24</v>
      </c>
      <c r="H1276" s="8634" t="s">
        <v>24</v>
      </c>
      <c r="I1276" s="8634" t="s">
        <v>809</v>
      </c>
    </row>
    <row customHeight="1" ht="11.25">
      <c r="A1277" s="8634" t="s">
        <v>2182</v>
      </c>
      <c r="B1277" s="8634" t="s">
        <v>14</v>
      </c>
      <c r="C1277" s="8634" t="s">
        <v>3187</v>
      </c>
      <c r="D1277" s="8634" t="s">
        <v>3188</v>
      </c>
      <c r="E1277" s="8634" t="s">
        <v>3189</v>
      </c>
      <c r="F1277" s="8634" t="s">
        <v>2322</v>
      </c>
      <c r="G1277" s="8634" t="s">
        <v>24</v>
      </c>
      <c r="H1277" s="8634" t="s">
        <v>2187</v>
      </c>
      <c r="I1277" s="8634" t="s">
        <v>809</v>
      </c>
    </row>
    <row customHeight="1" ht="11.25">
      <c r="A1278" s="8634" t="s">
        <v>2182</v>
      </c>
      <c r="B1278" s="8634" t="s">
        <v>14</v>
      </c>
      <c r="C1278" s="8634" t="s">
        <v>3193</v>
      </c>
      <c r="D1278" s="8634" t="s">
        <v>3194</v>
      </c>
      <c r="E1278" s="8634" t="s">
        <v>3195</v>
      </c>
      <c r="F1278" s="8634" t="s">
        <v>2398</v>
      </c>
      <c r="G1278" s="8634" t="s">
        <v>3196</v>
      </c>
      <c r="H1278" s="8634" t="s">
        <v>2187</v>
      </c>
      <c r="I1278" s="8634" t="s">
        <v>809</v>
      </c>
    </row>
    <row customHeight="1" ht="11.25">
      <c r="A1279" s="8634" t="s">
        <v>2182</v>
      </c>
      <c r="B1279" s="8634" t="s">
        <v>14</v>
      </c>
      <c r="C1279" s="8634" t="s">
        <v>3197</v>
      </c>
      <c r="D1279" s="8634" t="s">
        <v>3198</v>
      </c>
      <c r="E1279" s="8634" t="s">
        <v>3199</v>
      </c>
      <c r="F1279" s="8634" t="s">
        <v>3200</v>
      </c>
      <c r="G1279" s="8634" t="s">
        <v>3201</v>
      </c>
      <c r="H1279" s="8634" t="s">
        <v>24</v>
      </c>
      <c r="I1279" s="8634" t="s">
        <v>809</v>
      </c>
    </row>
    <row customHeight="1" ht="11.25">
      <c r="A1280" s="8634" t="s">
        <v>2182</v>
      </c>
      <c r="B1280" s="8634" t="s">
        <v>14</v>
      </c>
      <c r="C1280" s="8634" t="s">
        <v>3205</v>
      </c>
      <c r="D1280" s="8634" t="s">
        <v>3206</v>
      </c>
      <c r="E1280" s="8634" t="s">
        <v>3207</v>
      </c>
      <c r="F1280" s="8634" t="s">
        <v>2334</v>
      </c>
      <c r="G1280" s="8634" t="s">
        <v>3208</v>
      </c>
      <c r="H1280" s="8634" t="s">
        <v>24</v>
      </c>
      <c r="I1280" s="8634" t="s">
        <v>809</v>
      </c>
    </row>
    <row customHeight="1" ht="11.25">
      <c r="A1281" s="8634" t="s">
        <v>2182</v>
      </c>
      <c r="B1281" s="8634" t="s">
        <v>14</v>
      </c>
      <c r="C1281" s="8634" t="s">
        <v>6292</v>
      </c>
      <c r="D1281" s="8634" t="s">
        <v>6293</v>
      </c>
      <c r="E1281" s="8634" t="s">
        <v>6294</v>
      </c>
      <c r="F1281" s="8634" t="s">
        <v>2460</v>
      </c>
      <c r="G1281" s="8634" t="s">
        <v>24</v>
      </c>
      <c r="H1281" s="8634" t="s">
        <v>2187</v>
      </c>
      <c r="I1281" s="8634" t="s">
        <v>809</v>
      </c>
    </row>
    <row customHeight="1" ht="11.25">
      <c r="A1282" s="8634" t="s">
        <v>2182</v>
      </c>
      <c r="B1282" s="8634" t="s">
        <v>14</v>
      </c>
      <c r="C1282" s="8634" t="s">
        <v>3226</v>
      </c>
      <c r="D1282" s="8634" t="s">
        <v>3227</v>
      </c>
      <c r="E1282" s="8634" t="s">
        <v>3228</v>
      </c>
      <c r="F1282" s="8634" t="s">
        <v>2626</v>
      </c>
      <c r="G1282" s="8634" t="s">
        <v>24</v>
      </c>
      <c r="H1282" s="8634" t="s">
        <v>2187</v>
      </c>
      <c r="I1282" s="8634" t="s">
        <v>809</v>
      </c>
    </row>
    <row customHeight="1" ht="11.25">
      <c r="A1283" s="8634" t="s">
        <v>2182</v>
      </c>
      <c r="B1283" s="8634" t="s">
        <v>14</v>
      </c>
      <c r="C1283" s="8634" t="s">
        <v>3232</v>
      </c>
      <c r="D1283" s="8634" t="s">
        <v>3233</v>
      </c>
      <c r="E1283" s="8634" t="s">
        <v>3234</v>
      </c>
      <c r="F1283" s="8634" t="s">
        <v>3235</v>
      </c>
      <c r="G1283" s="8634" t="s">
        <v>24</v>
      </c>
      <c r="H1283" s="8634" t="s">
        <v>2187</v>
      </c>
      <c r="I1283" s="8634" t="s">
        <v>809</v>
      </c>
    </row>
    <row customHeight="1" ht="11.25">
      <c r="A1284" s="8634" t="s">
        <v>2182</v>
      </c>
      <c r="B1284" s="8634" t="s">
        <v>14</v>
      </c>
      <c r="C1284" s="8634" t="s">
        <v>3255</v>
      </c>
      <c r="D1284" s="8634" t="s">
        <v>3256</v>
      </c>
      <c r="E1284" s="8634" t="s">
        <v>3257</v>
      </c>
      <c r="F1284" s="8634" t="s">
        <v>575</v>
      </c>
      <c r="G1284" s="8634" t="s">
        <v>3258</v>
      </c>
      <c r="H1284" s="8634" t="s">
        <v>24</v>
      </c>
      <c r="I1284" s="8634" t="s">
        <v>809</v>
      </c>
    </row>
    <row customHeight="1" ht="11.25">
      <c r="A1285" s="8634" t="s">
        <v>2182</v>
      </c>
      <c r="B1285" s="8634" t="s">
        <v>14</v>
      </c>
      <c r="C1285" s="8634" t="s">
        <v>24</v>
      </c>
      <c r="D1285" s="8634" t="s">
        <v>3263</v>
      </c>
      <c r="E1285" s="8634" t="s">
        <v>3264</v>
      </c>
      <c r="F1285" s="8634" t="s">
        <v>2218</v>
      </c>
      <c r="G1285" s="8634" t="s">
        <v>24</v>
      </c>
      <c r="H1285" s="8634" t="s">
        <v>24</v>
      </c>
      <c r="I1285" s="8634" t="s">
        <v>809</v>
      </c>
    </row>
    <row customHeight="1" ht="11.25">
      <c r="A1286" s="8634" t="s">
        <v>2182</v>
      </c>
      <c r="B1286" s="8634" t="s">
        <v>14</v>
      </c>
      <c r="C1286" s="8634" t="s">
        <v>3265</v>
      </c>
      <c r="D1286" s="8634" t="s">
        <v>3266</v>
      </c>
      <c r="E1286" s="8634" t="s">
        <v>3267</v>
      </c>
      <c r="F1286" s="8634" t="s">
        <v>2721</v>
      </c>
      <c r="G1286" s="8634" t="s">
        <v>24</v>
      </c>
      <c r="H1286" s="8634" t="s">
        <v>2993</v>
      </c>
      <c r="I1286" s="8634" t="s">
        <v>809</v>
      </c>
    </row>
    <row customHeight="1" ht="11.25">
      <c r="A1287" s="8634" t="s">
        <v>2182</v>
      </c>
      <c r="B1287" s="8634" t="s">
        <v>14</v>
      </c>
      <c r="C1287" s="8634" t="s">
        <v>3275</v>
      </c>
      <c r="D1287" s="8634" t="s">
        <v>3276</v>
      </c>
      <c r="E1287" s="8634" t="s">
        <v>3277</v>
      </c>
      <c r="F1287" s="8634" t="s">
        <v>3278</v>
      </c>
      <c r="G1287" s="8634" t="s">
        <v>3279</v>
      </c>
      <c r="H1287" s="8634" t="s">
        <v>24</v>
      </c>
      <c r="I1287" s="8634" t="s">
        <v>809</v>
      </c>
    </row>
    <row customHeight="1" ht="11.25">
      <c r="A1288" s="8634" t="s">
        <v>2182</v>
      </c>
      <c r="B1288" s="8634" t="s">
        <v>14</v>
      </c>
      <c r="C1288" s="8634" t="s">
        <v>3280</v>
      </c>
      <c r="D1288" s="8634" t="s">
        <v>3281</v>
      </c>
      <c r="E1288" s="8634" t="s">
        <v>3282</v>
      </c>
      <c r="F1288" s="8634" t="s">
        <v>2339</v>
      </c>
      <c r="G1288" s="8634" t="s">
        <v>24</v>
      </c>
      <c r="H1288" s="8634" t="s">
        <v>24</v>
      </c>
      <c r="I1288" s="8634" t="s">
        <v>809</v>
      </c>
    </row>
    <row customHeight="1" ht="11.25">
      <c r="A1289" s="8634" t="s">
        <v>2182</v>
      </c>
      <c r="B1289" s="8634" t="s">
        <v>14</v>
      </c>
      <c r="C1289" s="8634" t="s">
        <v>3286</v>
      </c>
      <c r="D1289" s="8634" t="s">
        <v>3287</v>
      </c>
      <c r="E1289" s="8634" t="s">
        <v>2194</v>
      </c>
      <c r="F1289" s="8634" t="s">
        <v>3288</v>
      </c>
      <c r="G1289" s="8634" t="s">
        <v>24</v>
      </c>
      <c r="H1289" s="8634" t="s">
        <v>2196</v>
      </c>
      <c r="I1289" s="8634" t="s">
        <v>809</v>
      </c>
    </row>
    <row customHeight="1" ht="11.25">
      <c r="A1290" s="8634" t="s">
        <v>2182</v>
      </c>
      <c r="B1290" s="8634" t="s">
        <v>14</v>
      </c>
      <c r="C1290" s="8634" t="s">
        <v>3292</v>
      </c>
      <c r="D1290" s="8634" t="s">
        <v>3293</v>
      </c>
      <c r="E1290" s="8634" t="s">
        <v>3294</v>
      </c>
      <c r="F1290" s="8634" t="s">
        <v>3295</v>
      </c>
      <c r="G1290" s="8634" t="s">
        <v>3296</v>
      </c>
      <c r="H1290" s="8634" t="s">
        <v>24</v>
      </c>
      <c r="I1290" s="8634" t="s">
        <v>809</v>
      </c>
    </row>
    <row customHeight="1" ht="11.25">
      <c r="A1291" s="8634" t="s">
        <v>2182</v>
      </c>
      <c r="B1291" s="8634" t="s">
        <v>14</v>
      </c>
      <c r="C1291" s="8634" t="s">
        <v>3300</v>
      </c>
      <c r="D1291" s="8634" t="s">
        <v>3301</v>
      </c>
      <c r="E1291" s="8634" t="s">
        <v>3302</v>
      </c>
      <c r="F1291" s="8634" t="s">
        <v>2411</v>
      </c>
      <c r="G1291" s="8634" t="s">
        <v>3303</v>
      </c>
      <c r="H1291" s="8634" t="s">
        <v>24</v>
      </c>
      <c r="I1291" s="8634" t="s">
        <v>809</v>
      </c>
    </row>
    <row customHeight="1" ht="11.25">
      <c r="A1292" s="8634" t="s">
        <v>2182</v>
      </c>
      <c r="B1292" s="8634" t="s">
        <v>14</v>
      </c>
      <c r="C1292" s="8634" t="s">
        <v>3304</v>
      </c>
      <c r="D1292" s="8634" t="s">
        <v>3305</v>
      </c>
      <c r="E1292" s="8634" t="s">
        <v>3306</v>
      </c>
      <c r="F1292" s="8634" t="s">
        <v>2411</v>
      </c>
      <c r="G1292" s="8634" t="s">
        <v>3307</v>
      </c>
      <c r="H1292" s="8634" t="s">
        <v>2400</v>
      </c>
      <c r="I1292" s="8634" t="s">
        <v>809</v>
      </c>
    </row>
    <row customHeight="1" ht="11.25">
      <c r="A1293" s="8634" t="s">
        <v>2182</v>
      </c>
      <c r="B1293" s="8634" t="s">
        <v>14</v>
      </c>
      <c r="C1293" s="8634" t="s">
        <v>3308</v>
      </c>
      <c r="D1293" s="8634" t="s">
        <v>3309</v>
      </c>
      <c r="E1293" s="8634" t="s">
        <v>3310</v>
      </c>
      <c r="F1293" s="8634" t="s">
        <v>2411</v>
      </c>
      <c r="G1293" s="8634" t="s">
        <v>3311</v>
      </c>
      <c r="H1293" s="8634" t="s">
        <v>2400</v>
      </c>
      <c r="I1293" s="8634" t="s">
        <v>809</v>
      </c>
    </row>
    <row customHeight="1" ht="11.25">
      <c r="A1294" s="8634" t="s">
        <v>2182</v>
      </c>
      <c r="B1294" s="8634" t="s">
        <v>14</v>
      </c>
      <c r="C1294" s="8634" t="s">
        <v>3315</v>
      </c>
      <c r="D1294" s="8634" t="s">
        <v>3316</v>
      </c>
      <c r="E1294" s="8634" t="s">
        <v>3317</v>
      </c>
      <c r="F1294" s="8634" t="s">
        <v>2334</v>
      </c>
      <c r="G1294" s="8634" t="s">
        <v>24</v>
      </c>
      <c r="H1294" s="8634" t="s">
        <v>2187</v>
      </c>
      <c r="I1294" s="8634" t="s">
        <v>809</v>
      </c>
    </row>
    <row customHeight="1" ht="11.25">
      <c r="A1295" s="8634" t="s">
        <v>2182</v>
      </c>
      <c r="B1295" s="8634" t="s">
        <v>14</v>
      </c>
      <c r="C1295" s="8634" t="s">
        <v>3318</v>
      </c>
      <c r="D1295" s="8634" t="s">
        <v>3319</v>
      </c>
      <c r="E1295" s="8634" t="s">
        <v>3320</v>
      </c>
      <c r="F1295" s="8634" t="s">
        <v>3278</v>
      </c>
      <c r="G1295" s="8634" t="s">
        <v>24</v>
      </c>
      <c r="H1295" s="8634" t="s">
        <v>3321</v>
      </c>
      <c r="I1295" s="8634" t="s">
        <v>809</v>
      </c>
    </row>
    <row customHeight="1" ht="11.25">
      <c r="A1296" s="8634" t="s">
        <v>2182</v>
      </c>
      <c r="B1296" s="8634" t="s">
        <v>14</v>
      </c>
      <c r="C1296" s="8634" t="s">
        <v>3325</v>
      </c>
      <c r="D1296" s="8634" t="s">
        <v>3326</v>
      </c>
      <c r="E1296" s="8634" t="s">
        <v>3327</v>
      </c>
      <c r="F1296" s="8634" t="s">
        <v>2890</v>
      </c>
      <c r="G1296" s="8634" t="s">
        <v>3328</v>
      </c>
      <c r="H1296" s="8634" t="s">
        <v>24</v>
      </c>
      <c r="I1296" s="8634" t="s">
        <v>809</v>
      </c>
    </row>
    <row customHeight="1" ht="11.25">
      <c r="A1297" s="8634" t="s">
        <v>2182</v>
      </c>
      <c r="B1297" s="8634" t="s">
        <v>14</v>
      </c>
      <c r="C1297" s="8634" t="s">
        <v>3329</v>
      </c>
      <c r="D1297" s="8634" t="s">
        <v>3330</v>
      </c>
      <c r="E1297" s="8634" t="s">
        <v>3331</v>
      </c>
      <c r="F1297" s="8634" t="s">
        <v>3332</v>
      </c>
      <c r="G1297" s="8634" t="s">
        <v>24</v>
      </c>
      <c r="H1297" s="8634" t="s">
        <v>2187</v>
      </c>
      <c r="I1297" s="8634" t="s">
        <v>809</v>
      </c>
    </row>
    <row customHeight="1" ht="11.25">
      <c r="A1298" s="8634" t="s">
        <v>2182</v>
      </c>
      <c r="B1298" s="8634" t="s">
        <v>14</v>
      </c>
      <c r="C1298" s="8634" t="s">
        <v>3333</v>
      </c>
      <c r="D1298" s="8634" t="s">
        <v>3334</v>
      </c>
      <c r="E1298" s="8634" t="s">
        <v>3335</v>
      </c>
      <c r="F1298" s="8634" t="s">
        <v>3007</v>
      </c>
      <c r="G1298" s="8634" t="s">
        <v>24</v>
      </c>
      <c r="H1298" s="8634" t="s">
        <v>24</v>
      </c>
      <c r="I1298" s="8634" t="s">
        <v>809</v>
      </c>
    </row>
    <row customHeight="1" ht="11.25">
      <c r="A1299" s="8634" t="s">
        <v>2182</v>
      </c>
      <c r="B1299" s="8634" t="s">
        <v>14</v>
      </c>
      <c r="C1299" s="8634" t="s">
        <v>3336</v>
      </c>
      <c r="D1299" s="8634" t="s">
        <v>3337</v>
      </c>
      <c r="E1299" s="8634" t="s">
        <v>3338</v>
      </c>
      <c r="F1299" s="8634" t="s">
        <v>2322</v>
      </c>
      <c r="G1299" s="8634" t="s">
        <v>3339</v>
      </c>
      <c r="H1299" s="8634" t="s">
        <v>24</v>
      </c>
      <c r="I1299" s="8634" t="s">
        <v>809</v>
      </c>
    </row>
    <row customHeight="1" ht="11.25">
      <c r="A1300" s="8634" t="s">
        <v>2182</v>
      </c>
      <c r="B1300" s="8634" t="s">
        <v>14</v>
      </c>
      <c r="C1300" s="8634" t="s">
        <v>3340</v>
      </c>
      <c r="D1300" s="8634" t="s">
        <v>3341</v>
      </c>
      <c r="E1300" s="8634" t="s">
        <v>3342</v>
      </c>
      <c r="F1300" s="8634" t="s">
        <v>3332</v>
      </c>
      <c r="G1300" s="8634" t="s">
        <v>24</v>
      </c>
      <c r="H1300" s="8634" t="s">
        <v>24</v>
      </c>
      <c r="I1300" s="8634" t="s">
        <v>809</v>
      </c>
    </row>
    <row customHeight="1" ht="11.25">
      <c r="A1301" s="8634" t="s">
        <v>2182</v>
      </c>
      <c r="B1301" s="8634" t="s">
        <v>14</v>
      </c>
      <c r="C1301" s="8634" t="s">
        <v>3343</v>
      </c>
      <c r="D1301" s="8634" t="s">
        <v>3344</v>
      </c>
      <c r="E1301" s="8634" t="s">
        <v>3345</v>
      </c>
      <c r="F1301" s="8634" t="s">
        <v>3346</v>
      </c>
      <c r="G1301" s="8634" t="s">
        <v>3347</v>
      </c>
      <c r="H1301" s="8634" t="s">
        <v>24</v>
      </c>
      <c r="I1301" s="8634" t="s">
        <v>809</v>
      </c>
    </row>
    <row customHeight="1" ht="11.25">
      <c r="A1302" s="8634" t="s">
        <v>2182</v>
      </c>
      <c r="B1302" s="8634" t="s">
        <v>14</v>
      </c>
      <c r="C1302" s="8634" t="s">
        <v>3348</v>
      </c>
      <c r="D1302" s="8634" t="s">
        <v>3349</v>
      </c>
      <c r="E1302" s="8634" t="s">
        <v>3350</v>
      </c>
      <c r="F1302" s="8634" t="s">
        <v>3278</v>
      </c>
      <c r="G1302" s="8634" t="s">
        <v>3351</v>
      </c>
      <c r="H1302" s="8634" t="s">
        <v>24</v>
      </c>
      <c r="I1302" s="8634" t="s">
        <v>809</v>
      </c>
    </row>
    <row customHeight="1" ht="11.25">
      <c r="A1303" s="8634" t="s">
        <v>2182</v>
      </c>
      <c r="B1303" s="8634" t="s">
        <v>14</v>
      </c>
      <c r="C1303" s="8634" t="s">
        <v>3355</v>
      </c>
      <c r="D1303" s="8634" t="s">
        <v>3356</v>
      </c>
      <c r="E1303" s="8634" t="s">
        <v>3357</v>
      </c>
      <c r="F1303" s="8634" t="s">
        <v>2563</v>
      </c>
      <c r="G1303" s="8634" t="s">
        <v>3358</v>
      </c>
      <c r="H1303" s="8634" t="s">
        <v>24</v>
      </c>
      <c r="I1303" s="8634" t="s">
        <v>809</v>
      </c>
    </row>
    <row customHeight="1" ht="11.25">
      <c r="A1304" s="8634" t="s">
        <v>2182</v>
      </c>
      <c r="B1304" s="8634" t="s">
        <v>14</v>
      </c>
      <c r="C1304" s="8634" t="s">
        <v>3359</v>
      </c>
      <c r="D1304" s="8634" t="s">
        <v>3360</v>
      </c>
      <c r="E1304" s="8634" t="s">
        <v>3361</v>
      </c>
      <c r="F1304" s="8634" t="s">
        <v>2269</v>
      </c>
      <c r="G1304" s="8634" t="s">
        <v>24</v>
      </c>
      <c r="H1304" s="8634" t="s">
        <v>2187</v>
      </c>
      <c r="I1304" s="8634" t="s">
        <v>809</v>
      </c>
    </row>
    <row customHeight="1" ht="11.25">
      <c r="A1305" s="8634" t="s">
        <v>2182</v>
      </c>
      <c r="B1305" s="8634" t="s">
        <v>14</v>
      </c>
      <c r="C1305" s="8634" t="s">
        <v>3362</v>
      </c>
      <c r="D1305" s="8634" t="s">
        <v>3363</v>
      </c>
      <c r="E1305" s="8634" t="s">
        <v>3364</v>
      </c>
      <c r="F1305" s="8634" t="s">
        <v>3365</v>
      </c>
      <c r="G1305" s="8634" t="s">
        <v>24</v>
      </c>
      <c r="H1305" s="8634" t="s">
        <v>3366</v>
      </c>
      <c r="I1305" s="8634" t="s">
        <v>809</v>
      </c>
    </row>
    <row customHeight="1" ht="11.25">
      <c r="A1306" s="8634" t="s">
        <v>2182</v>
      </c>
      <c r="B1306" s="8634" t="s">
        <v>14</v>
      </c>
      <c r="C1306" s="8634" t="s">
        <v>3367</v>
      </c>
      <c r="D1306" s="8634" t="s">
        <v>3368</v>
      </c>
      <c r="E1306" s="8634" t="s">
        <v>3369</v>
      </c>
      <c r="F1306" s="8634" t="s">
        <v>2322</v>
      </c>
      <c r="G1306" s="8634" t="s">
        <v>24</v>
      </c>
      <c r="H1306" s="8634" t="s">
        <v>24</v>
      </c>
      <c r="I1306" s="8634" t="s">
        <v>809</v>
      </c>
    </row>
    <row customHeight="1" ht="11.25">
      <c r="A1307" s="8634" t="s">
        <v>2182</v>
      </c>
      <c r="B1307" s="8634" t="s">
        <v>14</v>
      </c>
      <c r="C1307" s="8634" t="s">
        <v>3370</v>
      </c>
      <c r="D1307" s="8634" t="s">
        <v>3371</v>
      </c>
      <c r="E1307" s="8634" t="s">
        <v>3372</v>
      </c>
      <c r="F1307" s="8634" t="s">
        <v>2322</v>
      </c>
      <c r="G1307" s="8634" t="s">
        <v>3373</v>
      </c>
      <c r="H1307" s="8634" t="s">
        <v>24</v>
      </c>
      <c r="I1307" s="8634" t="s">
        <v>809</v>
      </c>
    </row>
    <row customHeight="1" ht="11.25">
      <c r="A1308" s="8634" t="s">
        <v>2182</v>
      </c>
      <c r="B1308" s="8634" t="s">
        <v>14</v>
      </c>
      <c r="C1308" s="8634" t="s">
        <v>3377</v>
      </c>
      <c r="D1308" s="8634" t="s">
        <v>3378</v>
      </c>
      <c r="E1308" s="8634" t="s">
        <v>3379</v>
      </c>
      <c r="F1308" s="8634" t="s">
        <v>2322</v>
      </c>
      <c r="G1308" s="8634" t="s">
        <v>24</v>
      </c>
      <c r="H1308" s="8634" t="s">
        <v>3000</v>
      </c>
      <c r="I1308" s="8634" t="s">
        <v>809</v>
      </c>
    </row>
    <row customHeight="1" ht="11.25">
      <c r="A1309" s="8634" t="s">
        <v>2182</v>
      </c>
      <c r="B1309" s="8634" t="s">
        <v>14</v>
      </c>
      <c r="C1309" s="8634" t="s">
        <v>3380</v>
      </c>
      <c r="D1309" s="8634" t="s">
        <v>3381</v>
      </c>
      <c r="E1309" s="8634" t="s">
        <v>3382</v>
      </c>
      <c r="F1309" s="8634" t="s">
        <v>3383</v>
      </c>
      <c r="G1309" s="8634" t="s">
        <v>24</v>
      </c>
      <c r="H1309" s="8634" t="s">
        <v>24</v>
      </c>
      <c r="I1309" s="8634" t="s">
        <v>809</v>
      </c>
    </row>
    <row customHeight="1" ht="11.25">
      <c r="A1310" s="8634" t="s">
        <v>2182</v>
      </c>
      <c r="B1310" s="8634" t="s">
        <v>14</v>
      </c>
      <c r="C1310" s="8634" t="s">
        <v>3384</v>
      </c>
      <c r="D1310" s="8634" t="s">
        <v>3385</v>
      </c>
      <c r="E1310" s="8634" t="s">
        <v>3386</v>
      </c>
      <c r="F1310" s="8634" t="s">
        <v>2398</v>
      </c>
      <c r="G1310" s="8634" t="s">
        <v>2886</v>
      </c>
      <c r="H1310" s="8634" t="s">
        <v>24</v>
      </c>
      <c r="I1310" s="8634" t="s">
        <v>809</v>
      </c>
    </row>
    <row customHeight="1" ht="11.25">
      <c r="A1311" s="8634" t="s">
        <v>2182</v>
      </c>
      <c r="B1311" s="8634" t="s">
        <v>14</v>
      </c>
      <c r="C1311" s="8634" t="s">
        <v>6295</v>
      </c>
      <c r="D1311" s="8634" t="s">
        <v>6296</v>
      </c>
      <c r="E1311" s="8634" t="s">
        <v>6297</v>
      </c>
      <c r="F1311" s="8634" t="s">
        <v>2330</v>
      </c>
      <c r="G1311" s="8634" t="s">
        <v>24</v>
      </c>
      <c r="H1311" s="8634" t="s">
        <v>2187</v>
      </c>
      <c r="I1311" s="8634" t="s">
        <v>809</v>
      </c>
    </row>
    <row customHeight="1" ht="11.25">
      <c r="A1312" s="8634" t="s">
        <v>2182</v>
      </c>
      <c r="B1312" s="8634" t="s">
        <v>14</v>
      </c>
      <c r="C1312" s="8634" t="s">
        <v>3393</v>
      </c>
      <c r="D1312" s="8634" t="s">
        <v>3394</v>
      </c>
      <c r="E1312" s="8634" t="s">
        <v>3395</v>
      </c>
      <c r="F1312" s="8634" t="s">
        <v>2349</v>
      </c>
      <c r="G1312" s="8634" t="s">
        <v>3396</v>
      </c>
      <c r="H1312" s="8634" t="s">
        <v>24</v>
      </c>
      <c r="I1312" s="8634" t="s">
        <v>809</v>
      </c>
    </row>
    <row customHeight="1" ht="11.25">
      <c r="A1313" s="8634" t="s">
        <v>2182</v>
      </c>
      <c r="B1313" s="8634" t="s">
        <v>14</v>
      </c>
      <c r="C1313" s="8634" t="s">
        <v>3397</v>
      </c>
      <c r="D1313" s="8634" t="s">
        <v>3398</v>
      </c>
      <c r="E1313" s="8634" t="s">
        <v>3399</v>
      </c>
      <c r="F1313" s="8634" t="s">
        <v>2447</v>
      </c>
      <c r="G1313" s="8634" t="s">
        <v>3400</v>
      </c>
      <c r="H1313" s="8634" t="s">
        <v>24</v>
      </c>
      <c r="I1313" s="8634" t="s">
        <v>809</v>
      </c>
    </row>
    <row customHeight="1" ht="11.25">
      <c r="A1314" s="8634" t="s">
        <v>2182</v>
      </c>
      <c r="B1314" s="8634" t="s">
        <v>14</v>
      </c>
      <c r="C1314" s="8634" t="s">
        <v>3401</v>
      </c>
      <c r="D1314" s="8634" t="s">
        <v>3402</v>
      </c>
      <c r="E1314" s="8634" t="s">
        <v>3403</v>
      </c>
      <c r="F1314" s="8634" t="s">
        <v>2284</v>
      </c>
      <c r="G1314" s="8634" t="s">
        <v>3404</v>
      </c>
      <c r="H1314" s="8634" t="s">
        <v>24</v>
      </c>
      <c r="I1314" s="8634" t="s">
        <v>809</v>
      </c>
    </row>
    <row customHeight="1" ht="11.25">
      <c r="A1315" s="8634" t="s">
        <v>2182</v>
      </c>
      <c r="B1315" s="8634" t="s">
        <v>14</v>
      </c>
      <c r="C1315" s="8634" t="s">
        <v>3405</v>
      </c>
      <c r="D1315" s="8634" t="s">
        <v>3406</v>
      </c>
      <c r="E1315" s="8634" t="s">
        <v>3407</v>
      </c>
      <c r="F1315" s="8634" t="s">
        <v>2213</v>
      </c>
      <c r="G1315" s="8634" t="s">
        <v>3408</v>
      </c>
      <c r="H1315" s="8634" t="s">
        <v>24</v>
      </c>
      <c r="I1315" s="8634" t="s">
        <v>809</v>
      </c>
    </row>
    <row customHeight="1" ht="11.25">
      <c r="A1316" s="8634" t="s">
        <v>2182</v>
      </c>
      <c r="B1316" s="8634" t="s">
        <v>14</v>
      </c>
      <c r="C1316" s="8634" t="s">
        <v>3409</v>
      </c>
      <c r="D1316" s="8634" t="s">
        <v>3410</v>
      </c>
      <c r="E1316" s="8634" t="s">
        <v>3411</v>
      </c>
      <c r="F1316" s="8634" t="s">
        <v>2213</v>
      </c>
      <c r="G1316" s="8634" t="s">
        <v>24</v>
      </c>
      <c r="H1316" s="8634" t="s">
        <v>24</v>
      </c>
      <c r="I1316" s="8634" t="s">
        <v>809</v>
      </c>
    </row>
    <row customHeight="1" ht="11.25">
      <c r="A1317" s="8634" t="s">
        <v>2182</v>
      </c>
      <c r="B1317" s="8634" t="s">
        <v>14</v>
      </c>
      <c r="C1317" s="8634" t="s">
        <v>3415</v>
      </c>
      <c r="D1317" s="8634" t="s">
        <v>3416</v>
      </c>
      <c r="E1317" s="8634" t="s">
        <v>3417</v>
      </c>
      <c r="F1317" s="8634" t="s">
        <v>2186</v>
      </c>
      <c r="G1317" s="8634" t="s">
        <v>3418</v>
      </c>
      <c r="H1317" s="8634" t="s">
        <v>24</v>
      </c>
      <c r="I1317" s="8634" t="s">
        <v>809</v>
      </c>
    </row>
    <row customHeight="1" ht="11.25">
      <c r="A1318" s="8634" t="s">
        <v>2182</v>
      </c>
      <c r="B1318" s="8634" t="s">
        <v>14</v>
      </c>
      <c r="C1318" s="8634" t="s">
        <v>3419</v>
      </c>
      <c r="D1318" s="8634" t="s">
        <v>3420</v>
      </c>
      <c r="E1318" s="8634" t="s">
        <v>3421</v>
      </c>
      <c r="F1318" s="8634" t="s">
        <v>2389</v>
      </c>
      <c r="G1318" s="8634" t="s">
        <v>3422</v>
      </c>
      <c r="H1318" s="8634" t="s">
        <v>24</v>
      </c>
      <c r="I1318" s="8634" t="s">
        <v>809</v>
      </c>
    </row>
    <row customHeight="1" ht="11.25">
      <c r="A1319" s="8634" t="s">
        <v>2182</v>
      </c>
      <c r="B1319" s="8634" t="s">
        <v>14</v>
      </c>
      <c r="C1319" s="8634" t="s">
        <v>3423</v>
      </c>
      <c r="D1319" s="8634" t="s">
        <v>3424</v>
      </c>
      <c r="E1319" s="8634" t="s">
        <v>3425</v>
      </c>
      <c r="F1319" s="8634" t="s">
        <v>2376</v>
      </c>
      <c r="G1319" s="8634" t="s">
        <v>3426</v>
      </c>
      <c r="H1319" s="8634" t="s">
        <v>24</v>
      </c>
      <c r="I1319" s="8634" t="s">
        <v>809</v>
      </c>
    </row>
    <row customHeight="1" ht="11.25">
      <c r="A1320" s="8634" t="s">
        <v>2182</v>
      </c>
      <c r="B1320" s="8634" t="s">
        <v>14</v>
      </c>
      <c r="C1320" s="8634" t="s">
        <v>6298</v>
      </c>
      <c r="D1320" s="8634" t="s">
        <v>6299</v>
      </c>
      <c r="E1320" s="8634" t="s">
        <v>6300</v>
      </c>
      <c r="F1320" s="8634" t="s">
        <v>2613</v>
      </c>
      <c r="G1320" s="8634" t="s">
        <v>6301</v>
      </c>
      <c r="H1320" s="8634" t="s">
        <v>24</v>
      </c>
      <c r="I1320" s="8634" t="s">
        <v>809</v>
      </c>
    </row>
    <row customHeight="1" ht="11.25">
      <c r="A1321" s="8634" t="s">
        <v>2182</v>
      </c>
      <c r="B1321" s="8634" t="s">
        <v>14</v>
      </c>
      <c r="C1321" s="8634" t="s">
        <v>3430</v>
      </c>
      <c r="D1321" s="8634" t="s">
        <v>3431</v>
      </c>
      <c r="E1321" s="8634" t="s">
        <v>3432</v>
      </c>
      <c r="F1321" s="8634" t="s">
        <v>2334</v>
      </c>
      <c r="G1321" s="8634" t="s">
        <v>3433</v>
      </c>
      <c r="H1321" s="8634" t="s">
        <v>24</v>
      </c>
      <c r="I1321" s="8634" t="s">
        <v>809</v>
      </c>
    </row>
    <row customHeight="1" ht="11.25">
      <c r="A1322" s="8634" t="s">
        <v>2182</v>
      </c>
      <c r="B1322" s="8634" t="s">
        <v>14</v>
      </c>
      <c r="C1322" s="8634" t="s">
        <v>3434</v>
      </c>
      <c r="D1322" s="8634" t="s">
        <v>3435</v>
      </c>
      <c r="E1322" s="8634" t="s">
        <v>3436</v>
      </c>
      <c r="F1322" s="8634" t="s">
        <v>3437</v>
      </c>
      <c r="G1322" s="8634" t="s">
        <v>24</v>
      </c>
      <c r="H1322" s="8634" t="s">
        <v>3438</v>
      </c>
      <c r="I1322" s="8634" t="s">
        <v>809</v>
      </c>
    </row>
    <row customHeight="1" ht="11.25">
      <c r="A1323" s="8634" t="s">
        <v>2182</v>
      </c>
      <c r="B1323" s="8634" t="s">
        <v>14</v>
      </c>
      <c r="C1323" s="8634" t="s">
        <v>3439</v>
      </c>
      <c r="D1323" s="8634" t="s">
        <v>3440</v>
      </c>
      <c r="E1323" s="8634" t="s">
        <v>3441</v>
      </c>
      <c r="F1323" s="8634" t="s">
        <v>2186</v>
      </c>
      <c r="G1323" s="8634" t="s">
        <v>24</v>
      </c>
      <c r="H1323" s="8634" t="s">
        <v>2238</v>
      </c>
      <c r="I1323" s="8634" t="s">
        <v>809</v>
      </c>
    </row>
    <row customHeight="1" ht="11.25">
      <c r="A1324" s="8634" t="s">
        <v>2182</v>
      </c>
      <c r="B1324" s="8634" t="s">
        <v>14</v>
      </c>
      <c r="C1324" s="8634" t="s">
        <v>6302</v>
      </c>
      <c r="D1324" s="8634" t="s">
        <v>6303</v>
      </c>
      <c r="E1324" s="8634" t="s">
        <v>6304</v>
      </c>
      <c r="F1324" s="8634" t="s">
        <v>2411</v>
      </c>
      <c r="G1324" s="8634" t="s">
        <v>24</v>
      </c>
      <c r="H1324" s="8634" t="s">
        <v>3222</v>
      </c>
      <c r="I1324" s="8634" t="s">
        <v>809</v>
      </c>
    </row>
    <row customHeight="1" ht="11.25">
      <c r="A1325" s="8634" t="s">
        <v>2182</v>
      </c>
      <c r="B1325" s="8634" t="s">
        <v>14</v>
      </c>
      <c r="C1325" s="8634" t="s">
        <v>3442</v>
      </c>
      <c r="D1325" s="8634" t="s">
        <v>3443</v>
      </c>
      <c r="E1325" s="8634" t="s">
        <v>3444</v>
      </c>
      <c r="F1325" s="8634" t="s">
        <v>2376</v>
      </c>
      <c r="G1325" s="8634" t="s">
        <v>3445</v>
      </c>
      <c r="H1325" s="8634" t="s">
        <v>3446</v>
      </c>
      <c r="I1325" s="8634" t="s">
        <v>809</v>
      </c>
    </row>
    <row customHeight="1" ht="11.25">
      <c r="A1326" s="8634" t="s">
        <v>2182</v>
      </c>
      <c r="B1326" s="8634" t="s">
        <v>14</v>
      </c>
      <c r="C1326" s="8634" t="s">
        <v>3447</v>
      </c>
      <c r="D1326" s="8634" t="s">
        <v>3448</v>
      </c>
      <c r="E1326" s="8634" t="s">
        <v>3449</v>
      </c>
      <c r="F1326" s="8634" t="s">
        <v>2245</v>
      </c>
      <c r="G1326" s="8634" t="s">
        <v>3450</v>
      </c>
      <c r="H1326" s="8634" t="s">
        <v>24</v>
      </c>
      <c r="I1326" s="8634" t="s">
        <v>809</v>
      </c>
    </row>
    <row customHeight="1" ht="11.25">
      <c r="A1327" s="8634" t="s">
        <v>2182</v>
      </c>
      <c r="B1327" s="8634" t="s">
        <v>14</v>
      </c>
      <c r="C1327" s="8634" t="s">
        <v>6305</v>
      </c>
      <c r="D1327" s="8634" t="s">
        <v>6306</v>
      </c>
      <c r="E1327" s="8634" t="s">
        <v>6307</v>
      </c>
      <c r="F1327" s="8634" t="s">
        <v>2411</v>
      </c>
      <c r="G1327" s="8634" t="s">
        <v>24</v>
      </c>
      <c r="H1327" s="8634" t="s">
        <v>6308</v>
      </c>
      <c r="I1327" s="8634" t="s">
        <v>809</v>
      </c>
    </row>
    <row customHeight="1" ht="11.25">
      <c r="A1328" s="8634" t="s">
        <v>2182</v>
      </c>
      <c r="B1328" s="8634" t="s">
        <v>14</v>
      </c>
      <c r="C1328" s="8634" t="s">
        <v>3454</v>
      </c>
      <c r="D1328" s="8634" t="s">
        <v>3455</v>
      </c>
      <c r="E1328" s="8634" t="s">
        <v>3456</v>
      </c>
      <c r="F1328" s="8634" t="s">
        <v>2626</v>
      </c>
      <c r="G1328" s="8634" t="s">
        <v>24</v>
      </c>
      <c r="H1328" s="8634" t="s">
        <v>2187</v>
      </c>
      <c r="I1328" s="8634" t="s">
        <v>809</v>
      </c>
    </row>
    <row customHeight="1" ht="11.25">
      <c r="A1329" s="8634" t="s">
        <v>2182</v>
      </c>
      <c r="B1329" s="8634" t="s">
        <v>14</v>
      </c>
      <c r="C1329" s="8634" t="s">
        <v>3457</v>
      </c>
      <c r="D1329" s="8634" t="s">
        <v>3458</v>
      </c>
      <c r="E1329" s="8634" t="s">
        <v>3459</v>
      </c>
      <c r="F1329" s="8634" t="s">
        <v>3460</v>
      </c>
      <c r="G1329" s="8634" t="s">
        <v>3461</v>
      </c>
      <c r="H1329" s="8634" t="s">
        <v>24</v>
      </c>
      <c r="I1329" s="8634" t="s">
        <v>809</v>
      </c>
    </row>
    <row customHeight="1" ht="11.25">
      <c r="A1330" s="8634" t="s">
        <v>2182</v>
      </c>
      <c r="B1330" s="8634" t="s">
        <v>14</v>
      </c>
      <c r="C1330" s="8634" t="s">
        <v>3465</v>
      </c>
      <c r="D1330" s="8634" t="s">
        <v>3466</v>
      </c>
      <c r="E1330" s="8634" t="s">
        <v>3467</v>
      </c>
      <c r="F1330" s="8634" t="s">
        <v>2349</v>
      </c>
      <c r="G1330" s="8634" t="s">
        <v>24</v>
      </c>
      <c r="H1330" s="8634" t="s">
        <v>3468</v>
      </c>
      <c r="I1330" s="8634" t="s">
        <v>809</v>
      </c>
    </row>
    <row customHeight="1" ht="11.25">
      <c r="A1331" s="8634" t="s">
        <v>2182</v>
      </c>
      <c r="B1331" s="8634" t="s">
        <v>14</v>
      </c>
      <c r="C1331" s="8634" t="s">
        <v>3469</v>
      </c>
      <c r="D1331" s="8634" t="s">
        <v>3470</v>
      </c>
      <c r="E1331" s="8634" t="s">
        <v>3471</v>
      </c>
      <c r="F1331" s="8634" t="s">
        <v>2213</v>
      </c>
      <c r="G1331" s="8634" t="s">
        <v>3472</v>
      </c>
      <c r="H1331" s="8634" t="s">
        <v>3473</v>
      </c>
      <c r="I1331" s="8634" t="s">
        <v>809</v>
      </c>
    </row>
    <row customHeight="1" ht="11.25">
      <c r="A1332" s="8634" t="s">
        <v>2182</v>
      </c>
      <c r="B1332" s="8634" t="s">
        <v>14</v>
      </c>
      <c r="C1332" s="8634" t="s">
        <v>3474</v>
      </c>
      <c r="D1332" s="8634" t="s">
        <v>3475</v>
      </c>
      <c r="E1332" s="8634" t="s">
        <v>3476</v>
      </c>
      <c r="F1332" s="8634" t="s">
        <v>2213</v>
      </c>
      <c r="G1332" s="8634" t="s">
        <v>3477</v>
      </c>
      <c r="H1332" s="8634" t="s">
        <v>24</v>
      </c>
      <c r="I1332" s="8634" t="s">
        <v>809</v>
      </c>
    </row>
    <row customHeight="1" ht="11.25">
      <c r="A1333" s="8634" t="s">
        <v>2182</v>
      </c>
      <c r="B1333" s="8634" t="s">
        <v>14</v>
      </c>
      <c r="C1333" s="8634" t="s">
        <v>3478</v>
      </c>
      <c r="D1333" s="8634" t="s">
        <v>3479</v>
      </c>
      <c r="E1333" s="8634" t="s">
        <v>3480</v>
      </c>
      <c r="F1333" s="8634" t="s">
        <v>2223</v>
      </c>
      <c r="G1333" s="8634" t="s">
        <v>24</v>
      </c>
      <c r="H1333" s="8634" t="s">
        <v>2187</v>
      </c>
      <c r="I1333" s="8634" t="s">
        <v>809</v>
      </c>
    </row>
    <row customHeight="1" ht="11.25">
      <c r="A1334" s="8634" t="s">
        <v>2182</v>
      </c>
      <c r="B1334" s="8634" t="s">
        <v>14</v>
      </c>
      <c r="C1334" s="8634" t="s">
        <v>3481</v>
      </c>
      <c r="D1334" s="8634" t="s">
        <v>3482</v>
      </c>
      <c r="E1334" s="8634" t="s">
        <v>3483</v>
      </c>
      <c r="F1334" s="8634" t="s">
        <v>2237</v>
      </c>
      <c r="G1334" s="8634" t="s">
        <v>24</v>
      </c>
      <c r="H1334" s="8634" t="s">
        <v>3484</v>
      </c>
      <c r="I1334" s="8634" t="s">
        <v>809</v>
      </c>
    </row>
    <row customHeight="1" ht="11.25">
      <c r="A1335" s="8634" t="s">
        <v>2182</v>
      </c>
      <c r="B1335" s="8634" t="s">
        <v>14</v>
      </c>
      <c r="C1335" s="8634" t="s">
        <v>3485</v>
      </c>
      <c r="D1335" s="8634" t="s">
        <v>3486</v>
      </c>
      <c r="E1335" s="8634" t="s">
        <v>3487</v>
      </c>
      <c r="F1335" s="8634" t="s">
        <v>2245</v>
      </c>
      <c r="G1335" s="8634" t="s">
        <v>24</v>
      </c>
      <c r="H1335" s="8634" t="s">
        <v>3488</v>
      </c>
      <c r="I1335" s="8634" t="s">
        <v>809</v>
      </c>
    </row>
    <row customHeight="1" ht="11.25">
      <c r="A1336" s="8634" t="s">
        <v>2182</v>
      </c>
      <c r="B1336" s="8634" t="s">
        <v>14</v>
      </c>
      <c r="C1336" s="8634" t="s">
        <v>3489</v>
      </c>
      <c r="D1336" s="8634" t="s">
        <v>3490</v>
      </c>
      <c r="E1336" s="8634" t="s">
        <v>3491</v>
      </c>
      <c r="F1336" s="8634" t="s">
        <v>2756</v>
      </c>
      <c r="G1336" s="8634" t="s">
        <v>24</v>
      </c>
      <c r="H1336" s="8634" t="s">
        <v>2400</v>
      </c>
      <c r="I1336" s="8634" t="s">
        <v>809</v>
      </c>
    </row>
    <row customHeight="1" ht="11.25">
      <c r="A1337" s="8634" t="s">
        <v>2182</v>
      </c>
      <c r="B1337" s="8634" t="s">
        <v>14</v>
      </c>
      <c r="C1337" s="8634" t="s">
        <v>3492</v>
      </c>
      <c r="D1337" s="8634" t="s">
        <v>3493</v>
      </c>
      <c r="E1337" s="8634" t="s">
        <v>3494</v>
      </c>
      <c r="F1337" s="8634" t="s">
        <v>2477</v>
      </c>
      <c r="G1337" s="8634" t="s">
        <v>3495</v>
      </c>
      <c r="H1337" s="8634" t="s">
        <v>3496</v>
      </c>
      <c r="I1337" s="8634" t="s">
        <v>809</v>
      </c>
    </row>
    <row customHeight="1" ht="11.25">
      <c r="A1338" s="8634" t="s">
        <v>2182</v>
      </c>
      <c r="B1338" s="8634" t="s">
        <v>14</v>
      </c>
      <c r="C1338" s="8634" t="s">
        <v>3501</v>
      </c>
      <c r="D1338" s="8634" t="s">
        <v>3502</v>
      </c>
      <c r="E1338" s="8634" t="s">
        <v>3503</v>
      </c>
      <c r="F1338" s="8634" t="s">
        <v>2671</v>
      </c>
      <c r="G1338" s="8634" t="s">
        <v>3504</v>
      </c>
      <c r="H1338" s="8634" t="s">
        <v>2238</v>
      </c>
      <c r="I1338" s="8634" t="s">
        <v>809</v>
      </c>
    </row>
    <row customHeight="1" ht="11.25">
      <c r="A1339" s="8634" t="s">
        <v>2182</v>
      </c>
      <c r="B1339" s="8634" t="s">
        <v>14</v>
      </c>
      <c r="C1339" s="8634" t="s">
        <v>3505</v>
      </c>
      <c r="D1339" s="8634" t="s">
        <v>3506</v>
      </c>
      <c r="E1339" s="8634" t="s">
        <v>3507</v>
      </c>
      <c r="F1339" s="8634" t="s">
        <v>3508</v>
      </c>
      <c r="G1339" s="8634" t="s">
        <v>3509</v>
      </c>
      <c r="H1339" s="8634" t="s">
        <v>24</v>
      </c>
      <c r="I1339" s="8634" t="s">
        <v>809</v>
      </c>
    </row>
    <row customHeight="1" ht="11.25">
      <c r="A1340" s="8634" t="s">
        <v>2182</v>
      </c>
      <c r="B1340" s="8634" t="s">
        <v>14</v>
      </c>
      <c r="C1340" s="8634" t="s">
        <v>3510</v>
      </c>
      <c r="D1340" s="8634" t="s">
        <v>3511</v>
      </c>
      <c r="E1340" s="8634" t="s">
        <v>3512</v>
      </c>
      <c r="F1340" s="8634" t="s">
        <v>2228</v>
      </c>
      <c r="G1340" s="8634" t="s">
        <v>3513</v>
      </c>
      <c r="H1340" s="8634" t="s">
        <v>2187</v>
      </c>
      <c r="I1340" s="8634" t="s">
        <v>809</v>
      </c>
    </row>
    <row customHeight="1" ht="11.25">
      <c r="A1341" s="8634" t="s">
        <v>2182</v>
      </c>
      <c r="B1341" s="8634" t="s">
        <v>14</v>
      </c>
      <c r="C1341" s="8634" t="s">
        <v>3514</v>
      </c>
      <c r="D1341" s="8634" t="s">
        <v>3515</v>
      </c>
      <c r="E1341" s="8634" t="s">
        <v>3516</v>
      </c>
      <c r="F1341" s="8634" t="s">
        <v>2600</v>
      </c>
      <c r="G1341" s="8634" t="s">
        <v>3517</v>
      </c>
      <c r="H1341" s="8634" t="s">
        <v>3518</v>
      </c>
      <c r="I1341" s="8634" t="s">
        <v>809</v>
      </c>
    </row>
    <row customHeight="1" ht="11.25">
      <c r="A1342" s="8634" t="s">
        <v>2182</v>
      </c>
      <c r="B1342" s="8634" t="s">
        <v>14</v>
      </c>
      <c r="C1342" s="8634" t="s">
        <v>3519</v>
      </c>
      <c r="D1342" s="8634" t="s">
        <v>3520</v>
      </c>
      <c r="E1342" s="8634" t="s">
        <v>3521</v>
      </c>
      <c r="F1342" s="8634" t="s">
        <v>3437</v>
      </c>
      <c r="G1342" s="8634" t="s">
        <v>3522</v>
      </c>
      <c r="H1342" s="8634" t="s">
        <v>24</v>
      </c>
      <c r="I1342" s="8634" t="s">
        <v>809</v>
      </c>
    </row>
    <row customHeight="1" ht="11.25">
      <c r="A1343" s="8634" t="s">
        <v>2182</v>
      </c>
      <c r="B1343" s="8634" t="s">
        <v>14</v>
      </c>
      <c r="C1343" s="8634" t="s">
        <v>3530</v>
      </c>
      <c r="D1343" s="8634" t="s">
        <v>3531</v>
      </c>
      <c r="E1343" s="8634" t="s">
        <v>3532</v>
      </c>
      <c r="F1343" s="8634" t="s">
        <v>2600</v>
      </c>
      <c r="G1343" s="8634" t="s">
        <v>24</v>
      </c>
      <c r="H1343" s="8634" t="s">
        <v>2993</v>
      </c>
      <c r="I1343" s="8634" t="s">
        <v>809</v>
      </c>
    </row>
    <row customHeight="1" ht="11.25">
      <c r="A1344" s="8634" t="s">
        <v>2182</v>
      </c>
      <c r="B1344" s="8634" t="s">
        <v>14</v>
      </c>
      <c r="C1344" s="8634" t="s">
        <v>3533</v>
      </c>
      <c r="D1344" s="8634" t="s">
        <v>3534</v>
      </c>
      <c r="E1344" s="8634" t="s">
        <v>3535</v>
      </c>
      <c r="F1344" s="8634" t="s">
        <v>2696</v>
      </c>
      <c r="G1344" s="8634" t="s">
        <v>24</v>
      </c>
      <c r="H1344" s="8634" t="s">
        <v>3536</v>
      </c>
      <c r="I1344" s="8634" t="s">
        <v>809</v>
      </c>
    </row>
    <row customHeight="1" ht="11.25">
      <c r="A1345" s="8634" t="s">
        <v>2182</v>
      </c>
      <c r="B1345" s="8634" t="s">
        <v>14</v>
      </c>
      <c r="C1345" s="8634" t="s">
        <v>3537</v>
      </c>
      <c r="D1345" s="8634" t="s">
        <v>3538</v>
      </c>
      <c r="E1345" s="8634" t="s">
        <v>3539</v>
      </c>
      <c r="F1345" s="8634" t="s">
        <v>3540</v>
      </c>
      <c r="G1345" s="8634" t="s">
        <v>24</v>
      </c>
      <c r="H1345" s="8634" t="s">
        <v>2187</v>
      </c>
      <c r="I1345" s="8634" t="s">
        <v>809</v>
      </c>
    </row>
    <row customHeight="1" ht="11.25">
      <c r="A1346" s="8634" t="s">
        <v>2182</v>
      </c>
      <c r="B1346" s="8634" t="s">
        <v>14</v>
      </c>
      <c r="C1346" s="8634" t="s">
        <v>3544</v>
      </c>
      <c r="D1346" s="8634" t="s">
        <v>3545</v>
      </c>
      <c r="E1346" s="8634" t="s">
        <v>3546</v>
      </c>
      <c r="F1346" s="8634" t="s">
        <v>2705</v>
      </c>
      <c r="G1346" s="8634" t="s">
        <v>3547</v>
      </c>
      <c r="H1346" s="8634" t="s">
        <v>2187</v>
      </c>
      <c r="I1346" s="8634" t="s">
        <v>809</v>
      </c>
    </row>
    <row customHeight="1" ht="11.25">
      <c r="A1347" s="8634" t="s">
        <v>2182</v>
      </c>
      <c r="B1347" s="8634" t="s">
        <v>14</v>
      </c>
      <c r="C1347" s="8634" t="s">
        <v>3548</v>
      </c>
      <c r="D1347" s="8634" t="s">
        <v>3549</v>
      </c>
      <c r="E1347" s="8634" t="s">
        <v>3550</v>
      </c>
      <c r="F1347" s="8634" t="s">
        <v>2626</v>
      </c>
      <c r="G1347" s="8634" t="s">
        <v>3551</v>
      </c>
      <c r="H1347" s="8634" t="s">
        <v>24</v>
      </c>
      <c r="I1347" s="8634" t="s">
        <v>809</v>
      </c>
    </row>
    <row customHeight="1" ht="11.25">
      <c r="A1348" s="8634" t="s">
        <v>2182</v>
      </c>
      <c r="B1348" s="8634" t="s">
        <v>14</v>
      </c>
      <c r="C1348" s="8634" t="s">
        <v>3552</v>
      </c>
      <c r="D1348" s="8634" t="s">
        <v>3553</v>
      </c>
      <c r="E1348" s="8634" t="s">
        <v>3554</v>
      </c>
      <c r="F1348" s="8634" t="s">
        <v>2339</v>
      </c>
      <c r="G1348" s="8634" t="s">
        <v>3555</v>
      </c>
      <c r="H1348" s="8634" t="s">
        <v>24</v>
      </c>
      <c r="I1348" s="8634" t="s">
        <v>809</v>
      </c>
    </row>
    <row customHeight="1" ht="11.25">
      <c r="A1349" s="8634" t="s">
        <v>2182</v>
      </c>
      <c r="B1349" s="8634" t="s">
        <v>14</v>
      </c>
      <c r="C1349" s="8634" t="s">
        <v>3556</v>
      </c>
      <c r="D1349" s="8634" t="s">
        <v>3557</v>
      </c>
      <c r="E1349" s="8634" t="s">
        <v>3558</v>
      </c>
      <c r="F1349" s="8634" t="s">
        <v>2411</v>
      </c>
      <c r="G1349" s="8634" t="s">
        <v>24</v>
      </c>
      <c r="H1349" s="8634" t="s">
        <v>3559</v>
      </c>
      <c r="I1349" s="8634" t="s">
        <v>809</v>
      </c>
    </row>
    <row customHeight="1" ht="11.25">
      <c r="A1350" s="8634" t="s">
        <v>2182</v>
      </c>
      <c r="B1350" s="8634" t="s">
        <v>14</v>
      </c>
      <c r="C1350" s="8634" t="s">
        <v>3560</v>
      </c>
      <c r="D1350" s="8634" t="s">
        <v>3561</v>
      </c>
      <c r="E1350" s="8634" t="s">
        <v>3562</v>
      </c>
      <c r="F1350" s="8634" t="s">
        <v>2218</v>
      </c>
      <c r="G1350" s="8634" t="s">
        <v>3563</v>
      </c>
      <c r="H1350" s="8634" t="s">
        <v>3564</v>
      </c>
      <c r="I1350" s="8634" t="s">
        <v>809</v>
      </c>
    </row>
    <row customHeight="1" ht="11.25">
      <c r="A1351" s="8634" t="s">
        <v>2182</v>
      </c>
      <c r="B1351" s="8634" t="s">
        <v>14</v>
      </c>
      <c r="C1351" s="8634" t="s">
        <v>6309</v>
      </c>
      <c r="D1351" s="8634" t="s">
        <v>6310</v>
      </c>
      <c r="E1351" s="8634" t="s">
        <v>6311</v>
      </c>
      <c r="F1351" s="8634" t="s">
        <v>2349</v>
      </c>
      <c r="G1351" s="8634" t="s">
        <v>24</v>
      </c>
      <c r="H1351" s="8634" t="s">
        <v>2993</v>
      </c>
      <c r="I1351" s="8634" t="s">
        <v>809</v>
      </c>
    </row>
    <row customHeight="1" ht="11.25">
      <c r="A1352" s="8634" t="s">
        <v>2182</v>
      </c>
      <c r="B1352" s="8634" t="s">
        <v>14</v>
      </c>
      <c r="C1352" s="8634" t="s">
        <v>3565</v>
      </c>
      <c r="D1352" s="8634" t="s">
        <v>3566</v>
      </c>
      <c r="E1352" s="8634" t="s">
        <v>3567</v>
      </c>
      <c r="F1352" s="8634" t="s">
        <v>3278</v>
      </c>
      <c r="G1352" s="8634" t="s">
        <v>3568</v>
      </c>
      <c r="H1352" s="8634" t="s">
        <v>2187</v>
      </c>
      <c r="I1352" s="8634" t="s">
        <v>809</v>
      </c>
    </row>
    <row customHeight="1" ht="11.25">
      <c r="A1353" s="8634" t="s">
        <v>2182</v>
      </c>
      <c r="B1353" s="8634" t="s">
        <v>14</v>
      </c>
      <c r="C1353" s="8634" t="s">
        <v>3569</v>
      </c>
      <c r="D1353" s="8634" t="s">
        <v>3570</v>
      </c>
      <c r="E1353" s="8634" t="s">
        <v>3571</v>
      </c>
      <c r="F1353" s="8634" t="s">
        <v>2398</v>
      </c>
      <c r="G1353" s="8634" t="s">
        <v>3572</v>
      </c>
      <c r="H1353" s="8634" t="s">
        <v>3573</v>
      </c>
      <c r="I1353" s="8634" t="s">
        <v>809</v>
      </c>
    </row>
    <row customHeight="1" ht="11.25">
      <c r="A1354" s="8634" t="s">
        <v>2182</v>
      </c>
      <c r="B1354" s="8634" t="s">
        <v>14</v>
      </c>
      <c r="C1354" s="8634" t="s">
        <v>3577</v>
      </c>
      <c r="D1354" s="8634" t="s">
        <v>3578</v>
      </c>
      <c r="E1354" s="8634" t="s">
        <v>3579</v>
      </c>
      <c r="F1354" s="8634" t="s">
        <v>2300</v>
      </c>
      <c r="G1354" s="8634" t="s">
        <v>24</v>
      </c>
      <c r="H1354" s="8634" t="s">
        <v>2187</v>
      </c>
      <c r="I1354" s="8634" t="s">
        <v>809</v>
      </c>
    </row>
    <row customHeight="1" ht="11.25">
      <c r="A1355" s="8634" t="s">
        <v>2182</v>
      </c>
      <c r="B1355" s="8634" t="s">
        <v>14</v>
      </c>
      <c r="C1355" s="8634" t="s">
        <v>3580</v>
      </c>
      <c r="D1355" s="8634" t="s">
        <v>3581</v>
      </c>
      <c r="E1355" s="8634" t="s">
        <v>3582</v>
      </c>
      <c r="F1355" s="8634" t="s">
        <v>2411</v>
      </c>
      <c r="G1355" s="8634" t="s">
        <v>3583</v>
      </c>
      <c r="H1355" s="8634" t="s">
        <v>2400</v>
      </c>
      <c r="I1355" s="8634" t="s">
        <v>809</v>
      </c>
    </row>
    <row customHeight="1" ht="11.25">
      <c r="A1356" s="8634" t="s">
        <v>2182</v>
      </c>
      <c r="B1356" s="8634" t="s">
        <v>14</v>
      </c>
      <c r="C1356" s="8634" t="s">
        <v>3584</v>
      </c>
      <c r="D1356" s="8634" t="s">
        <v>3585</v>
      </c>
      <c r="E1356" s="8634" t="s">
        <v>3586</v>
      </c>
      <c r="F1356" s="8634" t="s">
        <v>2626</v>
      </c>
      <c r="G1356" s="8634" t="s">
        <v>3587</v>
      </c>
      <c r="H1356" s="8634" t="s">
        <v>24</v>
      </c>
      <c r="I1356" s="8634" t="s">
        <v>809</v>
      </c>
    </row>
    <row customHeight="1" ht="11.25">
      <c r="A1357" s="8634" t="s">
        <v>2182</v>
      </c>
      <c r="B1357" s="8634" t="s">
        <v>14</v>
      </c>
      <c r="C1357" s="8634" t="s">
        <v>3588</v>
      </c>
      <c r="D1357" s="8634" t="s">
        <v>3589</v>
      </c>
      <c r="E1357" s="8634" t="s">
        <v>3590</v>
      </c>
      <c r="F1357" s="8634" t="s">
        <v>2274</v>
      </c>
      <c r="G1357" s="8634" t="s">
        <v>24</v>
      </c>
      <c r="H1357" s="8634" t="s">
        <v>24</v>
      </c>
      <c r="I1357" s="8634" t="s">
        <v>809</v>
      </c>
    </row>
    <row customHeight="1" ht="11.25">
      <c r="A1358" s="8634" t="s">
        <v>2182</v>
      </c>
      <c r="B1358" s="8634" t="s">
        <v>14</v>
      </c>
      <c r="C1358" s="8634" t="s">
        <v>3591</v>
      </c>
      <c r="D1358" s="8634" t="s">
        <v>3592</v>
      </c>
      <c r="E1358" s="8634" t="s">
        <v>3593</v>
      </c>
      <c r="F1358" s="8634" t="s">
        <v>2363</v>
      </c>
      <c r="G1358" s="8634" t="s">
        <v>3594</v>
      </c>
      <c r="H1358" s="8634" t="s">
        <v>24</v>
      </c>
      <c r="I1358" s="8634" t="s">
        <v>809</v>
      </c>
    </row>
    <row customHeight="1" ht="11.25">
      <c r="A1359" s="8634" t="s">
        <v>2182</v>
      </c>
      <c r="B1359" s="8634" t="s">
        <v>14</v>
      </c>
      <c r="C1359" s="8634" t="s">
        <v>3595</v>
      </c>
      <c r="D1359" s="8634" t="s">
        <v>3596</v>
      </c>
      <c r="E1359" s="8634" t="s">
        <v>3597</v>
      </c>
      <c r="F1359" s="8634" t="s">
        <v>2600</v>
      </c>
      <c r="G1359" s="8634" t="s">
        <v>3598</v>
      </c>
      <c r="H1359" s="8634" t="s">
        <v>24</v>
      </c>
      <c r="I1359" s="8634" t="s">
        <v>809</v>
      </c>
    </row>
    <row customHeight="1" ht="11.25">
      <c r="A1360" s="8634" t="s">
        <v>2182</v>
      </c>
      <c r="B1360" s="8634" t="s">
        <v>14</v>
      </c>
      <c r="C1360" s="8634" t="s">
        <v>3599</v>
      </c>
      <c r="D1360" s="8634" t="s">
        <v>3600</v>
      </c>
      <c r="E1360" s="8634" t="s">
        <v>3601</v>
      </c>
      <c r="F1360" s="8634" t="s">
        <v>2376</v>
      </c>
      <c r="G1360" s="8634" t="s">
        <v>3602</v>
      </c>
      <c r="H1360" s="8634" t="s">
        <v>24</v>
      </c>
      <c r="I1360" s="8634" t="s">
        <v>809</v>
      </c>
    </row>
    <row customHeight="1" ht="11.25">
      <c r="A1361" s="8634" t="s">
        <v>2182</v>
      </c>
      <c r="B1361" s="8634" t="s">
        <v>14</v>
      </c>
      <c r="C1361" s="8634" t="s">
        <v>3603</v>
      </c>
      <c r="D1361" s="8634" t="s">
        <v>3604</v>
      </c>
      <c r="E1361" s="8634" t="s">
        <v>3605</v>
      </c>
      <c r="F1361" s="8634" t="s">
        <v>2696</v>
      </c>
      <c r="G1361" s="8634" t="s">
        <v>3606</v>
      </c>
      <c r="H1361" s="8634" t="s">
        <v>3607</v>
      </c>
      <c r="I1361" s="8634" t="s">
        <v>809</v>
      </c>
    </row>
    <row customHeight="1" ht="11.25">
      <c r="A1362" s="8634" t="s">
        <v>2182</v>
      </c>
      <c r="B1362" s="8634" t="s">
        <v>14</v>
      </c>
      <c r="C1362" s="8634" t="s">
        <v>3611</v>
      </c>
      <c r="D1362" s="8634" t="s">
        <v>3612</v>
      </c>
      <c r="E1362" s="8634" t="s">
        <v>3613</v>
      </c>
      <c r="F1362" s="8634" t="s">
        <v>2245</v>
      </c>
      <c r="G1362" s="8634" t="s">
        <v>3614</v>
      </c>
      <c r="H1362" s="8634" t="s">
        <v>2400</v>
      </c>
      <c r="I1362" s="8634" t="s">
        <v>809</v>
      </c>
    </row>
    <row customHeight="1" ht="11.25">
      <c r="A1363" s="8634" t="s">
        <v>2182</v>
      </c>
      <c r="B1363" s="8634" t="s">
        <v>14</v>
      </c>
      <c r="C1363" s="8634" t="s">
        <v>3615</v>
      </c>
      <c r="D1363" s="8634" t="s">
        <v>3616</v>
      </c>
      <c r="E1363" s="8634" t="s">
        <v>3617</v>
      </c>
      <c r="F1363" s="8634" t="s">
        <v>2600</v>
      </c>
      <c r="G1363" s="8634" t="s">
        <v>3618</v>
      </c>
      <c r="H1363" s="8634" t="s">
        <v>3619</v>
      </c>
      <c r="I1363" s="8634" t="s">
        <v>809</v>
      </c>
    </row>
    <row customHeight="1" ht="11.25">
      <c r="A1364" s="8634" t="s">
        <v>2182</v>
      </c>
      <c r="B1364" s="8634" t="s">
        <v>14</v>
      </c>
      <c r="C1364" s="8634" t="s">
        <v>3623</v>
      </c>
      <c r="D1364" s="8634" t="s">
        <v>3624</v>
      </c>
      <c r="E1364" s="8634" t="s">
        <v>3625</v>
      </c>
      <c r="F1364" s="8634" t="s">
        <v>2823</v>
      </c>
      <c r="G1364" s="8634" t="s">
        <v>3626</v>
      </c>
      <c r="H1364" s="8634" t="s">
        <v>3627</v>
      </c>
      <c r="I1364" s="8634" t="s">
        <v>809</v>
      </c>
    </row>
    <row customHeight="1" ht="11.25">
      <c r="A1365" s="8634" t="s">
        <v>2182</v>
      </c>
      <c r="B1365" s="8634" t="s">
        <v>14</v>
      </c>
      <c r="C1365" s="8634" t="s">
        <v>3628</v>
      </c>
      <c r="D1365" s="8634" t="s">
        <v>3629</v>
      </c>
      <c r="E1365" s="8634" t="s">
        <v>3630</v>
      </c>
      <c r="F1365" s="8634" t="s">
        <v>3631</v>
      </c>
      <c r="G1365" s="8634" t="s">
        <v>3632</v>
      </c>
      <c r="H1365" s="8634" t="s">
        <v>24</v>
      </c>
      <c r="I1365" s="8634" t="s">
        <v>809</v>
      </c>
    </row>
    <row customHeight="1" ht="11.25">
      <c r="A1366" s="8634" t="s">
        <v>2182</v>
      </c>
      <c r="B1366" s="8634" t="s">
        <v>14</v>
      </c>
      <c r="C1366" s="8634" t="s">
        <v>3633</v>
      </c>
      <c r="D1366" s="8634" t="s">
        <v>3634</v>
      </c>
      <c r="E1366" s="8634" t="s">
        <v>3635</v>
      </c>
      <c r="F1366" s="8634" t="s">
        <v>2600</v>
      </c>
      <c r="G1366" s="8634" t="s">
        <v>3636</v>
      </c>
      <c r="H1366" s="8634" t="s">
        <v>24</v>
      </c>
      <c r="I1366" s="8634" t="s">
        <v>809</v>
      </c>
    </row>
    <row customHeight="1" ht="11.25">
      <c r="A1367" s="8634" t="s">
        <v>2182</v>
      </c>
      <c r="B1367" s="8634" t="s">
        <v>14</v>
      </c>
      <c r="C1367" s="8634" t="s">
        <v>3637</v>
      </c>
      <c r="D1367" s="8634" t="s">
        <v>3638</v>
      </c>
      <c r="E1367" s="8634" t="s">
        <v>3639</v>
      </c>
      <c r="F1367" s="8634" t="s">
        <v>2600</v>
      </c>
      <c r="G1367" s="8634" t="s">
        <v>3640</v>
      </c>
      <c r="H1367" s="8634" t="s">
        <v>3641</v>
      </c>
      <c r="I1367" s="8634" t="s">
        <v>809</v>
      </c>
    </row>
    <row customHeight="1" ht="11.25">
      <c r="A1368" s="8634" t="s">
        <v>2182</v>
      </c>
      <c r="B1368" s="8634" t="s">
        <v>14</v>
      </c>
      <c r="C1368" s="8634" t="s">
        <v>3642</v>
      </c>
      <c r="D1368" s="8634" t="s">
        <v>3643</v>
      </c>
      <c r="E1368" s="8634" t="s">
        <v>3644</v>
      </c>
      <c r="F1368" s="8634" t="s">
        <v>2613</v>
      </c>
      <c r="G1368" s="8634" t="s">
        <v>24</v>
      </c>
      <c r="H1368" s="8634" t="s">
        <v>3645</v>
      </c>
      <c r="I1368" s="8634" t="s">
        <v>809</v>
      </c>
    </row>
    <row customHeight="1" ht="11.25">
      <c r="A1369" s="8634" t="s">
        <v>2182</v>
      </c>
      <c r="B1369" s="8634" t="s">
        <v>14</v>
      </c>
      <c r="C1369" s="8634" t="s">
        <v>3649</v>
      </c>
      <c r="D1369" s="8634" t="s">
        <v>3650</v>
      </c>
      <c r="E1369" s="8634" t="s">
        <v>3651</v>
      </c>
      <c r="F1369" s="8634" t="s">
        <v>2300</v>
      </c>
      <c r="G1369" s="8634" t="s">
        <v>24</v>
      </c>
      <c r="H1369" s="8634" t="s">
        <v>2187</v>
      </c>
      <c r="I1369" s="8634" t="s">
        <v>809</v>
      </c>
    </row>
    <row customHeight="1" ht="11.25">
      <c r="A1370" s="8634" t="s">
        <v>2182</v>
      </c>
      <c r="B1370" s="8634" t="s">
        <v>14</v>
      </c>
      <c r="C1370" s="8634" t="s">
        <v>3652</v>
      </c>
      <c r="D1370" s="8634" t="s">
        <v>3653</v>
      </c>
      <c r="E1370" s="8634" t="s">
        <v>3654</v>
      </c>
      <c r="F1370" s="8634" t="s">
        <v>2626</v>
      </c>
      <c r="G1370" s="8634" t="s">
        <v>3655</v>
      </c>
      <c r="H1370" s="8634" t="s">
        <v>24</v>
      </c>
      <c r="I1370" s="8634" t="s">
        <v>809</v>
      </c>
    </row>
    <row customHeight="1" ht="11.25">
      <c r="A1371" s="8634" t="s">
        <v>2182</v>
      </c>
      <c r="B1371" s="8634" t="s">
        <v>14</v>
      </c>
      <c r="C1371" s="8634" t="s">
        <v>3656</v>
      </c>
      <c r="D1371" s="8634" t="s">
        <v>3657</v>
      </c>
      <c r="E1371" s="8634" t="s">
        <v>3658</v>
      </c>
      <c r="F1371" s="8634" t="s">
        <v>2398</v>
      </c>
      <c r="G1371" s="8634" t="s">
        <v>3659</v>
      </c>
      <c r="H1371" s="8634" t="s">
        <v>2870</v>
      </c>
      <c r="I1371" s="8634" t="s">
        <v>809</v>
      </c>
    </row>
    <row customHeight="1" ht="11.25">
      <c r="A1372" s="8634" t="s">
        <v>2182</v>
      </c>
      <c r="B1372" s="8634" t="s">
        <v>14</v>
      </c>
      <c r="C1372" s="8634" t="s">
        <v>3660</v>
      </c>
      <c r="D1372" s="8634" t="s">
        <v>3661</v>
      </c>
      <c r="E1372" s="8634" t="s">
        <v>3662</v>
      </c>
      <c r="F1372" s="8634" t="s">
        <v>2696</v>
      </c>
      <c r="G1372" s="8634" t="s">
        <v>3663</v>
      </c>
      <c r="H1372" s="8634" t="s">
        <v>24</v>
      </c>
      <c r="I1372" s="8634" t="s">
        <v>809</v>
      </c>
    </row>
    <row customHeight="1" ht="11.25">
      <c r="A1373" s="8634" t="s">
        <v>2182</v>
      </c>
      <c r="B1373" s="8634" t="s">
        <v>14</v>
      </c>
      <c r="C1373" s="8634" t="s">
        <v>3664</v>
      </c>
      <c r="D1373" s="8634" t="s">
        <v>3665</v>
      </c>
      <c r="E1373" s="8634" t="s">
        <v>3666</v>
      </c>
      <c r="F1373" s="8634" t="s">
        <v>2460</v>
      </c>
      <c r="G1373" s="8634" t="s">
        <v>3667</v>
      </c>
      <c r="H1373" s="8634" t="s">
        <v>24</v>
      </c>
      <c r="I1373" s="8634" t="s">
        <v>809</v>
      </c>
    </row>
    <row customHeight="1" ht="11.25">
      <c r="A1374" s="8634" t="s">
        <v>2182</v>
      </c>
      <c r="B1374" s="8634" t="s">
        <v>14</v>
      </c>
      <c r="C1374" s="8634" t="s">
        <v>3668</v>
      </c>
      <c r="D1374" s="8634" t="s">
        <v>3669</v>
      </c>
      <c r="E1374" s="8634" t="s">
        <v>3670</v>
      </c>
      <c r="F1374" s="8634" t="s">
        <v>3248</v>
      </c>
      <c r="G1374" s="8634" t="s">
        <v>24</v>
      </c>
      <c r="H1374" s="8634" t="s">
        <v>24</v>
      </c>
      <c r="I1374" s="8634" t="s">
        <v>809</v>
      </c>
    </row>
    <row customHeight="1" ht="11.25">
      <c r="A1375" s="8634" t="s">
        <v>2182</v>
      </c>
      <c r="B1375" s="8634" t="s">
        <v>14</v>
      </c>
      <c r="C1375" s="8634" t="s">
        <v>3674</v>
      </c>
      <c r="D1375" s="8634" t="s">
        <v>3675</v>
      </c>
      <c r="E1375" s="8634" t="s">
        <v>3676</v>
      </c>
      <c r="F1375" s="8634" t="s">
        <v>2477</v>
      </c>
      <c r="G1375" s="8634" t="s">
        <v>3677</v>
      </c>
      <c r="H1375" s="8634" t="s">
        <v>24</v>
      </c>
      <c r="I1375" s="8634" t="s">
        <v>809</v>
      </c>
    </row>
    <row customHeight="1" ht="11.25">
      <c r="A1376" s="8634" t="s">
        <v>2182</v>
      </c>
      <c r="B1376" s="8634" t="s">
        <v>14</v>
      </c>
      <c r="C1376" s="8634" t="s">
        <v>3678</v>
      </c>
      <c r="D1376" s="8634" t="s">
        <v>3679</v>
      </c>
      <c r="E1376" s="8634" t="s">
        <v>3680</v>
      </c>
      <c r="F1376" s="8634" t="s">
        <v>2823</v>
      </c>
      <c r="G1376" s="8634" t="s">
        <v>24</v>
      </c>
      <c r="H1376" s="8634" t="s">
        <v>3321</v>
      </c>
      <c r="I1376" s="8634" t="s">
        <v>809</v>
      </c>
    </row>
    <row customHeight="1" ht="11.25">
      <c r="A1377" s="8634" t="s">
        <v>2182</v>
      </c>
      <c r="B1377" s="8634" t="s">
        <v>14</v>
      </c>
      <c r="C1377" s="8634" t="s">
        <v>3681</v>
      </c>
      <c r="D1377" s="8634" t="s">
        <v>3679</v>
      </c>
      <c r="E1377" s="8634" t="s">
        <v>3682</v>
      </c>
      <c r="F1377" s="8634" t="s">
        <v>2447</v>
      </c>
      <c r="G1377" s="8634" t="s">
        <v>2850</v>
      </c>
      <c r="H1377" s="8634" t="s">
        <v>2681</v>
      </c>
      <c r="I1377" s="8634" t="s">
        <v>809</v>
      </c>
    </row>
    <row customHeight="1" ht="11.25">
      <c r="A1378" s="8634" t="s">
        <v>2182</v>
      </c>
      <c r="B1378" s="8634" t="s">
        <v>14</v>
      </c>
      <c r="C1378" s="8634" t="s">
        <v>3683</v>
      </c>
      <c r="D1378" s="8634" t="s">
        <v>3679</v>
      </c>
      <c r="E1378" s="8634" t="s">
        <v>3684</v>
      </c>
      <c r="F1378" s="8634" t="s">
        <v>2600</v>
      </c>
      <c r="G1378" s="8634" t="s">
        <v>24</v>
      </c>
      <c r="H1378" s="8634" t="s">
        <v>3685</v>
      </c>
      <c r="I1378" s="8634" t="s">
        <v>809</v>
      </c>
    </row>
    <row customHeight="1" ht="11.25">
      <c r="A1379" s="8634" t="s">
        <v>2182</v>
      </c>
      <c r="B1379" s="8634" t="s">
        <v>14</v>
      </c>
      <c r="C1379" s="8634" t="s">
        <v>3686</v>
      </c>
      <c r="D1379" s="8634" t="s">
        <v>3687</v>
      </c>
      <c r="E1379" s="8634" t="s">
        <v>3688</v>
      </c>
      <c r="F1379" s="8634" t="s">
        <v>2339</v>
      </c>
      <c r="G1379" s="8634" t="s">
        <v>24</v>
      </c>
      <c r="H1379" s="8634" t="s">
        <v>2989</v>
      </c>
      <c r="I1379" s="8634" t="s">
        <v>809</v>
      </c>
    </row>
    <row customHeight="1" ht="11.25">
      <c r="A1380" s="8634" t="s">
        <v>2182</v>
      </c>
      <c r="B1380" s="8634" t="s">
        <v>14</v>
      </c>
      <c r="C1380" s="8634" t="s">
        <v>3689</v>
      </c>
      <c r="D1380" s="8634" t="s">
        <v>3690</v>
      </c>
      <c r="E1380" s="8634" t="s">
        <v>3691</v>
      </c>
      <c r="F1380" s="8634" t="s">
        <v>2344</v>
      </c>
      <c r="G1380" s="8634" t="s">
        <v>24</v>
      </c>
      <c r="H1380" s="8634" t="s">
        <v>24</v>
      </c>
      <c r="I1380" s="8634" t="s">
        <v>809</v>
      </c>
    </row>
    <row customHeight="1" ht="11.25">
      <c r="A1381" s="8634" t="s">
        <v>2182</v>
      </c>
      <c r="B1381" s="8634" t="s">
        <v>14</v>
      </c>
      <c r="C1381" s="8634" t="s">
        <v>3695</v>
      </c>
      <c r="D1381" s="8634" t="s">
        <v>3696</v>
      </c>
      <c r="E1381" s="8634" t="s">
        <v>3697</v>
      </c>
      <c r="F1381" s="8634" t="s">
        <v>3212</v>
      </c>
      <c r="G1381" s="8634" t="s">
        <v>24</v>
      </c>
      <c r="H1381" s="8634" t="s">
        <v>24</v>
      </c>
      <c r="I1381" s="8634" t="s">
        <v>809</v>
      </c>
    </row>
    <row customHeight="1" ht="11.25">
      <c r="A1382" s="8634" t="s">
        <v>2182</v>
      </c>
      <c r="B1382" s="8634" t="s">
        <v>14</v>
      </c>
      <c r="C1382" s="8634" t="s">
        <v>3698</v>
      </c>
      <c r="D1382" s="8634" t="s">
        <v>3699</v>
      </c>
      <c r="E1382" s="8634" t="s">
        <v>3700</v>
      </c>
      <c r="F1382" s="8634" t="s">
        <v>2228</v>
      </c>
      <c r="G1382" s="8634" t="s">
        <v>24</v>
      </c>
      <c r="H1382" s="8634" t="s">
        <v>24</v>
      </c>
      <c r="I1382" s="8634" t="s">
        <v>809</v>
      </c>
    </row>
    <row customHeight="1" ht="11.25">
      <c r="A1383" s="8634" t="s">
        <v>2182</v>
      </c>
      <c r="B1383" s="8634" t="s">
        <v>14</v>
      </c>
      <c r="C1383" s="8634" t="s">
        <v>3701</v>
      </c>
      <c r="D1383" s="8634" t="s">
        <v>3702</v>
      </c>
      <c r="E1383" s="8634" t="s">
        <v>3703</v>
      </c>
      <c r="F1383" s="8634" t="s">
        <v>2567</v>
      </c>
      <c r="G1383" s="8634" t="s">
        <v>24</v>
      </c>
      <c r="H1383" s="8634" t="s">
        <v>2187</v>
      </c>
      <c r="I1383" s="8634" t="s">
        <v>809</v>
      </c>
    </row>
    <row customHeight="1" ht="11.25">
      <c r="A1384" s="8634" t="s">
        <v>2182</v>
      </c>
      <c r="B1384" s="8634" t="s">
        <v>14</v>
      </c>
      <c r="C1384" s="8634" t="s">
        <v>3704</v>
      </c>
      <c r="D1384" s="8634" t="s">
        <v>3705</v>
      </c>
      <c r="E1384" s="8634" t="s">
        <v>3706</v>
      </c>
      <c r="F1384" s="8634" t="s">
        <v>2376</v>
      </c>
      <c r="G1384" s="8634" t="s">
        <v>24</v>
      </c>
      <c r="H1384" s="8634" t="s">
        <v>3707</v>
      </c>
      <c r="I1384" s="8634" t="s">
        <v>809</v>
      </c>
    </row>
    <row customHeight="1" ht="11.25">
      <c r="A1385" s="8634" t="s">
        <v>2182</v>
      </c>
      <c r="B1385" s="8634" t="s">
        <v>14</v>
      </c>
      <c r="C1385" s="8634" t="s">
        <v>3711</v>
      </c>
      <c r="D1385" s="8634" t="s">
        <v>3712</v>
      </c>
      <c r="E1385" s="8634" t="s">
        <v>3713</v>
      </c>
      <c r="F1385" s="8634" t="s">
        <v>2274</v>
      </c>
      <c r="G1385" s="8634" t="s">
        <v>3714</v>
      </c>
      <c r="H1385" s="8634" t="s">
        <v>24</v>
      </c>
      <c r="I1385" s="8634" t="s">
        <v>809</v>
      </c>
    </row>
    <row customHeight="1" ht="11.25">
      <c r="A1386" s="8634" t="s">
        <v>2182</v>
      </c>
      <c r="B1386" s="8634" t="s">
        <v>14</v>
      </c>
      <c r="C1386" s="8634" t="s">
        <v>3718</v>
      </c>
      <c r="D1386" s="8634" t="s">
        <v>3719</v>
      </c>
      <c r="E1386" s="8634" t="s">
        <v>3720</v>
      </c>
      <c r="F1386" s="8634" t="s">
        <v>2705</v>
      </c>
      <c r="G1386" s="8634" t="s">
        <v>3721</v>
      </c>
      <c r="H1386" s="8634" t="s">
        <v>2187</v>
      </c>
      <c r="I1386" s="8634" t="s">
        <v>809</v>
      </c>
    </row>
    <row customHeight="1" ht="11.25">
      <c r="A1387" s="8634" t="s">
        <v>2182</v>
      </c>
      <c r="B1387" s="8634" t="s">
        <v>14</v>
      </c>
      <c r="C1387" s="8634" t="s">
        <v>3722</v>
      </c>
      <c r="D1387" s="8634" t="s">
        <v>3723</v>
      </c>
      <c r="E1387" s="8634" t="s">
        <v>3724</v>
      </c>
      <c r="F1387" s="8634" t="s">
        <v>2334</v>
      </c>
      <c r="G1387" s="8634" t="s">
        <v>24</v>
      </c>
      <c r="H1387" s="8634" t="s">
        <v>3725</v>
      </c>
      <c r="I1387" s="8634" t="s">
        <v>809</v>
      </c>
    </row>
    <row customHeight="1" ht="11.25">
      <c r="A1388" s="8634" t="s">
        <v>2182</v>
      </c>
      <c r="B1388" s="8634" t="s">
        <v>14</v>
      </c>
      <c r="C1388" s="8634" t="s">
        <v>3726</v>
      </c>
      <c r="D1388" s="8634" t="s">
        <v>3727</v>
      </c>
      <c r="E1388" s="8634" t="s">
        <v>3728</v>
      </c>
      <c r="F1388" s="8634" t="s">
        <v>2376</v>
      </c>
      <c r="G1388" s="8634" t="s">
        <v>24</v>
      </c>
      <c r="H1388" s="8634" t="s">
        <v>2187</v>
      </c>
      <c r="I1388" s="8634" t="s">
        <v>809</v>
      </c>
    </row>
    <row customHeight="1" ht="11.25">
      <c r="A1389" s="8634" t="s">
        <v>2182</v>
      </c>
      <c r="B1389" s="8634" t="s">
        <v>14</v>
      </c>
      <c r="C1389" s="8634" t="s">
        <v>3729</v>
      </c>
      <c r="D1389" s="8634" t="s">
        <v>3730</v>
      </c>
      <c r="E1389" s="8634" t="s">
        <v>3731</v>
      </c>
      <c r="F1389" s="8634" t="s">
        <v>2460</v>
      </c>
      <c r="G1389" s="8634" t="s">
        <v>3732</v>
      </c>
      <c r="H1389" s="8634" t="s">
        <v>2870</v>
      </c>
      <c r="I1389" s="8634" t="s">
        <v>809</v>
      </c>
    </row>
    <row customHeight="1" ht="11.25">
      <c r="A1390" s="8634" t="s">
        <v>2182</v>
      </c>
      <c r="B1390" s="8634" t="s">
        <v>14</v>
      </c>
      <c r="C1390" s="8634" t="s">
        <v>3733</v>
      </c>
      <c r="D1390" s="8634" t="s">
        <v>3734</v>
      </c>
      <c r="E1390" s="8634" t="s">
        <v>3735</v>
      </c>
      <c r="F1390" s="8634" t="s">
        <v>2600</v>
      </c>
      <c r="G1390" s="8634" t="s">
        <v>24</v>
      </c>
      <c r="H1390" s="8634" t="s">
        <v>2187</v>
      </c>
      <c r="I1390" s="8634" t="s">
        <v>809</v>
      </c>
    </row>
    <row customHeight="1" ht="11.25">
      <c r="A1391" s="8634" t="s">
        <v>2182</v>
      </c>
      <c r="B1391" s="8634" t="s">
        <v>14</v>
      </c>
      <c r="C1391" s="8634" t="s">
        <v>3736</v>
      </c>
      <c r="D1391" s="8634" t="s">
        <v>3737</v>
      </c>
      <c r="E1391" s="8634" t="s">
        <v>3738</v>
      </c>
      <c r="F1391" s="8634" t="s">
        <v>2245</v>
      </c>
      <c r="G1391" s="8634" t="s">
        <v>24</v>
      </c>
      <c r="H1391" s="8634" t="s">
        <v>2187</v>
      </c>
      <c r="I1391" s="8634" t="s">
        <v>809</v>
      </c>
    </row>
    <row customHeight="1" ht="11.25">
      <c r="A1392" s="8634" t="s">
        <v>2182</v>
      </c>
      <c r="B1392" s="8634" t="s">
        <v>14</v>
      </c>
      <c r="C1392" s="8634" t="s">
        <v>3739</v>
      </c>
      <c r="D1392" s="8634" t="s">
        <v>3740</v>
      </c>
      <c r="E1392" s="8634" t="s">
        <v>3741</v>
      </c>
      <c r="F1392" s="8634" t="s">
        <v>2322</v>
      </c>
      <c r="G1392" s="8634" t="s">
        <v>24</v>
      </c>
      <c r="H1392" s="8634" t="s">
        <v>2187</v>
      </c>
      <c r="I1392" s="8634" t="s">
        <v>809</v>
      </c>
    </row>
    <row customHeight="1" ht="11.25">
      <c r="A1393" s="8634" t="s">
        <v>2182</v>
      </c>
      <c r="B1393" s="8634" t="s">
        <v>14</v>
      </c>
      <c r="C1393" s="8634" t="s">
        <v>3745</v>
      </c>
      <c r="D1393" s="8634" t="s">
        <v>3746</v>
      </c>
      <c r="E1393" s="8634" t="s">
        <v>3747</v>
      </c>
      <c r="F1393" s="8634" t="s">
        <v>2398</v>
      </c>
      <c r="G1393" s="8634" t="s">
        <v>24</v>
      </c>
      <c r="H1393" s="8634" t="s">
        <v>24</v>
      </c>
      <c r="I1393" s="8634" t="s">
        <v>809</v>
      </c>
    </row>
    <row customHeight="1" ht="11.25">
      <c r="A1394" s="8634" t="s">
        <v>2182</v>
      </c>
      <c r="B1394" s="8634" t="s">
        <v>14</v>
      </c>
      <c r="C1394" s="8634" t="s">
        <v>3748</v>
      </c>
      <c r="D1394" s="8634" t="s">
        <v>3749</v>
      </c>
      <c r="E1394" s="8634" t="s">
        <v>3750</v>
      </c>
      <c r="F1394" s="8634" t="s">
        <v>2349</v>
      </c>
      <c r="G1394" s="8634" t="s">
        <v>24</v>
      </c>
      <c r="H1394" s="8634" t="s">
        <v>24</v>
      </c>
      <c r="I1394" s="8634" t="s">
        <v>809</v>
      </c>
    </row>
    <row customHeight="1" ht="11.25">
      <c r="A1395" s="8634" t="s">
        <v>2182</v>
      </c>
      <c r="B1395" s="8634" t="s">
        <v>14</v>
      </c>
      <c r="C1395" s="8634" t="s">
        <v>3754</v>
      </c>
      <c r="D1395" s="8634" t="s">
        <v>3755</v>
      </c>
      <c r="E1395" s="8634" t="s">
        <v>3756</v>
      </c>
      <c r="F1395" s="8634" t="s">
        <v>3757</v>
      </c>
      <c r="G1395" s="8634" t="s">
        <v>3758</v>
      </c>
      <c r="H1395" s="8634" t="s">
        <v>2400</v>
      </c>
      <c r="I1395" s="8634" t="s">
        <v>809</v>
      </c>
    </row>
    <row customHeight="1" ht="11.25">
      <c r="A1396" s="8634" t="s">
        <v>2182</v>
      </c>
      <c r="B1396" s="8634" t="s">
        <v>14</v>
      </c>
      <c r="C1396" s="8634" t="s">
        <v>3762</v>
      </c>
      <c r="D1396" s="8634" t="s">
        <v>3763</v>
      </c>
      <c r="E1396" s="8634" t="s">
        <v>3764</v>
      </c>
      <c r="F1396" s="8634" t="s">
        <v>3765</v>
      </c>
      <c r="G1396" s="8634" t="s">
        <v>24</v>
      </c>
      <c r="H1396" s="8634" t="s">
        <v>24</v>
      </c>
      <c r="I1396" s="8634" t="s">
        <v>809</v>
      </c>
    </row>
    <row customHeight="1" ht="11.25">
      <c r="A1397" s="8634" t="s">
        <v>2182</v>
      </c>
      <c r="B1397" s="8634" t="s">
        <v>14</v>
      </c>
      <c r="C1397" s="8634" t="s">
        <v>3766</v>
      </c>
      <c r="D1397" s="8634" t="s">
        <v>3767</v>
      </c>
      <c r="E1397" s="8634" t="s">
        <v>3768</v>
      </c>
      <c r="F1397" s="8634" t="s">
        <v>2567</v>
      </c>
      <c r="G1397" s="8634" t="s">
        <v>3769</v>
      </c>
      <c r="H1397" s="8634" t="s">
        <v>2870</v>
      </c>
      <c r="I1397" s="8634" t="s">
        <v>809</v>
      </c>
    </row>
    <row customHeight="1" ht="11.25">
      <c r="A1398" s="8634" t="s">
        <v>2182</v>
      </c>
      <c r="B1398" s="8634" t="s">
        <v>14</v>
      </c>
      <c r="C1398" s="8634" t="s">
        <v>3770</v>
      </c>
      <c r="D1398" s="8634" t="s">
        <v>3771</v>
      </c>
      <c r="E1398" s="8634" t="s">
        <v>3772</v>
      </c>
      <c r="F1398" s="8634" t="s">
        <v>2567</v>
      </c>
      <c r="G1398" s="8634" t="s">
        <v>24</v>
      </c>
      <c r="H1398" s="8634" t="s">
        <v>2993</v>
      </c>
      <c r="I1398" s="8634" t="s">
        <v>809</v>
      </c>
    </row>
    <row customHeight="1" ht="11.25">
      <c r="A1399" s="8634" t="s">
        <v>2182</v>
      </c>
      <c r="B1399" s="8634" t="s">
        <v>14</v>
      </c>
      <c r="C1399" s="8634" t="s">
        <v>3773</v>
      </c>
      <c r="D1399" s="8634" t="s">
        <v>3774</v>
      </c>
      <c r="E1399" s="8634" t="s">
        <v>3775</v>
      </c>
      <c r="F1399" s="8634" t="s">
        <v>3776</v>
      </c>
      <c r="G1399" s="8634" t="s">
        <v>24</v>
      </c>
      <c r="H1399" s="8634" t="s">
        <v>24</v>
      </c>
      <c r="I1399" s="8634" t="s">
        <v>809</v>
      </c>
    </row>
    <row customHeight="1" ht="11.25">
      <c r="A1400" s="8634" t="s">
        <v>2182</v>
      </c>
      <c r="B1400" s="8634" t="s">
        <v>14</v>
      </c>
      <c r="C1400" s="8634" t="s">
        <v>3777</v>
      </c>
      <c r="D1400" s="8634" t="s">
        <v>3778</v>
      </c>
      <c r="E1400" s="8634" t="s">
        <v>3779</v>
      </c>
      <c r="F1400" s="8634" t="s">
        <v>2322</v>
      </c>
      <c r="G1400" s="8634" t="s">
        <v>24</v>
      </c>
      <c r="H1400" s="8634" t="s">
        <v>24</v>
      </c>
      <c r="I1400" s="8634" t="s">
        <v>809</v>
      </c>
    </row>
    <row customHeight="1" ht="11.25">
      <c r="A1401" s="8634" t="s">
        <v>2182</v>
      </c>
      <c r="B1401" s="8634" t="s">
        <v>14</v>
      </c>
      <c r="C1401" s="8634" t="s">
        <v>3780</v>
      </c>
      <c r="D1401" s="8634" t="s">
        <v>3781</v>
      </c>
      <c r="E1401" s="8634" t="s">
        <v>3782</v>
      </c>
      <c r="F1401" s="8634" t="s">
        <v>2322</v>
      </c>
      <c r="G1401" s="8634" t="s">
        <v>3783</v>
      </c>
      <c r="H1401" s="8634" t="s">
        <v>24</v>
      </c>
      <c r="I1401" s="8634" t="s">
        <v>809</v>
      </c>
    </row>
    <row customHeight="1" ht="11.25">
      <c r="A1402" s="8634" t="s">
        <v>2182</v>
      </c>
      <c r="B1402" s="8634" t="s">
        <v>14</v>
      </c>
      <c r="C1402" s="8634" t="s">
        <v>3789</v>
      </c>
      <c r="D1402" s="8634" t="s">
        <v>3790</v>
      </c>
      <c r="E1402" s="8634" t="s">
        <v>3791</v>
      </c>
      <c r="F1402" s="8634" t="s">
        <v>3792</v>
      </c>
      <c r="G1402" s="8634" t="s">
        <v>24</v>
      </c>
      <c r="H1402" s="8634" t="s">
        <v>24</v>
      </c>
      <c r="I1402" s="8634" t="s">
        <v>809</v>
      </c>
    </row>
    <row customHeight="1" ht="11.25">
      <c r="A1403" s="8634" t="s">
        <v>2182</v>
      </c>
      <c r="B1403" s="8634" t="s">
        <v>14</v>
      </c>
      <c r="C1403" s="8634" t="s">
        <v>3796</v>
      </c>
      <c r="D1403" s="8634" t="s">
        <v>3797</v>
      </c>
      <c r="E1403" s="8634" t="s">
        <v>3039</v>
      </c>
      <c r="F1403" s="8634" t="s">
        <v>3798</v>
      </c>
      <c r="G1403" s="8634" t="s">
        <v>24</v>
      </c>
      <c r="H1403" s="8634" t="s">
        <v>24</v>
      </c>
      <c r="I1403" s="8634" t="s">
        <v>809</v>
      </c>
    </row>
    <row customHeight="1" ht="11.25">
      <c r="A1404" s="8634" t="s">
        <v>2182</v>
      </c>
      <c r="B1404" s="8634" t="s">
        <v>14</v>
      </c>
      <c r="C1404" s="8634" t="s">
        <v>3799</v>
      </c>
      <c r="D1404" s="8634" t="s">
        <v>3800</v>
      </c>
      <c r="E1404" s="8634" t="s">
        <v>3039</v>
      </c>
      <c r="F1404" s="8634" t="s">
        <v>3801</v>
      </c>
      <c r="G1404" s="8634" t="s">
        <v>3473</v>
      </c>
      <c r="H1404" s="8634" t="s">
        <v>24</v>
      </c>
      <c r="I1404" s="8634" t="s">
        <v>809</v>
      </c>
    </row>
    <row customHeight="1" ht="11.25">
      <c r="A1405" s="8634" t="s">
        <v>2182</v>
      </c>
      <c r="B1405" s="8634" t="s">
        <v>14</v>
      </c>
      <c r="C1405" s="8634" t="s">
        <v>3805</v>
      </c>
      <c r="D1405" s="8634" t="s">
        <v>3806</v>
      </c>
      <c r="E1405" s="8634" t="s">
        <v>3807</v>
      </c>
      <c r="F1405" s="8634" t="s">
        <v>3808</v>
      </c>
      <c r="G1405" s="8634" t="s">
        <v>3809</v>
      </c>
      <c r="H1405" s="8634" t="s">
        <v>3810</v>
      </c>
      <c r="I1405" s="8634" t="s">
        <v>809</v>
      </c>
    </row>
    <row customHeight="1" ht="11.25">
      <c r="A1406" s="8634" t="s">
        <v>2182</v>
      </c>
      <c r="B1406" s="8634" t="s">
        <v>14</v>
      </c>
      <c r="C1406" s="8634" t="s">
        <v>6312</v>
      </c>
      <c r="D1406" s="8634" t="s">
        <v>6313</v>
      </c>
      <c r="E1406" s="8634" t="s">
        <v>6314</v>
      </c>
      <c r="F1406" s="8634" t="s">
        <v>2334</v>
      </c>
      <c r="G1406" s="8634" t="s">
        <v>24</v>
      </c>
      <c r="H1406" s="8634" t="s">
        <v>6315</v>
      </c>
      <c r="I1406" s="8634" t="s">
        <v>809</v>
      </c>
    </row>
    <row customHeight="1" ht="11.25">
      <c r="A1407" s="8634" t="s">
        <v>2182</v>
      </c>
      <c r="B1407" s="8634" t="s">
        <v>14</v>
      </c>
      <c r="C1407" s="8634" t="s">
        <v>3822</v>
      </c>
      <c r="D1407" s="8634" t="s">
        <v>3823</v>
      </c>
      <c r="E1407" s="8634" t="s">
        <v>3824</v>
      </c>
      <c r="F1407" s="8634" t="s">
        <v>2186</v>
      </c>
      <c r="G1407" s="8634" t="s">
        <v>2663</v>
      </c>
      <c r="H1407" s="8634" t="s">
        <v>24</v>
      </c>
      <c r="I1407" s="8634" t="s">
        <v>809</v>
      </c>
    </row>
    <row customHeight="1" ht="11.25">
      <c r="A1408" s="8634" t="s">
        <v>2182</v>
      </c>
      <c r="B1408" s="8634" t="s">
        <v>14</v>
      </c>
      <c r="C1408" s="8634" t="s">
        <v>3831</v>
      </c>
      <c r="D1408" s="8634" t="s">
        <v>3832</v>
      </c>
      <c r="E1408" s="8634" t="s">
        <v>3833</v>
      </c>
      <c r="F1408" s="8634" t="s">
        <v>2705</v>
      </c>
      <c r="G1408" s="8634" t="s">
        <v>24</v>
      </c>
      <c r="H1408" s="8634" t="s">
        <v>2187</v>
      </c>
      <c r="I1408" s="8634" t="s">
        <v>809</v>
      </c>
    </row>
    <row customHeight="1" ht="11.25">
      <c r="A1409" s="8634" t="s">
        <v>2182</v>
      </c>
      <c r="B1409" s="8634" t="s">
        <v>14</v>
      </c>
      <c r="C1409" s="8634" t="s">
        <v>6316</v>
      </c>
      <c r="D1409" s="8634" t="s">
        <v>6317</v>
      </c>
      <c r="E1409" s="8634" t="s">
        <v>6318</v>
      </c>
      <c r="F1409" s="8634" t="s">
        <v>2213</v>
      </c>
      <c r="G1409" s="8634" t="s">
        <v>24</v>
      </c>
      <c r="H1409" s="8634" t="s">
        <v>2187</v>
      </c>
      <c r="I1409" s="8634" t="s">
        <v>809</v>
      </c>
    </row>
    <row customHeight="1" ht="11.25">
      <c r="A1410" s="8634" t="s">
        <v>2182</v>
      </c>
      <c r="B1410" s="8634" t="s">
        <v>14</v>
      </c>
      <c r="C1410" s="8634" t="s">
        <v>3849</v>
      </c>
      <c r="D1410" s="8634" t="s">
        <v>3850</v>
      </c>
      <c r="E1410" s="8634" t="s">
        <v>3851</v>
      </c>
      <c r="F1410" s="8634" t="s">
        <v>2344</v>
      </c>
      <c r="G1410" s="8634" t="s">
        <v>24</v>
      </c>
      <c r="H1410" s="8634" t="s">
        <v>3852</v>
      </c>
      <c r="I1410" s="8634" t="s">
        <v>809</v>
      </c>
    </row>
    <row customHeight="1" ht="11.25">
      <c r="A1411" s="8634" t="s">
        <v>2182</v>
      </c>
      <c r="B1411" s="8634" t="s">
        <v>14</v>
      </c>
      <c r="C1411" s="8634" t="s">
        <v>3863</v>
      </c>
      <c r="D1411" s="8634" t="s">
        <v>3864</v>
      </c>
      <c r="E1411" s="8634" t="s">
        <v>3865</v>
      </c>
      <c r="F1411" s="8634" t="s">
        <v>2492</v>
      </c>
      <c r="G1411" s="8634" t="s">
        <v>24</v>
      </c>
      <c r="H1411" s="8634" t="s">
        <v>24</v>
      </c>
      <c r="I1411" s="8634" t="s">
        <v>809</v>
      </c>
    </row>
    <row customHeight="1" ht="11.25">
      <c r="A1412" s="8634" t="s">
        <v>2182</v>
      </c>
      <c r="B1412" s="8634" t="s">
        <v>14</v>
      </c>
      <c r="C1412" s="8634" t="s">
        <v>3866</v>
      </c>
      <c r="D1412" s="8634" t="s">
        <v>3867</v>
      </c>
      <c r="E1412" s="8634" t="s">
        <v>3868</v>
      </c>
      <c r="F1412" s="8634" t="s">
        <v>2398</v>
      </c>
      <c r="G1412" s="8634" t="s">
        <v>24</v>
      </c>
      <c r="H1412" s="8634" t="s">
        <v>2187</v>
      </c>
      <c r="I1412" s="8634" t="s">
        <v>809</v>
      </c>
    </row>
    <row customHeight="1" ht="11.25">
      <c r="A1413" s="8634" t="s">
        <v>2182</v>
      </c>
      <c r="B1413" s="8634" t="s">
        <v>14</v>
      </c>
      <c r="C1413" s="8634" t="s">
        <v>6319</v>
      </c>
      <c r="D1413" s="8634" t="s">
        <v>6320</v>
      </c>
      <c r="E1413" s="8634" t="s">
        <v>6321</v>
      </c>
      <c r="F1413" s="8634" t="s">
        <v>2250</v>
      </c>
      <c r="G1413" s="8634" t="s">
        <v>24</v>
      </c>
      <c r="H1413" s="8634" t="s">
        <v>2993</v>
      </c>
      <c r="I1413" s="8634" t="s">
        <v>809</v>
      </c>
    </row>
    <row customHeight="1" ht="11.25">
      <c r="A1414" s="8634" t="s">
        <v>2182</v>
      </c>
      <c r="B1414" s="8634" t="s">
        <v>14</v>
      </c>
      <c r="C1414" s="8634" t="s">
        <v>3872</v>
      </c>
      <c r="D1414" s="8634" t="s">
        <v>3873</v>
      </c>
      <c r="E1414" s="8634" t="s">
        <v>3874</v>
      </c>
      <c r="F1414" s="8634" t="s">
        <v>2213</v>
      </c>
      <c r="G1414" s="8634" t="s">
        <v>3875</v>
      </c>
      <c r="H1414" s="8634" t="s">
        <v>24</v>
      </c>
      <c r="I1414" s="8634" t="s">
        <v>809</v>
      </c>
    </row>
    <row customHeight="1" ht="11.25">
      <c r="A1415" s="8634" t="s">
        <v>2182</v>
      </c>
      <c r="B1415" s="8634" t="s">
        <v>14</v>
      </c>
      <c r="C1415" s="8634" t="s">
        <v>3879</v>
      </c>
      <c r="D1415" s="8634" t="s">
        <v>3880</v>
      </c>
      <c r="E1415" s="8634" t="s">
        <v>3881</v>
      </c>
      <c r="F1415" s="8634" t="s">
        <v>2563</v>
      </c>
      <c r="G1415" s="8634" t="s">
        <v>24</v>
      </c>
      <c r="H1415" s="8634" t="s">
        <v>2993</v>
      </c>
      <c r="I1415" s="8634" t="s">
        <v>809</v>
      </c>
    </row>
    <row customHeight="1" ht="11.25">
      <c r="A1416" s="8634" t="s">
        <v>2182</v>
      </c>
      <c r="B1416" s="8634" t="s">
        <v>14</v>
      </c>
      <c r="C1416" s="8634" t="s">
        <v>3891</v>
      </c>
      <c r="D1416" s="8634" t="s">
        <v>3892</v>
      </c>
      <c r="E1416" s="8634" t="s">
        <v>3893</v>
      </c>
      <c r="F1416" s="8634" t="s">
        <v>3894</v>
      </c>
      <c r="G1416" s="8634" t="s">
        <v>24</v>
      </c>
      <c r="H1416" s="8634" t="s">
        <v>24</v>
      </c>
      <c r="I1416" s="8634" t="s">
        <v>809</v>
      </c>
    </row>
    <row customHeight="1" ht="11.25">
      <c r="A1417" s="8634" t="s">
        <v>2182</v>
      </c>
      <c r="B1417" s="8634" t="s">
        <v>14</v>
      </c>
      <c r="C1417" s="8634" t="s">
        <v>3895</v>
      </c>
      <c r="D1417" s="8634" t="s">
        <v>3896</v>
      </c>
      <c r="E1417" s="8634" t="s">
        <v>3897</v>
      </c>
      <c r="F1417" s="8634" t="s">
        <v>2721</v>
      </c>
      <c r="G1417" s="8634" t="s">
        <v>24</v>
      </c>
      <c r="H1417" s="8634" t="s">
        <v>2993</v>
      </c>
      <c r="I1417" s="8634" t="s">
        <v>809</v>
      </c>
    </row>
    <row customHeight="1" ht="11.25">
      <c r="A1418" s="8634" t="s">
        <v>2182</v>
      </c>
      <c r="B1418" s="8634" t="s">
        <v>14</v>
      </c>
      <c r="C1418" s="8634" t="s">
        <v>3898</v>
      </c>
      <c r="D1418" s="8634" t="s">
        <v>3899</v>
      </c>
      <c r="E1418" s="8634" t="s">
        <v>3900</v>
      </c>
      <c r="F1418" s="8634" t="s">
        <v>2705</v>
      </c>
      <c r="G1418" s="8634" t="s">
        <v>24</v>
      </c>
      <c r="H1418" s="8634" t="s">
        <v>24</v>
      </c>
      <c r="I1418" s="8634" t="s">
        <v>809</v>
      </c>
    </row>
    <row customHeight="1" ht="11.25">
      <c r="A1419" s="8634" t="s">
        <v>2182</v>
      </c>
      <c r="B1419" s="8634" t="s">
        <v>14</v>
      </c>
      <c r="C1419" s="8634" t="s">
        <v>3904</v>
      </c>
      <c r="D1419" s="8634" t="s">
        <v>3905</v>
      </c>
      <c r="E1419" s="8634" t="s">
        <v>3906</v>
      </c>
      <c r="F1419" s="8634" t="s">
        <v>2213</v>
      </c>
      <c r="G1419" s="8634" t="s">
        <v>24</v>
      </c>
      <c r="H1419" s="8634" t="s">
        <v>2187</v>
      </c>
      <c r="I1419" s="8634" t="s">
        <v>809</v>
      </c>
    </row>
    <row customHeight="1" ht="11.25">
      <c r="A1420" s="8634" t="s">
        <v>2182</v>
      </c>
      <c r="B1420" s="8634" t="s">
        <v>14</v>
      </c>
      <c r="C1420" s="8634" t="s">
        <v>6322</v>
      </c>
      <c r="D1420" s="8634" t="s">
        <v>6323</v>
      </c>
      <c r="E1420" s="8634" t="s">
        <v>6324</v>
      </c>
      <c r="F1420" s="8634" t="s">
        <v>2245</v>
      </c>
      <c r="G1420" s="8634" t="s">
        <v>24</v>
      </c>
      <c r="H1420" s="8634" t="s">
        <v>6325</v>
      </c>
      <c r="I1420" s="8634" t="s">
        <v>809</v>
      </c>
    </row>
    <row customHeight="1" ht="11.25">
      <c r="A1421" s="8634" t="s">
        <v>2182</v>
      </c>
      <c r="B1421" s="8634" t="s">
        <v>14</v>
      </c>
      <c r="C1421" s="8634" t="s">
        <v>3907</v>
      </c>
      <c r="D1421" s="8634" t="s">
        <v>3908</v>
      </c>
      <c r="E1421" s="8634" t="s">
        <v>3909</v>
      </c>
      <c r="F1421" s="8634" t="s">
        <v>2626</v>
      </c>
      <c r="G1421" s="8634" t="s">
        <v>24</v>
      </c>
      <c r="H1421" s="8634" t="s">
        <v>2400</v>
      </c>
      <c r="I1421" s="8634" t="s">
        <v>809</v>
      </c>
    </row>
    <row customHeight="1" ht="11.25">
      <c r="A1422" s="8634" t="s">
        <v>2182</v>
      </c>
      <c r="B1422" s="8634" t="s">
        <v>14</v>
      </c>
      <c r="C1422" s="8634" t="s">
        <v>3913</v>
      </c>
      <c r="D1422" s="8634" t="s">
        <v>3914</v>
      </c>
      <c r="E1422" s="8634" t="s">
        <v>3915</v>
      </c>
      <c r="F1422" s="8634" t="s">
        <v>2218</v>
      </c>
      <c r="G1422" s="8634" t="s">
        <v>24</v>
      </c>
      <c r="H1422" s="8634" t="s">
        <v>3916</v>
      </c>
      <c r="I1422" s="8634" t="s">
        <v>809</v>
      </c>
    </row>
    <row customHeight="1" ht="11.25">
      <c r="A1423" s="8634" t="s">
        <v>2182</v>
      </c>
      <c r="B1423" s="8634" t="s">
        <v>14</v>
      </c>
      <c r="C1423" s="8634" t="s">
        <v>3920</v>
      </c>
      <c r="D1423" s="8634" t="s">
        <v>3921</v>
      </c>
      <c r="E1423" s="8634" t="s">
        <v>3922</v>
      </c>
      <c r="F1423" s="8634" t="s">
        <v>2228</v>
      </c>
      <c r="G1423" s="8634" t="s">
        <v>24</v>
      </c>
      <c r="H1423" s="8634" t="s">
        <v>24</v>
      </c>
      <c r="I1423" s="8634" t="s">
        <v>809</v>
      </c>
    </row>
    <row customHeight="1" ht="11.25">
      <c r="A1424" s="8634" t="s">
        <v>2182</v>
      </c>
      <c r="B1424" s="8634" t="s">
        <v>14</v>
      </c>
      <c r="C1424" s="8634" t="s">
        <v>3926</v>
      </c>
      <c r="D1424" s="8634" t="s">
        <v>3927</v>
      </c>
      <c r="E1424" s="8634" t="s">
        <v>3928</v>
      </c>
      <c r="F1424" s="8634" t="s">
        <v>2976</v>
      </c>
      <c r="G1424" s="8634" t="s">
        <v>3929</v>
      </c>
      <c r="H1424" s="8634" t="s">
        <v>24</v>
      </c>
      <c r="I1424" s="8634" t="s">
        <v>809</v>
      </c>
    </row>
    <row customHeight="1" ht="11.25">
      <c r="A1425" s="8634" t="s">
        <v>2182</v>
      </c>
      <c r="B1425" s="8634" t="s">
        <v>14</v>
      </c>
      <c r="C1425" s="8634" t="s">
        <v>3961</v>
      </c>
      <c r="D1425" s="8634" t="s">
        <v>3962</v>
      </c>
      <c r="E1425" s="8634" t="s">
        <v>3963</v>
      </c>
      <c r="F1425" s="8634" t="s">
        <v>2322</v>
      </c>
      <c r="G1425" s="8634" t="s">
        <v>24</v>
      </c>
      <c r="H1425" s="8634" t="s">
        <v>2400</v>
      </c>
      <c r="I1425" s="8634" t="s">
        <v>809</v>
      </c>
    </row>
    <row customHeight="1" ht="11.25">
      <c r="A1426" s="8634" t="s">
        <v>2182</v>
      </c>
      <c r="B1426" s="8634" t="s">
        <v>14</v>
      </c>
      <c r="C1426" s="8634" t="s">
        <v>3968</v>
      </c>
      <c r="D1426" s="8634" t="s">
        <v>3969</v>
      </c>
      <c r="E1426" s="8634" t="s">
        <v>2362</v>
      </c>
      <c r="F1426" s="8634" t="s">
        <v>2438</v>
      </c>
      <c r="G1426" s="8634" t="s">
        <v>24</v>
      </c>
      <c r="H1426" s="8634" t="s">
        <v>2187</v>
      </c>
      <c r="I1426" s="8634" t="s">
        <v>809</v>
      </c>
    </row>
    <row customHeight="1" ht="11.25">
      <c r="A1427" s="8634" t="s">
        <v>2182</v>
      </c>
      <c r="B1427" s="8634" t="s">
        <v>14</v>
      </c>
      <c r="C1427" s="8634" t="s">
        <v>3976</v>
      </c>
      <c r="D1427" s="8634" t="s">
        <v>3977</v>
      </c>
      <c r="E1427" s="8634" t="s">
        <v>3978</v>
      </c>
      <c r="F1427" s="8634" t="s">
        <v>2721</v>
      </c>
      <c r="G1427" s="8634" t="s">
        <v>24</v>
      </c>
      <c r="H1427" s="8634" t="s">
        <v>3222</v>
      </c>
      <c r="I1427" s="8634" t="s">
        <v>809</v>
      </c>
    </row>
    <row customHeight="1" ht="11.25">
      <c r="A1428" s="8634" t="s">
        <v>2182</v>
      </c>
      <c r="B1428" s="8634" t="s">
        <v>14</v>
      </c>
      <c r="C1428" s="8634" t="s">
        <v>3990</v>
      </c>
      <c r="D1428" s="8634" t="s">
        <v>3991</v>
      </c>
      <c r="E1428" s="8634" t="s">
        <v>3992</v>
      </c>
      <c r="F1428" s="8634" t="s">
        <v>2600</v>
      </c>
      <c r="G1428" s="8634" t="s">
        <v>3993</v>
      </c>
      <c r="H1428" s="8634" t="s">
        <v>24</v>
      </c>
      <c r="I1428" s="8634" t="s">
        <v>809</v>
      </c>
    </row>
    <row customHeight="1" ht="11.25">
      <c r="A1429" s="8634" t="s">
        <v>2182</v>
      </c>
      <c r="B1429" s="8634" t="s">
        <v>14</v>
      </c>
      <c r="C1429" s="8634" t="s">
        <v>3997</v>
      </c>
      <c r="D1429" s="8634" t="s">
        <v>3998</v>
      </c>
      <c r="E1429" s="8634" t="s">
        <v>3999</v>
      </c>
      <c r="F1429" s="8634" t="s">
        <v>2228</v>
      </c>
      <c r="G1429" s="8634" t="s">
        <v>24</v>
      </c>
      <c r="H1429" s="8634" t="s">
        <v>24</v>
      </c>
      <c r="I1429" s="8634" t="s">
        <v>809</v>
      </c>
    </row>
    <row customHeight="1" ht="11.25">
      <c r="A1430" s="8634" t="s">
        <v>2182</v>
      </c>
      <c r="B1430" s="8634" t="s">
        <v>14</v>
      </c>
      <c r="C1430" s="8634" t="s">
        <v>4000</v>
      </c>
      <c r="D1430" s="8634" t="s">
        <v>4001</v>
      </c>
      <c r="E1430" s="8634" t="s">
        <v>4002</v>
      </c>
      <c r="F1430" s="8634" t="s">
        <v>2228</v>
      </c>
      <c r="G1430" s="8634" t="s">
        <v>24</v>
      </c>
      <c r="H1430" s="8634" t="s">
        <v>24</v>
      </c>
      <c r="I1430" s="8634" t="s">
        <v>809</v>
      </c>
    </row>
    <row customHeight="1" ht="11.25">
      <c r="A1431" s="8634" t="s">
        <v>2182</v>
      </c>
      <c r="B1431" s="8634" t="s">
        <v>14</v>
      </c>
      <c r="C1431" s="8634" t="s">
        <v>4006</v>
      </c>
      <c r="D1431" s="8634" t="s">
        <v>4007</v>
      </c>
      <c r="E1431" s="8634" t="s">
        <v>4008</v>
      </c>
      <c r="F1431" s="8634" t="s">
        <v>2705</v>
      </c>
      <c r="G1431" s="8634" t="s">
        <v>24</v>
      </c>
      <c r="H1431" s="8634" t="s">
        <v>4009</v>
      </c>
      <c r="I1431" s="8634" t="s">
        <v>809</v>
      </c>
    </row>
    <row customHeight="1" ht="11.25">
      <c r="A1432" s="8634" t="s">
        <v>2182</v>
      </c>
      <c r="B1432" s="8634" t="s">
        <v>14</v>
      </c>
      <c r="C1432" s="8634" t="s">
        <v>4010</v>
      </c>
      <c r="D1432" s="8634" t="s">
        <v>4011</v>
      </c>
      <c r="E1432" s="8634" t="s">
        <v>4012</v>
      </c>
      <c r="F1432" s="8634" t="s">
        <v>2334</v>
      </c>
      <c r="G1432" s="8634" t="s">
        <v>24</v>
      </c>
      <c r="H1432" s="8634" t="s">
        <v>2697</v>
      </c>
      <c r="I1432" s="8634" t="s">
        <v>809</v>
      </c>
    </row>
    <row customHeight="1" ht="11.25">
      <c r="A1433" s="8634" t="s">
        <v>2182</v>
      </c>
      <c r="B1433" s="8634" t="s">
        <v>14</v>
      </c>
      <c r="C1433" s="8634" t="s">
        <v>4019</v>
      </c>
      <c r="D1433" s="8634" t="s">
        <v>4020</v>
      </c>
      <c r="E1433" s="8634" t="s">
        <v>4021</v>
      </c>
      <c r="F1433" s="8634" t="s">
        <v>2334</v>
      </c>
      <c r="G1433" s="8634" t="s">
        <v>4022</v>
      </c>
      <c r="H1433" s="8634" t="s">
        <v>24</v>
      </c>
      <c r="I1433" s="8634" t="s">
        <v>809</v>
      </c>
    </row>
    <row customHeight="1" ht="11.25">
      <c r="A1434" s="8634" t="s">
        <v>2182</v>
      </c>
      <c r="B1434" s="8634" t="s">
        <v>14</v>
      </c>
      <c r="C1434" s="8634" t="s">
        <v>4026</v>
      </c>
      <c r="D1434" s="8634" t="s">
        <v>4027</v>
      </c>
      <c r="E1434" s="8634" t="s">
        <v>4028</v>
      </c>
      <c r="F1434" s="8634" t="s">
        <v>2322</v>
      </c>
      <c r="G1434" s="8634" t="s">
        <v>4029</v>
      </c>
      <c r="H1434" s="8634" t="s">
        <v>2400</v>
      </c>
      <c r="I1434" s="8634" t="s">
        <v>809</v>
      </c>
    </row>
    <row customHeight="1" ht="11.25">
      <c r="A1435" s="8634" t="s">
        <v>2182</v>
      </c>
      <c r="B1435" s="8634" t="s">
        <v>14</v>
      </c>
      <c r="C1435" s="8634" t="s">
        <v>4034</v>
      </c>
      <c r="D1435" s="8634" t="s">
        <v>4035</v>
      </c>
      <c r="E1435" s="8634" t="s">
        <v>4036</v>
      </c>
      <c r="F1435" s="8634" t="s">
        <v>2300</v>
      </c>
      <c r="G1435" s="8634" t="s">
        <v>24</v>
      </c>
      <c r="H1435" s="8634" t="s">
        <v>2238</v>
      </c>
      <c r="I1435" s="8634" t="s">
        <v>809</v>
      </c>
    </row>
    <row customHeight="1" ht="11.25">
      <c r="A1436" s="8634" t="s">
        <v>2182</v>
      </c>
      <c r="B1436" s="8634" t="s">
        <v>14</v>
      </c>
      <c r="C1436" s="8634" t="s">
        <v>4037</v>
      </c>
      <c r="D1436" s="8634" t="s">
        <v>4038</v>
      </c>
      <c r="E1436" s="8634" t="s">
        <v>4039</v>
      </c>
      <c r="F1436" s="8634" t="s">
        <v>2394</v>
      </c>
      <c r="G1436" s="8634" t="s">
        <v>24</v>
      </c>
      <c r="H1436" s="8634" t="s">
        <v>24</v>
      </c>
      <c r="I1436" s="8634" t="s">
        <v>809</v>
      </c>
    </row>
    <row customHeight="1" ht="11.25">
      <c r="A1437" s="8634" t="s">
        <v>2182</v>
      </c>
      <c r="B1437" s="8634" t="s">
        <v>14</v>
      </c>
      <c r="C1437" s="8634" t="s">
        <v>4046</v>
      </c>
      <c r="D1437" s="8634" t="s">
        <v>4047</v>
      </c>
      <c r="E1437" s="8634" t="s">
        <v>4048</v>
      </c>
      <c r="F1437" s="8634" t="s">
        <v>2854</v>
      </c>
      <c r="G1437" s="8634" t="s">
        <v>24</v>
      </c>
      <c r="H1437" s="8634" t="s">
        <v>2187</v>
      </c>
      <c r="I1437" s="8634" t="s">
        <v>809</v>
      </c>
    </row>
    <row customHeight="1" ht="11.25">
      <c r="A1438" s="8634" t="s">
        <v>2182</v>
      </c>
      <c r="B1438" s="8634" t="s">
        <v>14</v>
      </c>
      <c r="C1438" s="8634" t="s">
        <v>4052</v>
      </c>
      <c r="D1438" s="8634" t="s">
        <v>4053</v>
      </c>
      <c r="E1438" s="8634" t="s">
        <v>4054</v>
      </c>
      <c r="F1438" s="8634" t="s">
        <v>2213</v>
      </c>
      <c r="G1438" s="8634" t="s">
        <v>24</v>
      </c>
      <c r="H1438" s="8634" t="s">
        <v>24</v>
      </c>
      <c r="I1438" s="8634" t="s">
        <v>809</v>
      </c>
    </row>
    <row customHeight="1" ht="11.25">
      <c r="A1439" s="8634" t="s">
        <v>2182</v>
      </c>
      <c r="B1439" s="8634" t="s">
        <v>14</v>
      </c>
      <c r="C1439" s="8634" t="s">
        <v>4063</v>
      </c>
      <c r="D1439" s="8634" t="s">
        <v>4064</v>
      </c>
      <c r="E1439" s="8634" t="s">
        <v>4065</v>
      </c>
      <c r="F1439" s="8634" t="s">
        <v>2363</v>
      </c>
      <c r="G1439" s="8634" t="s">
        <v>24</v>
      </c>
      <c r="H1439" s="8634" t="s">
        <v>24</v>
      </c>
      <c r="I1439" s="8634" t="s">
        <v>809</v>
      </c>
    </row>
    <row customHeight="1" ht="11.25">
      <c r="A1440" s="8634" t="s">
        <v>2182</v>
      </c>
      <c r="B1440" s="8634" t="s">
        <v>14</v>
      </c>
      <c r="C1440" s="8634" t="s">
        <v>4072</v>
      </c>
      <c r="D1440" s="8634" t="s">
        <v>4073</v>
      </c>
      <c r="E1440" s="8634" t="s">
        <v>4074</v>
      </c>
      <c r="F1440" s="8634" t="s">
        <v>2363</v>
      </c>
      <c r="G1440" s="8634" t="s">
        <v>24</v>
      </c>
      <c r="H1440" s="8634" t="s">
        <v>2187</v>
      </c>
      <c r="I1440" s="8634" t="s">
        <v>809</v>
      </c>
    </row>
    <row customHeight="1" ht="11.25">
      <c r="A1441" s="8634" t="s">
        <v>2182</v>
      </c>
      <c r="B1441" s="8634" t="s">
        <v>14</v>
      </c>
      <c r="C1441" s="8634" t="s">
        <v>4075</v>
      </c>
      <c r="D1441" s="8634" t="s">
        <v>4076</v>
      </c>
      <c r="E1441" s="8634" t="s">
        <v>4077</v>
      </c>
      <c r="F1441" s="8634" t="s">
        <v>2363</v>
      </c>
      <c r="G1441" s="8634" t="s">
        <v>24</v>
      </c>
      <c r="H1441" s="8634" t="s">
        <v>2697</v>
      </c>
      <c r="I1441" s="8634" t="s">
        <v>809</v>
      </c>
    </row>
    <row customHeight="1" ht="11.25">
      <c r="A1442" s="8634" t="s">
        <v>2182</v>
      </c>
      <c r="B1442" s="8634" t="s">
        <v>14</v>
      </c>
      <c r="C1442" s="8634" t="s">
        <v>4078</v>
      </c>
      <c r="D1442" s="8634" t="s">
        <v>4079</v>
      </c>
      <c r="E1442" s="8634" t="s">
        <v>4080</v>
      </c>
      <c r="F1442" s="8634" t="s">
        <v>2339</v>
      </c>
      <c r="G1442" s="8634" t="s">
        <v>24</v>
      </c>
      <c r="H1442" s="8634" t="s">
        <v>2187</v>
      </c>
      <c r="I1442" s="8634" t="s">
        <v>809</v>
      </c>
    </row>
    <row customHeight="1" ht="11.25">
      <c r="A1443" s="8634" t="s">
        <v>2182</v>
      </c>
      <c r="B1443" s="8634" t="s">
        <v>14</v>
      </c>
      <c r="C1443" s="8634" t="s">
        <v>4081</v>
      </c>
      <c r="D1443" s="8634" t="s">
        <v>4082</v>
      </c>
      <c r="E1443" s="8634" t="s">
        <v>4083</v>
      </c>
      <c r="F1443" s="8634" t="s">
        <v>2213</v>
      </c>
      <c r="G1443" s="8634" t="s">
        <v>24</v>
      </c>
      <c r="H1443" s="8634" t="s">
        <v>2187</v>
      </c>
      <c r="I1443" s="8634" t="s">
        <v>809</v>
      </c>
    </row>
    <row customHeight="1" ht="11.25">
      <c r="A1444" s="8634" t="s">
        <v>2182</v>
      </c>
      <c r="B1444" s="8634" t="s">
        <v>14</v>
      </c>
      <c r="C1444" s="8634" t="s">
        <v>4091</v>
      </c>
      <c r="D1444" s="8634" t="s">
        <v>4092</v>
      </c>
      <c r="E1444" s="8634" t="s">
        <v>4093</v>
      </c>
      <c r="F1444" s="8634" t="s">
        <v>2339</v>
      </c>
      <c r="G1444" s="8634" t="s">
        <v>4094</v>
      </c>
      <c r="H1444" s="8634" t="s">
        <v>24</v>
      </c>
      <c r="I1444" s="8634" t="s">
        <v>809</v>
      </c>
    </row>
    <row customHeight="1" ht="11.25">
      <c r="A1445" s="8634" t="s">
        <v>2182</v>
      </c>
      <c r="B1445" s="8634" t="s">
        <v>14</v>
      </c>
      <c r="C1445" s="8634" t="s">
        <v>4098</v>
      </c>
      <c r="D1445" s="8634" t="s">
        <v>4099</v>
      </c>
      <c r="E1445" s="8634" t="s">
        <v>4100</v>
      </c>
      <c r="F1445" s="8634" t="s">
        <v>2339</v>
      </c>
      <c r="G1445" s="8634" t="s">
        <v>24</v>
      </c>
      <c r="H1445" s="8634" t="s">
        <v>24</v>
      </c>
      <c r="I1445" s="8634" t="s">
        <v>809</v>
      </c>
    </row>
    <row customHeight="1" ht="11.25">
      <c r="A1446" s="8634" t="s">
        <v>2182</v>
      </c>
      <c r="B1446" s="8634" t="s">
        <v>14</v>
      </c>
      <c r="C1446" s="8634" t="s">
        <v>4113</v>
      </c>
      <c r="D1446" s="8634" t="s">
        <v>4114</v>
      </c>
      <c r="E1446" s="8634" t="s">
        <v>4115</v>
      </c>
      <c r="F1446" s="8634" t="s">
        <v>2213</v>
      </c>
      <c r="G1446" s="8634" t="s">
        <v>24</v>
      </c>
      <c r="H1446" s="8634" t="s">
        <v>2187</v>
      </c>
      <c r="I1446" s="8634" t="s">
        <v>809</v>
      </c>
    </row>
    <row customHeight="1" ht="11.25">
      <c r="A1447" s="8634" t="s">
        <v>2182</v>
      </c>
      <c r="B1447" s="8634" t="s">
        <v>14</v>
      </c>
      <c r="C1447" s="8634" t="s">
        <v>6326</v>
      </c>
      <c r="D1447" s="8634" t="s">
        <v>6327</v>
      </c>
      <c r="E1447" s="8634" t="s">
        <v>6328</v>
      </c>
      <c r="F1447" s="8634" t="s">
        <v>2213</v>
      </c>
      <c r="G1447" s="8634" t="s">
        <v>24</v>
      </c>
      <c r="H1447" s="8634" t="s">
        <v>2187</v>
      </c>
      <c r="I1447" s="8634" t="s">
        <v>809</v>
      </c>
    </row>
    <row customHeight="1" ht="11.25">
      <c r="A1448" s="8634" t="s">
        <v>2182</v>
      </c>
      <c r="B1448" s="8634" t="s">
        <v>14</v>
      </c>
      <c r="C1448" s="8634" t="s">
        <v>4116</v>
      </c>
      <c r="D1448" s="8634" t="s">
        <v>4117</v>
      </c>
      <c r="E1448" s="8634" t="s">
        <v>4118</v>
      </c>
      <c r="F1448" s="8634" t="s">
        <v>2213</v>
      </c>
      <c r="G1448" s="8634" t="s">
        <v>24</v>
      </c>
      <c r="H1448" s="8634" t="s">
        <v>2187</v>
      </c>
      <c r="I1448" s="8634" t="s">
        <v>809</v>
      </c>
    </row>
    <row customHeight="1" ht="11.25">
      <c r="A1449" s="8634" t="s">
        <v>2182</v>
      </c>
      <c r="B1449" s="8634" t="s">
        <v>14</v>
      </c>
      <c r="C1449" s="8634" t="s">
        <v>4122</v>
      </c>
      <c r="D1449" s="8634" t="s">
        <v>4123</v>
      </c>
      <c r="E1449" s="8634" t="s">
        <v>4124</v>
      </c>
      <c r="F1449" s="8634" t="s">
        <v>2705</v>
      </c>
      <c r="G1449" s="8634" t="s">
        <v>24</v>
      </c>
      <c r="H1449" s="8634" t="s">
        <v>2187</v>
      </c>
      <c r="I1449" s="8634" t="s">
        <v>809</v>
      </c>
    </row>
    <row customHeight="1" ht="11.25">
      <c r="A1450" s="8634" t="s">
        <v>2182</v>
      </c>
      <c r="B1450" s="8634" t="s">
        <v>14</v>
      </c>
      <c r="C1450" s="8634" t="s">
        <v>4128</v>
      </c>
      <c r="D1450" s="8634" t="s">
        <v>4126</v>
      </c>
      <c r="E1450" s="8634" t="s">
        <v>4127</v>
      </c>
      <c r="F1450" s="8634" t="s">
        <v>2899</v>
      </c>
      <c r="G1450" s="8634" t="s">
        <v>4129</v>
      </c>
      <c r="H1450" s="8634" t="s">
        <v>4130</v>
      </c>
      <c r="I1450" s="8634" t="s">
        <v>809</v>
      </c>
    </row>
    <row customHeight="1" ht="11.25">
      <c r="A1451" s="8634" t="s">
        <v>2182</v>
      </c>
      <c r="B1451" s="8634" t="s">
        <v>14</v>
      </c>
      <c r="C1451" s="8634" t="s">
        <v>4131</v>
      </c>
      <c r="D1451" s="8634" t="s">
        <v>4132</v>
      </c>
      <c r="E1451" s="8634" t="s">
        <v>4133</v>
      </c>
      <c r="F1451" s="8634" t="s">
        <v>3007</v>
      </c>
      <c r="G1451" s="8634" t="s">
        <v>4134</v>
      </c>
      <c r="H1451" s="8634" t="s">
        <v>2870</v>
      </c>
      <c r="I1451" s="8634" t="s">
        <v>809</v>
      </c>
    </row>
    <row customHeight="1" ht="11.25">
      <c r="A1452" s="8634" t="s">
        <v>2182</v>
      </c>
      <c r="B1452" s="8634" t="s">
        <v>14</v>
      </c>
      <c r="C1452" s="8634" t="s">
        <v>4144</v>
      </c>
      <c r="D1452" s="8634" t="s">
        <v>4145</v>
      </c>
      <c r="E1452" s="8634" t="s">
        <v>4146</v>
      </c>
      <c r="F1452" s="8634" t="s">
        <v>2339</v>
      </c>
      <c r="G1452" s="8634" t="s">
        <v>24</v>
      </c>
      <c r="H1452" s="8634" t="s">
        <v>2187</v>
      </c>
      <c r="I1452" s="8634" t="s">
        <v>809</v>
      </c>
    </row>
    <row customHeight="1" ht="11.25">
      <c r="A1453" s="8634" t="s">
        <v>2182</v>
      </c>
      <c r="B1453" s="8634" t="s">
        <v>14</v>
      </c>
      <c r="C1453" s="8634" t="s">
        <v>4154</v>
      </c>
      <c r="D1453" s="8634" t="s">
        <v>4155</v>
      </c>
      <c r="E1453" s="8634" t="s">
        <v>4156</v>
      </c>
      <c r="F1453" s="8634" t="s">
        <v>2300</v>
      </c>
      <c r="G1453" s="8634" t="s">
        <v>4157</v>
      </c>
      <c r="H1453" s="8634" t="s">
        <v>24</v>
      </c>
      <c r="I1453" s="8634" t="s">
        <v>809</v>
      </c>
    </row>
    <row customHeight="1" ht="11.25">
      <c r="A1454" s="8634" t="s">
        <v>2182</v>
      </c>
      <c r="B1454" s="8634" t="s">
        <v>14</v>
      </c>
      <c r="C1454" s="8634" t="s">
        <v>4158</v>
      </c>
      <c r="D1454" s="8634" t="s">
        <v>4159</v>
      </c>
      <c r="E1454" s="8634" t="s">
        <v>4160</v>
      </c>
      <c r="F1454" s="8634" t="s">
        <v>2696</v>
      </c>
      <c r="G1454" s="8634" t="s">
        <v>24</v>
      </c>
      <c r="H1454" s="8634" t="s">
        <v>2993</v>
      </c>
      <c r="I1454" s="8634" t="s">
        <v>809</v>
      </c>
    </row>
    <row customHeight="1" ht="11.25">
      <c r="A1455" s="8634" t="s">
        <v>2182</v>
      </c>
      <c r="B1455" s="8634" t="s">
        <v>14</v>
      </c>
      <c r="C1455" s="8634" t="s">
        <v>4170</v>
      </c>
      <c r="D1455" s="8634" t="s">
        <v>4171</v>
      </c>
      <c r="E1455" s="8634" t="s">
        <v>4172</v>
      </c>
      <c r="F1455" s="8634" t="s">
        <v>2322</v>
      </c>
      <c r="G1455" s="8634" t="s">
        <v>24</v>
      </c>
      <c r="H1455" s="8634" t="s">
        <v>24</v>
      </c>
      <c r="I1455" s="8634" t="s">
        <v>809</v>
      </c>
    </row>
    <row customHeight="1" ht="11.25">
      <c r="A1456" s="8634" t="s">
        <v>2182</v>
      </c>
      <c r="B1456" s="8634" t="s">
        <v>14</v>
      </c>
      <c r="C1456" s="8634" t="s">
        <v>4215</v>
      </c>
      <c r="D1456" s="8634" t="s">
        <v>4216</v>
      </c>
      <c r="E1456" s="8634" t="s">
        <v>4217</v>
      </c>
      <c r="F1456" s="8634" t="s">
        <v>2339</v>
      </c>
      <c r="G1456" s="8634" t="s">
        <v>4218</v>
      </c>
      <c r="H1456" s="8634" t="s">
        <v>24</v>
      </c>
      <c r="I1456" s="8634" t="s">
        <v>809</v>
      </c>
    </row>
    <row customHeight="1" ht="11.25">
      <c r="A1457" s="8634" t="s">
        <v>2182</v>
      </c>
      <c r="B1457" s="8634" t="s">
        <v>14</v>
      </c>
      <c r="C1457" s="8634" t="s">
        <v>4219</v>
      </c>
      <c r="D1457" s="8634" t="s">
        <v>4220</v>
      </c>
      <c r="E1457" s="8634" t="s">
        <v>4221</v>
      </c>
      <c r="F1457" s="8634" t="s">
        <v>2322</v>
      </c>
      <c r="G1457" s="8634" t="s">
        <v>24</v>
      </c>
      <c r="H1457" s="8634" t="s">
        <v>24</v>
      </c>
      <c r="I1457" s="8634" t="s">
        <v>809</v>
      </c>
    </row>
    <row customHeight="1" ht="11.25">
      <c r="A1458" s="8634" t="s">
        <v>2182</v>
      </c>
      <c r="B1458" s="8634" t="s">
        <v>14</v>
      </c>
      <c r="C1458" s="8634" t="s">
        <v>4228</v>
      </c>
      <c r="D1458" s="8634" t="s">
        <v>4229</v>
      </c>
      <c r="E1458" s="8634" t="s">
        <v>4230</v>
      </c>
      <c r="F1458" s="8634" t="s">
        <v>2213</v>
      </c>
      <c r="G1458" s="8634" t="s">
        <v>24</v>
      </c>
      <c r="H1458" s="8634" t="s">
        <v>2187</v>
      </c>
      <c r="I1458" s="8634" t="s">
        <v>809</v>
      </c>
    </row>
    <row customHeight="1" ht="11.25">
      <c r="A1459" s="8634" t="s">
        <v>2182</v>
      </c>
      <c r="B1459" s="8634" t="s">
        <v>14</v>
      </c>
      <c r="C1459" s="8634" t="s">
        <v>4239</v>
      </c>
      <c r="D1459" s="8634" t="s">
        <v>4240</v>
      </c>
      <c r="E1459" s="8634" t="s">
        <v>4241</v>
      </c>
      <c r="F1459" s="8634" t="s">
        <v>2213</v>
      </c>
      <c r="G1459" s="8634" t="s">
        <v>24</v>
      </c>
      <c r="H1459" s="8634" t="s">
        <v>2187</v>
      </c>
      <c r="I1459" s="8634" t="s">
        <v>809</v>
      </c>
    </row>
    <row customHeight="1" ht="11.25">
      <c r="A1460" s="8634" t="s">
        <v>2182</v>
      </c>
      <c r="B1460" s="8634" t="s">
        <v>14</v>
      </c>
      <c r="C1460" s="8634" t="s">
        <v>4242</v>
      </c>
      <c r="D1460" s="8634" t="s">
        <v>4243</v>
      </c>
      <c r="E1460" s="8634" t="s">
        <v>4244</v>
      </c>
      <c r="F1460" s="8634" t="s">
        <v>2213</v>
      </c>
      <c r="G1460" s="8634" t="s">
        <v>24</v>
      </c>
      <c r="H1460" s="8634" t="s">
        <v>2187</v>
      </c>
      <c r="I1460" s="8634" t="s">
        <v>809</v>
      </c>
    </row>
    <row customHeight="1" ht="11.25">
      <c r="A1461" s="8634" t="s">
        <v>2182</v>
      </c>
      <c r="B1461" s="8634" t="s">
        <v>14</v>
      </c>
      <c r="C1461" s="8634" t="s">
        <v>4251</v>
      </c>
      <c r="D1461" s="8634" t="s">
        <v>4252</v>
      </c>
      <c r="E1461" s="8634" t="s">
        <v>4253</v>
      </c>
      <c r="F1461" s="8634" t="s">
        <v>2398</v>
      </c>
      <c r="G1461" s="8634" t="s">
        <v>24</v>
      </c>
      <c r="H1461" s="8634" t="s">
        <v>2187</v>
      </c>
      <c r="I1461" s="8634" t="s">
        <v>809</v>
      </c>
    </row>
    <row customHeight="1" ht="11.25">
      <c r="A1462" s="8634" t="s">
        <v>2182</v>
      </c>
      <c r="B1462" s="8634" t="s">
        <v>14</v>
      </c>
      <c r="C1462" s="8634" t="s">
        <v>4257</v>
      </c>
      <c r="D1462" s="8634" t="s">
        <v>4258</v>
      </c>
      <c r="E1462" s="8634" t="s">
        <v>4259</v>
      </c>
      <c r="F1462" s="8634" t="s">
        <v>2213</v>
      </c>
      <c r="G1462" s="8634" t="s">
        <v>24</v>
      </c>
      <c r="H1462" s="8634" t="s">
        <v>24</v>
      </c>
      <c r="I1462" s="8634" t="s">
        <v>809</v>
      </c>
    </row>
    <row customHeight="1" ht="11.25">
      <c r="A1463" s="8634" t="s">
        <v>2182</v>
      </c>
      <c r="B1463" s="8634" t="s">
        <v>14</v>
      </c>
      <c r="C1463" s="8634" t="s">
        <v>6329</v>
      </c>
      <c r="D1463" s="8634" t="s">
        <v>6330</v>
      </c>
      <c r="E1463" s="8634" t="s">
        <v>6331</v>
      </c>
      <c r="F1463" s="8634" t="s">
        <v>2228</v>
      </c>
      <c r="G1463" s="8634" t="s">
        <v>24</v>
      </c>
      <c r="H1463" s="8634" t="s">
        <v>2187</v>
      </c>
      <c r="I1463" s="8634" t="s">
        <v>809</v>
      </c>
    </row>
    <row customHeight="1" ht="11.25">
      <c r="A1464" s="8634" t="s">
        <v>2182</v>
      </c>
      <c r="B1464" s="8634" t="s">
        <v>14</v>
      </c>
      <c r="C1464" s="8634" t="s">
        <v>4260</v>
      </c>
      <c r="D1464" s="8634" t="s">
        <v>4261</v>
      </c>
      <c r="E1464" s="8634" t="s">
        <v>4262</v>
      </c>
      <c r="F1464" s="8634" t="s">
        <v>2213</v>
      </c>
      <c r="G1464" s="8634" t="s">
        <v>4263</v>
      </c>
      <c r="H1464" s="8634" t="s">
        <v>24</v>
      </c>
      <c r="I1464" s="8634" t="s">
        <v>809</v>
      </c>
    </row>
    <row customHeight="1" ht="11.25">
      <c r="A1465" s="8634" t="s">
        <v>2182</v>
      </c>
      <c r="B1465" s="8634" t="s">
        <v>14</v>
      </c>
      <c r="C1465" s="8634" t="s">
        <v>4264</v>
      </c>
      <c r="D1465" s="8634" t="s">
        <v>4265</v>
      </c>
      <c r="E1465" s="8634" t="s">
        <v>4266</v>
      </c>
      <c r="F1465" s="8634" t="s">
        <v>2233</v>
      </c>
      <c r="G1465" s="8634" t="s">
        <v>24</v>
      </c>
      <c r="H1465" s="8634" t="s">
        <v>24</v>
      </c>
      <c r="I1465" s="8634" t="s">
        <v>809</v>
      </c>
    </row>
    <row customHeight="1" ht="11.25">
      <c r="A1466" s="8634" t="s">
        <v>2182</v>
      </c>
      <c r="B1466" s="8634" t="s">
        <v>14</v>
      </c>
      <c r="C1466" s="8634" t="s">
        <v>4267</v>
      </c>
      <c r="D1466" s="8634" t="s">
        <v>4268</v>
      </c>
      <c r="E1466" s="8634" t="s">
        <v>4269</v>
      </c>
      <c r="F1466" s="8634" t="s">
        <v>2492</v>
      </c>
      <c r="G1466" s="8634" t="s">
        <v>2555</v>
      </c>
      <c r="H1466" s="8634" t="s">
        <v>24</v>
      </c>
      <c r="I1466" s="8634" t="s">
        <v>809</v>
      </c>
    </row>
    <row customHeight="1" ht="11.25">
      <c r="A1467" s="8634" t="s">
        <v>2182</v>
      </c>
      <c r="B1467" s="8634" t="s">
        <v>14</v>
      </c>
      <c r="C1467" s="8634" t="s">
        <v>4270</v>
      </c>
      <c r="D1467" s="8634" t="s">
        <v>4271</v>
      </c>
      <c r="E1467" s="8634" t="s">
        <v>4272</v>
      </c>
      <c r="F1467" s="8634" t="s">
        <v>2751</v>
      </c>
      <c r="G1467" s="8634" t="s">
        <v>4273</v>
      </c>
      <c r="H1467" s="8634" t="s">
        <v>24</v>
      </c>
      <c r="I1467" s="8634" t="s">
        <v>809</v>
      </c>
    </row>
    <row customHeight="1" ht="11.25">
      <c r="A1468" s="8634" t="s">
        <v>2182</v>
      </c>
      <c r="B1468" s="8634" t="s">
        <v>14</v>
      </c>
      <c r="C1468" s="8634" t="s">
        <v>4278</v>
      </c>
      <c r="D1468" s="8634" t="s">
        <v>4279</v>
      </c>
      <c r="E1468" s="8634" t="s">
        <v>4280</v>
      </c>
      <c r="F1468" s="8634" t="s">
        <v>2245</v>
      </c>
      <c r="G1468" s="8634" t="s">
        <v>4281</v>
      </c>
      <c r="H1468" s="8634" t="s">
        <v>4282</v>
      </c>
      <c r="I1468" s="8634" t="s">
        <v>809</v>
      </c>
    </row>
    <row customHeight="1" ht="11.25">
      <c r="A1469" s="8634" t="s">
        <v>2182</v>
      </c>
      <c r="B1469" s="8634" t="s">
        <v>14</v>
      </c>
      <c r="C1469" s="8634" t="s">
        <v>4283</v>
      </c>
      <c r="D1469" s="8634" t="s">
        <v>4279</v>
      </c>
      <c r="E1469" s="8634" t="s">
        <v>4284</v>
      </c>
      <c r="F1469" s="8634" t="s">
        <v>2245</v>
      </c>
      <c r="G1469" s="8634" t="s">
        <v>4285</v>
      </c>
      <c r="H1469" s="8634" t="s">
        <v>24</v>
      </c>
      <c r="I1469" s="8634" t="s">
        <v>809</v>
      </c>
    </row>
    <row customHeight="1" ht="11.25">
      <c r="A1470" s="8634" t="s">
        <v>2182</v>
      </c>
      <c r="B1470" s="8634" t="s">
        <v>14</v>
      </c>
      <c r="C1470" s="8634" t="s">
        <v>6332</v>
      </c>
      <c r="D1470" s="8634" t="s">
        <v>6333</v>
      </c>
      <c r="E1470" s="8634" t="s">
        <v>6334</v>
      </c>
      <c r="F1470" s="8634" t="s">
        <v>4645</v>
      </c>
      <c r="G1470" s="8634" t="s">
        <v>6335</v>
      </c>
      <c r="H1470" s="8634" t="s">
        <v>24</v>
      </c>
      <c r="I1470" s="8634" t="s">
        <v>809</v>
      </c>
    </row>
    <row customHeight="1" ht="11.25">
      <c r="A1471" s="8634" t="s">
        <v>2182</v>
      </c>
      <c r="B1471" s="8634" t="s">
        <v>14</v>
      </c>
      <c r="C1471" s="8634" t="s">
        <v>4290</v>
      </c>
      <c r="D1471" s="8634" t="s">
        <v>4291</v>
      </c>
      <c r="E1471" s="8634" t="s">
        <v>4292</v>
      </c>
      <c r="F1471" s="8634" t="s">
        <v>2354</v>
      </c>
      <c r="G1471" s="8634" t="s">
        <v>24</v>
      </c>
      <c r="H1471" s="8634" t="s">
        <v>24</v>
      </c>
      <c r="I1471" s="8634" t="s">
        <v>809</v>
      </c>
    </row>
    <row customHeight="1" ht="11.25">
      <c r="A1472" s="8634" t="s">
        <v>2182</v>
      </c>
      <c r="B1472" s="8634" t="s">
        <v>14</v>
      </c>
      <c r="C1472" s="8634" t="s">
        <v>4298</v>
      </c>
      <c r="D1472" s="8634" t="s">
        <v>4299</v>
      </c>
      <c r="E1472" s="8634" t="s">
        <v>4300</v>
      </c>
      <c r="F1472" s="8634" t="s">
        <v>2492</v>
      </c>
      <c r="G1472" s="8634" t="s">
        <v>4301</v>
      </c>
      <c r="H1472" s="8634" t="s">
        <v>24</v>
      </c>
      <c r="I1472" s="8634" t="s">
        <v>809</v>
      </c>
    </row>
    <row customHeight="1" ht="11.25">
      <c r="A1473" s="8634" t="s">
        <v>2182</v>
      </c>
      <c r="B1473" s="8634" t="s">
        <v>14</v>
      </c>
      <c r="C1473" s="8634" t="s">
        <v>4305</v>
      </c>
      <c r="D1473" s="8634" t="s">
        <v>4306</v>
      </c>
      <c r="E1473" s="8634" t="s">
        <v>4307</v>
      </c>
      <c r="F1473" s="8634" t="s">
        <v>2218</v>
      </c>
      <c r="G1473" s="8634" t="s">
        <v>4308</v>
      </c>
      <c r="H1473" s="8634" t="s">
        <v>24</v>
      </c>
      <c r="I1473" s="8634" t="s">
        <v>809</v>
      </c>
    </row>
    <row customHeight="1" ht="11.25">
      <c r="A1474" s="8634" t="s">
        <v>2182</v>
      </c>
      <c r="B1474" s="8634" t="s">
        <v>14</v>
      </c>
      <c r="C1474" s="8634" t="s">
        <v>4316</v>
      </c>
      <c r="D1474" s="8634" t="s">
        <v>4317</v>
      </c>
      <c r="E1474" s="8634" t="s">
        <v>4318</v>
      </c>
      <c r="F1474" s="8634" t="s">
        <v>2854</v>
      </c>
      <c r="G1474" s="8634" t="s">
        <v>4319</v>
      </c>
      <c r="H1474" s="8634" t="s">
        <v>24</v>
      </c>
      <c r="I1474" s="8634" t="s">
        <v>809</v>
      </c>
    </row>
    <row customHeight="1" ht="11.25">
      <c r="A1475" s="8634" t="s">
        <v>2182</v>
      </c>
      <c r="B1475" s="8634" t="s">
        <v>14</v>
      </c>
      <c r="C1475" s="8634" t="s">
        <v>4320</v>
      </c>
      <c r="D1475" s="8634" t="s">
        <v>4321</v>
      </c>
      <c r="E1475" s="8634" t="s">
        <v>4322</v>
      </c>
      <c r="F1475" s="8634" t="s">
        <v>2245</v>
      </c>
      <c r="G1475" s="8634" t="s">
        <v>24</v>
      </c>
      <c r="H1475" s="8634" t="s">
        <v>24</v>
      </c>
      <c r="I1475" s="8634" t="s">
        <v>809</v>
      </c>
    </row>
    <row customHeight="1" ht="11.25">
      <c r="A1476" s="8634" t="s">
        <v>2182</v>
      </c>
      <c r="B1476" s="8634" t="s">
        <v>14</v>
      </c>
      <c r="C1476" s="8634" t="s">
        <v>4326</v>
      </c>
      <c r="D1476" s="8634" t="s">
        <v>4327</v>
      </c>
      <c r="E1476" s="8634" t="s">
        <v>4328</v>
      </c>
      <c r="F1476" s="8634" t="s">
        <v>2233</v>
      </c>
      <c r="G1476" s="8634" t="s">
        <v>2368</v>
      </c>
      <c r="H1476" s="8634" t="s">
        <v>24</v>
      </c>
      <c r="I1476" s="8634" t="s">
        <v>809</v>
      </c>
    </row>
    <row customHeight="1" ht="11.25">
      <c r="A1477" s="8634" t="s">
        <v>2182</v>
      </c>
      <c r="B1477" s="8634" t="s">
        <v>14</v>
      </c>
      <c r="C1477" s="8634" t="s">
        <v>4329</v>
      </c>
      <c r="D1477" s="8634" t="s">
        <v>4327</v>
      </c>
      <c r="E1477" s="8634" t="s">
        <v>4330</v>
      </c>
      <c r="F1477" s="8634" t="s">
        <v>2228</v>
      </c>
      <c r="G1477" s="8634" t="s">
        <v>24</v>
      </c>
      <c r="H1477" s="8634" t="s">
        <v>24</v>
      </c>
      <c r="I1477" s="8634" t="s">
        <v>809</v>
      </c>
    </row>
    <row customHeight="1" ht="11.25">
      <c r="A1478" s="8634" t="s">
        <v>2182</v>
      </c>
      <c r="B1478" s="8634" t="s">
        <v>14</v>
      </c>
      <c r="C1478" s="8634" t="s">
        <v>4331</v>
      </c>
      <c r="D1478" s="8634" t="s">
        <v>4327</v>
      </c>
      <c r="E1478" s="8634" t="s">
        <v>4330</v>
      </c>
      <c r="F1478" s="8634" t="s">
        <v>4332</v>
      </c>
      <c r="G1478" s="8634" t="s">
        <v>4333</v>
      </c>
      <c r="H1478" s="8634" t="s">
        <v>24</v>
      </c>
      <c r="I1478" s="8634" t="s">
        <v>809</v>
      </c>
    </row>
    <row customHeight="1" ht="11.25">
      <c r="A1479" s="8634" t="s">
        <v>2182</v>
      </c>
      <c r="B1479" s="8634" t="s">
        <v>14</v>
      </c>
      <c r="C1479" s="8634" t="s">
        <v>4334</v>
      </c>
      <c r="D1479" s="8634" t="s">
        <v>4335</v>
      </c>
      <c r="E1479" s="8634" t="s">
        <v>4336</v>
      </c>
      <c r="F1479" s="8634" t="s">
        <v>2228</v>
      </c>
      <c r="G1479" s="8634" t="s">
        <v>4337</v>
      </c>
      <c r="H1479" s="8634" t="s">
        <v>24</v>
      </c>
      <c r="I1479" s="8634" t="s">
        <v>809</v>
      </c>
    </row>
    <row customHeight="1" ht="11.25">
      <c r="A1480" s="8634" t="s">
        <v>2182</v>
      </c>
      <c r="B1480" s="8634" t="s">
        <v>14</v>
      </c>
      <c r="C1480" s="8634" t="s">
        <v>4338</v>
      </c>
      <c r="D1480" s="8634" t="s">
        <v>4339</v>
      </c>
      <c r="E1480" s="8634" t="s">
        <v>4340</v>
      </c>
      <c r="F1480" s="8634" t="s">
        <v>2233</v>
      </c>
      <c r="G1480" s="8634" t="s">
        <v>4341</v>
      </c>
      <c r="H1480" s="8634" t="s">
        <v>24</v>
      </c>
      <c r="I1480" s="8634" t="s">
        <v>809</v>
      </c>
    </row>
    <row customHeight="1" ht="11.25">
      <c r="A1481" s="8634" t="s">
        <v>2182</v>
      </c>
      <c r="B1481" s="8634" t="s">
        <v>14</v>
      </c>
      <c r="C1481" s="8634" t="s">
        <v>4342</v>
      </c>
      <c r="D1481" s="8634" t="s">
        <v>4343</v>
      </c>
      <c r="E1481" s="8634" t="s">
        <v>4344</v>
      </c>
      <c r="F1481" s="8634" t="s">
        <v>2250</v>
      </c>
      <c r="G1481" s="8634" t="s">
        <v>4345</v>
      </c>
      <c r="H1481" s="8634" t="s">
        <v>24</v>
      </c>
      <c r="I1481" s="8634" t="s">
        <v>809</v>
      </c>
    </row>
    <row customHeight="1" ht="11.25">
      <c r="A1482" s="8634" t="s">
        <v>2182</v>
      </c>
      <c r="B1482" s="8634" t="s">
        <v>14</v>
      </c>
      <c r="C1482" s="8634" t="s">
        <v>4346</v>
      </c>
      <c r="D1482" s="8634" t="s">
        <v>4347</v>
      </c>
      <c r="E1482" s="8634" t="s">
        <v>4348</v>
      </c>
      <c r="F1482" s="8634" t="s">
        <v>2213</v>
      </c>
      <c r="G1482" s="8634" t="s">
        <v>24</v>
      </c>
      <c r="H1482" s="8634" t="s">
        <v>24</v>
      </c>
      <c r="I1482" s="8634" t="s">
        <v>809</v>
      </c>
    </row>
    <row customHeight="1" ht="11.25">
      <c r="A1483" s="8634" t="s">
        <v>2182</v>
      </c>
      <c r="B1483" s="8634" t="s">
        <v>14</v>
      </c>
      <c r="C1483" s="8634" t="s">
        <v>4353</v>
      </c>
      <c r="D1483" s="8634" t="s">
        <v>4354</v>
      </c>
      <c r="E1483" s="8634" t="s">
        <v>4355</v>
      </c>
      <c r="F1483" s="8634" t="s">
        <v>2233</v>
      </c>
      <c r="G1483" s="8634" t="s">
        <v>24</v>
      </c>
      <c r="H1483" s="8634" t="s">
        <v>24</v>
      </c>
      <c r="I1483" s="8634" t="s">
        <v>809</v>
      </c>
    </row>
    <row customHeight="1" ht="11.25">
      <c r="A1484" s="8634" t="s">
        <v>2182</v>
      </c>
      <c r="B1484" s="8634" t="s">
        <v>14</v>
      </c>
      <c r="C1484" s="8634" t="s">
        <v>4356</v>
      </c>
      <c r="D1484" s="8634" t="s">
        <v>4357</v>
      </c>
      <c r="E1484" s="8634" t="s">
        <v>4358</v>
      </c>
      <c r="F1484" s="8634" t="s">
        <v>4359</v>
      </c>
      <c r="G1484" s="8634" t="s">
        <v>4360</v>
      </c>
      <c r="H1484" s="8634" t="s">
        <v>24</v>
      </c>
      <c r="I1484" s="8634" t="s">
        <v>809</v>
      </c>
    </row>
    <row customHeight="1" ht="11.25">
      <c r="A1485" s="8634" t="s">
        <v>2182</v>
      </c>
      <c r="B1485" s="8634" t="s">
        <v>14</v>
      </c>
      <c r="C1485" s="8634" t="s">
        <v>4364</v>
      </c>
      <c r="D1485" s="8634" t="s">
        <v>4365</v>
      </c>
      <c r="E1485" s="8634" t="s">
        <v>4366</v>
      </c>
      <c r="F1485" s="8634" t="s">
        <v>2411</v>
      </c>
      <c r="G1485" s="8634" t="s">
        <v>24</v>
      </c>
      <c r="H1485" s="8634" t="s">
        <v>2187</v>
      </c>
      <c r="I1485" s="8634" t="s">
        <v>809</v>
      </c>
    </row>
    <row customHeight="1" ht="11.25">
      <c r="A1486" s="8634" t="s">
        <v>2182</v>
      </c>
      <c r="B1486" s="8634" t="s">
        <v>14</v>
      </c>
      <c r="C1486" s="8634" t="s">
        <v>4367</v>
      </c>
      <c r="D1486" s="8634" t="s">
        <v>4368</v>
      </c>
      <c r="E1486" s="8634" t="s">
        <v>4369</v>
      </c>
      <c r="F1486" s="8634" t="s">
        <v>2344</v>
      </c>
      <c r="G1486" s="8634" t="s">
        <v>24</v>
      </c>
      <c r="H1486" s="8634" t="s">
        <v>24</v>
      </c>
      <c r="I1486" s="8634" t="s">
        <v>809</v>
      </c>
    </row>
    <row customHeight="1" ht="11.25">
      <c r="A1487" s="8634" t="s">
        <v>2182</v>
      </c>
      <c r="B1487" s="8634" t="s">
        <v>14</v>
      </c>
      <c r="C1487" s="8634" t="s">
        <v>4370</v>
      </c>
      <c r="D1487" s="8634" t="s">
        <v>4371</v>
      </c>
      <c r="E1487" s="8634" t="s">
        <v>4372</v>
      </c>
      <c r="F1487" s="8634" t="s">
        <v>2696</v>
      </c>
      <c r="G1487" s="8634" t="s">
        <v>4373</v>
      </c>
      <c r="H1487" s="8634" t="s">
        <v>2187</v>
      </c>
      <c r="I1487" s="8634" t="s">
        <v>809</v>
      </c>
    </row>
    <row customHeight="1" ht="11.25">
      <c r="A1488" s="8634" t="s">
        <v>2182</v>
      </c>
      <c r="B1488" s="8634" t="s">
        <v>14</v>
      </c>
      <c r="C1488" s="8634" t="s">
        <v>4374</v>
      </c>
      <c r="D1488" s="8634" t="s">
        <v>4375</v>
      </c>
      <c r="E1488" s="8634" t="s">
        <v>4376</v>
      </c>
      <c r="F1488" s="8634" t="s">
        <v>2600</v>
      </c>
      <c r="G1488" s="8634" t="s">
        <v>24</v>
      </c>
      <c r="H1488" s="8634" t="s">
        <v>2187</v>
      </c>
      <c r="I1488" s="8634" t="s">
        <v>809</v>
      </c>
    </row>
    <row customHeight="1" ht="11.25">
      <c r="A1489" s="8634" t="s">
        <v>2182</v>
      </c>
      <c r="B1489" s="8634" t="s">
        <v>14</v>
      </c>
      <c r="C1489" s="8634" t="s">
        <v>4381</v>
      </c>
      <c r="D1489" s="8634" t="s">
        <v>4382</v>
      </c>
      <c r="E1489" s="8634" t="s">
        <v>4383</v>
      </c>
      <c r="F1489" s="8634" t="s">
        <v>2300</v>
      </c>
      <c r="G1489" s="8634" t="s">
        <v>24</v>
      </c>
      <c r="H1489" s="8634" t="s">
        <v>24</v>
      </c>
      <c r="I1489" s="8634" t="s">
        <v>809</v>
      </c>
    </row>
    <row customHeight="1" ht="11.25">
      <c r="A1490" s="8634" t="s">
        <v>2182</v>
      </c>
      <c r="B1490" s="8634" t="s">
        <v>14</v>
      </c>
      <c r="C1490" s="8634" t="s">
        <v>4384</v>
      </c>
      <c r="D1490" s="8634" t="s">
        <v>4385</v>
      </c>
      <c r="E1490" s="8634" t="s">
        <v>4386</v>
      </c>
      <c r="F1490" s="8634" t="s">
        <v>2250</v>
      </c>
      <c r="G1490" s="8634" t="s">
        <v>24</v>
      </c>
      <c r="H1490" s="8634" t="s">
        <v>24</v>
      </c>
      <c r="I1490" s="8634" t="s">
        <v>809</v>
      </c>
    </row>
    <row customHeight="1" ht="11.25">
      <c r="A1491" s="8634" t="s">
        <v>2182</v>
      </c>
      <c r="B1491" s="8634" t="s">
        <v>14</v>
      </c>
      <c r="C1491" s="8634" t="s">
        <v>4400</v>
      </c>
      <c r="D1491" s="8634" t="s">
        <v>4401</v>
      </c>
      <c r="E1491" s="8634" t="s">
        <v>4402</v>
      </c>
      <c r="F1491" s="8634" t="s">
        <v>2284</v>
      </c>
      <c r="G1491" s="8634" t="s">
        <v>24</v>
      </c>
      <c r="H1491" s="8634" t="s">
        <v>2187</v>
      </c>
      <c r="I1491" s="8634" t="s">
        <v>809</v>
      </c>
    </row>
    <row customHeight="1" ht="11.25">
      <c r="A1492" s="8634" t="s">
        <v>2182</v>
      </c>
      <c r="B1492" s="8634" t="s">
        <v>14</v>
      </c>
      <c r="C1492" s="8634" t="s">
        <v>6336</v>
      </c>
      <c r="D1492" s="8634" t="s">
        <v>6337</v>
      </c>
      <c r="E1492" s="8634" t="s">
        <v>6338</v>
      </c>
      <c r="F1492" s="8634" t="s">
        <v>2228</v>
      </c>
      <c r="G1492" s="8634" t="s">
        <v>24</v>
      </c>
      <c r="H1492" s="8634" t="s">
        <v>2187</v>
      </c>
      <c r="I1492" s="8634" t="s">
        <v>809</v>
      </c>
    </row>
    <row customHeight="1" ht="11.25">
      <c r="A1493" s="8634" t="s">
        <v>2182</v>
      </c>
      <c r="B1493" s="8634" t="s">
        <v>14</v>
      </c>
      <c r="C1493" s="8634" t="s">
        <v>4418</v>
      </c>
      <c r="D1493" s="8634" t="s">
        <v>4419</v>
      </c>
      <c r="E1493" s="8634" t="s">
        <v>4420</v>
      </c>
      <c r="F1493" s="8634" t="s">
        <v>2394</v>
      </c>
      <c r="G1493" s="8634" t="s">
        <v>4421</v>
      </c>
      <c r="H1493" s="8634" t="s">
        <v>24</v>
      </c>
      <c r="I1493" s="8634" t="s">
        <v>809</v>
      </c>
    </row>
    <row customHeight="1" ht="11.25">
      <c r="A1494" s="8634" t="s">
        <v>2182</v>
      </c>
      <c r="B1494" s="8634" t="s">
        <v>14</v>
      </c>
      <c r="C1494" s="8634" t="s">
        <v>4422</v>
      </c>
      <c r="D1494" s="8634" t="s">
        <v>4423</v>
      </c>
      <c r="E1494" s="8634" t="s">
        <v>4424</v>
      </c>
      <c r="F1494" s="8634" t="s">
        <v>2269</v>
      </c>
      <c r="G1494" s="8634" t="s">
        <v>4425</v>
      </c>
      <c r="H1494" s="8634" t="s">
        <v>24</v>
      </c>
      <c r="I1494" s="8634" t="s">
        <v>809</v>
      </c>
    </row>
    <row customHeight="1" ht="11.25">
      <c r="A1495" s="8634" t="s">
        <v>2182</v>
      </c>
      <c r="B1495" s="8634" t="s">
        <v>14</v>
      </c>
      <c r="C1495" s="8634" t="s">
        <v>4432</v>
      </c>
      <c r="D1495" s="8634" t="s">
        <v>4433</v>
      </c>
      <c r="E1495" s="8634" t="s">
        <v>4434</v>
      </c>
      <c r="F1495" s="8634" t="s">
        <v>2233</v>
      </c>
      <c r="G1495" s="8634" t="s">
        <v>24</v>
      </c>
      <c r="H1495" s="8634" t="s">
        <v>24</v>
      </c>
      <c r="I1495" s="8634" t="s">
        <v>809</v>
      </c>
    </row>
    <row customHeight="1" ht="11.25">
      <c r="A1496" s="8634" t="s">
        <v>2182</v>
      </c>
      <c r="B1496" s="8634" t="s">
        <v>14</v>
      </c>
      <c r="C1496" s="8634" t="s">
        <v>4443</v>
      </c>
      <c r="D1496" s="8634" t="s">
        <v>4444</v>
      </c>
      <c r="E1496" s="8634" t="s">
        <v>4445</v>
      </c>
      <c r="F1496" s="8634" t="s">
        <v>4446</v>
      </c>
      <c r="G1496" s="8634" t="s">
        <v>4447</v>
      </c>
      <c r="H1496" s="8634" t="s">
        <v>2187</v>
      </c>
      <c r="I1496" s="8634" t="s">
        <v>809</v>
      </c>
    </row>
    <row customHeight="1" ht="11.25">
      <c r="A1497" s="8634" t="s">
        <v>2182</v>
      </c>
      <c r="B1497" s="8634" t="s">
        <v>14</v>
      </c>
      <c r="C1497" s="8634" t="s">
        <v>4463</v>
      </c>
      <c r="D1497" s="8634" t="s">
        <v>4464</v>
      </c>
      <c r="E1497" s="8634" t="s">
        <v>4465</v>
      </c>
      <c r="F1497" s="8634" t="s">
        <v>2363</v>
      </c>
      <c r="G1497" s="8634" t="s">
        <v>4466</v>
      </c>
      <c r="H1497" s="8634" t="s">
        <v>2870</v>
      </c>
      <c r="I1497" s="8634" t="s">
        <v>809</v>
      </c>
    </row>
    <row customHeight="1" ht="11.25">
      <c r="A1498" s="8634" t="s">
        <v>2182</v>
      </c>
      <c r="B1498" s="8634" t="s">
        <v>14</v>
      </c>
      <c r="C1498" s="8634" t="s">
        <v>4467</v>
      </c>
      <c r="D1498" s="8634" t="s">
        <v>4464</v>
      </c>
      <c r="E1498" s="8634" t="s">
        <v>4468</v>
      </c>
      <c r="F1498" s="8634" t="s">
        <v>2363</v>
      </c>
      <c r="G1498" s="8634" t="s">
        <v>24</v>
      </c>
      <c r="H1498" s="8634" t="s">
        <v>24</v>
      </c>
      <c r="I1498" s="8634" t="s">
        <v>809</v>
      </c>
    </row>
    <row customHeight="1" ht="11.25">
      <c r="A1499" s="8634" t="s">
        <v>2182</v>
      </c>
      <c r="B1499" s="8634" t="s">
        <v>14</v>
      </c>
      <c r="C1499" s="8634" t="s">
        <v>4469</v>
      </c>
      <c r="D1499" s="8634" t="s">
        <v>4470</v>
      </c>
      <c r="E1499" s="8634" t="s">
        <v>4471</v>
      </c>
      <c r="F1499" s="8634" t="s">
        <v>2245</v>
      </c>
      <c r="G1499" s="8634" t="s">
        <v>4472</v>
      </c>
      <c r="H1499" s="8634" t="s">
        <v>24</v>
      </c>
      <c r="I1499" s="8634" t="s">
        <v>809</v>
      </c>
    </row>
    <row customHeight="1" ht="11.25">
      <c r="A1500" s="8634" t="s">
        <v>2182</v>
      </c>
      <c r="B1500" s="8634" t="s">
        <v>14</v>
      </c>
      <c r="C1500" s="8634" t="s">
        <v>4473</v>
      </c>
      <c r="D1500" s="8634" t="s">
        <v>4474</v>
      </c>
      <c r="E1500" s="8634" t="s">
        <v>4475</v>
      </c>
      <c r="F1500" s="8634" t="s">
        <v>2344</v>
      </c>
      <c r="G1500" s="8634" t="s">
        <v>4476</v>
      </c>
      <c r="H1500" s="8634" t="s">
        <v>24</v>
      </c>
      <c r="I1500" s="8634" t="s">
        <v>809</v>
      </c>
    </row>
    <row customHeight="1" ht="11.25">
      <c r="A1501" s="8634" t="s">
        <v>2182</v>
      </c>
      <c r="B1501" s="8634" t="s">
        <v>14</v>
      </c>
      <c r="C1501" s="8634" t="s">
        <v>4477</v>
      </c>
      <c r="D1501" s="8634" t="s">
        <v>4478</v>
      </c>
      <c r="E1501" s="8634" t="s">
        <v>4479</v>
      </c>
      <c r="F1501" s="8634" t="s">
        <v>3437</v>
      </c>
      <c r="G1501" s="8634" t="s">
        <v>4480</v>
      </c>
      <c r="H1501" s="8634" t="s">
        <v>24</v>
      </c>
      <c r="I1501" s="8634" t="s">
        <v>809</v>
      </c>
    </row>
    <row customHeight="1" ht="11.25">
      <c r="A1502" s="8634" t="s">
        <v>2182</v>
      </c>
      <c r="B1502" s="8634" t="s">
        <v>14</v>
      </c>
      <c r="C1502" s="8634" t="s">
        <v>4499</v>
      </c>
      <c r="D1502" s="8634" t="s">
        <v>4500</v>
      </c>
      <c r="E1502" s="8634" t="s">
        <v>4501</v>
      </c>
      <c r="F1502" s="8634" t="s">
        <v>2213</v>
      </c>
      <c r="G1502" s="8634" t="s">
        <v>4502</v>
      </c>
      <c r="H1502" s="8634" t="s">
        <v>24</v>
      </c>
      <c r="I1502" s="8634" t="s">
        <v>809</v>
      </c>
    </row>
    <row customHeight="1" ht="11.25">
      <c r="A1503" s="8634" t="s">
        <v>2182</v>
      </c>
      <c r="B1503" s="8634" t="s">
        <v>14</v>
      </c>
      <c r="C1503" s="8634" t="s">
        <v>4503</v>
      </c>
      <c r="D1503" s="8634" t="s">
        <v>4504</v>
      </c>
      <c r="E1503" s="8634" t="s">
        <v>4505</v>
      </c>
      <c r="F1503" s="8634" t="s">
        <v>2213</v>
      </c>
      <c r="G1503" s="8634" t="s">
        <v>24</v>
      </c>
      <c r="H1503" s="8634" t="s">
        <v>2187</v>
      </c>
      <c r="I1503" s="8634" t="s">
        <v>809</v>
      </c>
    </row>
    <row customHeight="1" ht="11.25">
      <c r="A1504" s="8634" t="s">
        <v>2182</v>
      </c>
      <c r="B1504" s="8634" t="s">
        <v>14</v>
      </c>
      <c r="C1504" s="8634" t="s">
        <v>4506</v>
      </c>
      <c r="D1504" s="8634" t="s">
        <v>4507</v>
      </c>
      <c r="E1504" s="8634" t="s">
        <v>4508</v>
      </c>
      <c r="F1504" s="8634" t="s">
        <v>2344</v>
      </c>
      <c r="G1504" s="8634" t="s">
        <v>24</v>
      </c>
      <c r="H1504" s="8634" t="s">
        <v>2187</v>
      </c>
      <c r="I1504" s="8634" t="s">
        <v>809</v>
      </c>
    </row>
    <row customHeight="1" ht="11.25">
      <c r="A1505" s="8634" t="s">
        <v>2182</v>
      </c>
      <c r="B1505" s="8634" t="s">
        <v>14</v>
      </c>
      <c r="C1505" s="8634" t="s">
        <v>4509</v>
      </c>
      <c r="D1505" s="8634" t="s">
        <v>4510</v>
      </c>
      <c r="E1505" s="8634" t="s">
        <v>4511</v>
      </c>
      <c r="F1505" s="8634" t="s">
        <v>4512</v>
      </c>
      <c r="G1505" s="8634" t="s">
        <v>4360</v>
      </c>
      <c r="H1505" s="8634" t="s">
        <v>24</v>
      </c>
      <c r="I1505" s="8634" t="s">
        <v>809</v>
      </c>
    </row>
    <row customHeight="1" ht="11.25">
      <c r="A1506" s="8634" t="s">
        <v>2182</v>
      </c>
      <c r="B1506" s="8634" t="s">
        <v>14</v>
      </c>
      <c r="C1506" s="8634" t="s">
        <v>4513</v>
      </c>
      <c r="D1506" s="8634" t="s">
        <v>4514</v>
      </c>
      <c r="E1506" s="8634" t="s">
        <v>4515</v>
      </c>
      <c r="F1506" s="8634" t="s">
        <v>2626</v>
      </c>
      <c r="G1506" s="8634" t="s">
        <v>24</v>
      </c>
      <c r="H1506" s="8634" t="s">
        <v>2187</v>
      </c>
      <c r="I1506" s="8634" t="s">
        <v>809</v>
      </c>
    </row>
    <row customHeight="1" ht="11.25">
      <c r="A1507" s="8634" t="s">
        <v>2182</v>
      </c>
      <c r="B1507" s="8634" t="s">
        <v>14</v>
      </c>
      <c r="C1507" s="8634" t="s">
        <v>4519</v>
      </c>
      <c r="D1507" s="8634" t="s">
        <v>4520</v>
      </c>
      <c r="E1507" s="8634" t="s">
        <v>4521</v>
      </c>
      <c r="F1507" s="8634" t="s">
        <v>2626</v>
      </c>
      <c r="G1507" s="8634" t="s">
        <v>4522</v>
      </c>
      <c r="H1507" s="8634" t="s">
        <v>24</v>
      </c>
      <c r="I1507" s="8634" t="s">
        <v>809</v>
      </c>
    </row>
    <row customHeight="1" ht="11.25">
      <c r="A1508" s="8634" t="s">
        <v>2182</v>
      </c>
      <c r="B1508" s="8634" t="s">
        <v>14</v>
      </c>
      <c r="C1508" s="8634" t="s">
        <v>4526</v>
      </c>
      <c r="D1508" s="8634" t="s">
        <v>4527</v>
      </c>
      <c r="E1508" s="8634" t="s">
        <v>4528</v>
      </c>
      <c r="F1508" s="8634" t="s">
        <v>2477</v>
      </c>
      <c r="G1508" s="8634" t="s">
        <v>24</v>
      </c>
      <c r="H1508" s="8634" t="s">
        <v>24</v>
      </c>
      <c r="I1508" s="8634" t="s">
        <v>809</v>
      </c>
    </row>
    <row customHeight="1" ht="11.25">
      <c r="A1509" s="8634" t="s">
        <v>2182</v>
      </c>
      <c r="B1509" s="8634" t="s">
        <v>14</v>
      </c>
      <c r="C1509" s="8634" t="s">
        <v>4533</v>
      </c>
      <c r="D1509" s="8634" t="s">
        <v>4534</v>
      </c>
      <c r="E1509" s="8634" t="s">
        <v>4535</v>
      </c>
      <c r="F1509" s="8634" t="s">
        <v>2376</v>
      </c>
      <c r="G1509" s="8634" t="s">
        <v>24</v>
      </c>
      <c r="H1509" s="8634" t="s">
        <v>24</v>
      </c>
      <c r="I1509" s="8634" t="s">
        <v>809</v>
      </c>
    </row>
    <row customHeight="1" ht="11.25">
      <c r="A1510" s="8634" t="s">
        <v>2182</v>
      </c>
      <c r="B1510" s="8634" t="s">
        <v>14</v>
      </c>
      <c r="C1510" s="8634" t="s">
        <v>4539</v>
      </c>
      <c r="D1510" s="8634" t="s">
        <v>4540</v>
      </c>
      <c r="E1510" s="8634" t="s">
        <v>4541</v>
      </c>
      <c r="F1510" s="8634" t="s">
        <v>2460</v>
      </c>
      <c r="G1510" s="8634" t="s">
        <v>24</v>
      </c>
      <c r="H1510" s="8634" t="s">
        <v>24</v>
      </c>
      <c r="I1510" s="8634" t="s">
        <v>809</v>
      </c>
    </row>
    <row customHeight="1" ht="11.25">
      <c r="A1511" s="8634" t="s">
        <v>2182</v>
      </c>
      <c r="B1511" s="8634" t="s">
        <v>14</v>
      </c>
      <c r="C1511" s="8634" t="s">
        <v>4542</v>
      </c>
      <c r="D1511" s="8634" t="s">
        <v>4543</v>
      </c>
      <c r="E1511" s="8634" t="s">
        <v>4544</v>
      </c>
      <c r="F1511" s="8634" t="s">
        <v>2213</v>
      </c>
      <c r="G1511" s="8634" t="s">
        <v>4545</v>
      </c>
      <c r="H1511" s="8634" t="s">
        <v>24</v>
      </c>
      <c r="I1511" s="8634" t="s">
        <v>809</v>
      </c>
    </row>
    <row customHeight="1" ht="11.25">
      <c r="A1512" s="8634" t="s">
        <v>2182</v>
      </c>
      <c r="B1512" s="8634" t="s">
        <v>14</v>
      </c>
      <c r="C1512" s="8634" t="s">
        <v>6339</v>
      </c>
      <c r="D1512" s="8634" t="s">
        <v>6340</v>
      </c>
      <c r="E1512" s="8634" t="s">
        <v>6341</v>
      </c>
      <c r="F1512" s="8634" t="s">
        <v>2595</v>
      </c>
      <c r="G1512" s="8634" t="s">
        <v>6342</v>
      </c>
      <c r="H1512" s="8634" t="s">
        <v>24</v>
      </c>
      <c r="I1512" s="8634" t="s">
        <v>809</v>
      </c>
    </row>
    <row customHeight="1" ht="11.25">
      <c r="A1513" s="8634" t="s">
        <v>2182</v>
      </c>
      <c r="B1513" s="8634" t="s">
        <v>14</v>
      </c>
      <c r="C1513" s="8634" t="s">
        <v>4546</v>
      </c>
      <c r="D1513" s="8634" t="s">
        <v>4547</v>
      </c>
      <c r="E1513" s="8634" t="s">
        <v>4548</v>
      </c>
      <c r="F1513" s="8634" t="s">
        <v>2389</v>
      </c>
      <c r="G1513" s="8634" t="s">
        <v>4549</v>
      </c>
      <c r="H1513" s="8634" t="s">
        <v>24</v>
      </c>
      <c r="I1513" s="8634" t="s">
        <v>809</v>
      </c>
    </row>
    <row customHeight="1" ht="11.25">
      <c r="A1514" s="8634" t="s">
        <v>2182</v>
      </c>
      <c r="B1514" s="8634" t="s">
        <v>14</v>
      </c>
      <c r="C1514" s="8634" t="s">
        <v>4560</v>
      </c>
      <c r="D1514" s="8634" t="s">
        <v>4561</v>
      </c>
      <c r="E1514" s="8634" t="s">
        <v>4562</v>
      </c>
      <c r="F1514" s="8634" t="s">
        <v>2339</v>
      </c>
      <c r="G1514" s="8634" t="s">
        <v>4563</v>
      </c>
      <c r="H1514" s="8634" t="s">
        <v>24</v>
      </c>
      <c r="I1514" s="8634" t="s">
        <v>809</v>
      </c>
    </row>
    <row customHeight="1" ht="11.25">
      <c r="A1515" s="8634" t="s">
        <v>2182</v>
      </c>
      <c r="B1515" s="8634" t="s">
        <v>14</v>
      </c>
      <c r="C1515" s="8634" t="s">
        <v>4564</v>
      </c>
      <c r="D1515" s="8634" t="s">
        <v>4565</v>
      </c>
      <c r="E1515" s="8634" t="s">
        <v>4566</v>
      </c>
      <c r="F1515" s="8634" t="s">
        <v>4090</v>
      </c>
      <c r="G1515" s="8634" t="s">
        <v>24</v>
      </c>
      <c r="H1515" s="8634" t="s">
        <v>2993</v>
      </c>
      <c r="I1515" s="8634" t="s">
        <v>809</v>
      </c>
    </row>
    <row customHeight="1" ht="11.25">
      <c r="A1516" s="8634" t="s">
        <v>2182</v>
      </c>
      <c r="B1516" s="8634" t="s">
        <v>14</v>
      </c>
      <c r="C1516" s="8634" t="s">
        <v>4567</v>
      </c>
      <c r="D1516" s="8634" t="s">
        <v>4568</v>
      </c>
      <c r="E1516" s="8634" t="s">
        <v>4569</v>
      </c>
      <c r="F1516" s="8634" t="s">
        <v>4570</v>
      </c>
      <c r="G1516" s="8634" t="s">
        <v>24</v>
      </c>
      <c r="H1516" s="8634" t="s">
        <v>24</v>
      </c>
      <c r="I1516" s="8634" t="s">
        <v>809</v>
      </c>
    </row>
    <row customHeight="1" ht="11.25">
      <c r="A1517" s="8634" t="s">
        <v>2182</v>
      </c>
      <c r="B1517" s="8634" t="s">
        <v>14</v>
      </c>
      <c r="C1517" s="8634" t="s">
        <v>4571</v>
      </c>
      <c r="D1517" s="8634" t="s">
        <v>4572</v>
      </c>
      <c r="E1517" s="8634" t="s">
        <v>4573</v>
      </c>
      <c r="F1517" s="8634" t="s">
        <v>2788</v>
      </c>
      <c r="G1517" s="8634" t="s">
        <v>24</v>
      </c>
      <c r="H1517" s="8634" t="s">
        <v>24</v>
      </c>
      <c r="I1517" s="8634" t="s">
        <v>809</v>
      </c>
    </row>
    <row customHeight="1" ht="11.25">
      <c r="A1518" s="8634" t="s">
        <v>2182</v>
      </c>
      <c r="B1518" s="8634" t="s">
        <v>14</v>
      </c>
      <c r="C1518" s="8634" t="s">
        <v>4574</v>
      </c>
      <c r="D1518" s="8634" t="s">
        <v>4575</v>
      </c>
      <c r="E1518" s="8634" t="s">
        <v>4576</v>
      </c>
      <c r="F1518" s="8634" t="s">
        <v>2411</v>
      </c>
      <c r="G1518" s="8634" t="s">
        <v>24</v>
      </c>
      <c r="H1518" s="8634" t="s">
        <v>24</v>
      </c>
      <c r="I1518" s="8634" t="s">
        <v>809</v>
      </c>
    </row>
    <row customHeight="1" ht="11.25">
      <c r="A1519" s="8634" t="s">
        <v>2182</v>
      </c>
      <c r="B1519" s="8634" t="s">
        <v>14</v>
      </c>
      <c r="C1519" s="8634" t="s">
        <v>4584</v>
      </c>
      <c r="D1519" s="8634" t="s">
        <v>4585</v>
      </c>
      <c r="E1519" s="8634" t="s">
        <v>4586</v>
      </c>
      <c r="F1519" s="8634" t="s">
        <v>2600</v>
      </c>
      <c r="G1519" s="8634" t="s">
        <v>4587</v>
      </c>
      <c r="H1519" s="8634" t="s">
        <v>24</v>
      </c>
      <c r="I1519" s="8634" t="s">
        <v>809</v>
      </c>
    </row>
    <row customHeight="1" ht="11.25">
      <c r="A1520" s="8634" t="s">
        <v>2182</v>
      </c>
      <c r="B1520" s="8634" t="s">
        <v>14</v>
      </c>
      <c r="C1520" s="8634" t="s">
        <v>4588</v>
      </c>
      <c r="D1520" s="8634" t="s">
        <v>4589</v>
      </c>
      <c r="E1520" s="8634" t="s">
        <v>4590</v>
      </c>
      <c r="F1520" s="8634" t="s">
        <v>2218</v>
      </c>
      <c r="G1520" s="8634" t="s">
        <v>4591</v>
      </c>
      <c r="H1520" s="8634" t="s">
        <v>2400</v>
      </c>
      <c r="I1520" s="8634" t="s">
        <v>809</v>
      </c>
    </row>
    <row customHeight="1" ht="11.25">
      <c r="A1521" s="8634" t="s">
        <v>2182</v>
      </c>
      <c r="B1521" s="8634" t="s">
        <v>14</v>
      </c>
      <c r="C1521" s="8634" t="s">
        <v>4600</v>
      </c>
      <c r="D1521" s="8634" t="s">
        <v>4601</v>
      </c>
      <c r="E1521" s="8634" t="s">
        <v>4602</v>
      </c>
      <c r="F1521" s="8634" t="s">
        <v>2438</v>
      </c>
      <c r="G1521" s="8634" t="s">
        <v>24</v>
      </c>
      <c r="H1521" s="8634" t="s">
        <v>2187</v>
      </c>
      <c r="I1521" s="8634" t="s">
        <v>809</v>
      </c>
    </row>
    <row customHeight="1" ht="11.25">
      <c r="A1522" s="8634" t="s">
        <v>2182</v>
      </c>
      <c r="B1522" s="8634" t="s">
        <v>14</v>
      </c>
      <c r="C1522" s="8634" t="s">
        <v>4603</v>
      </c>
      <c r="D1522" s="8634" t="s">
        <v>4604</v>
      </c>
      <c r="E1522" s="8634" t="s">
        <v>4605</v>
      </c>
      <c r="F1522" s="8634" t="s">
        <v>2600</v>
      </c>
      <c r="G1522" s="8634" t="s">
        <v>4606</v>
      </c>
      <c r="H1522" s="8634" t="s">
        <v>24</v>
      </c>
      <c r="I1522" s="8634" t="s">
        <v>809</v>
      </c>
    </row>
    <row customHeight="1" ht="11.25">
      <c r="A1523" s="8634" t="s">
        <v>2182</v>
      </c>
      <c r="B1523" s="8634" t="s">
        <v>14</v>
      </c>
      <c r="C1523" s="8634" t="s">
        <v>4607</v>
      </c>
      <c r="D1523" s="8634" t="s">
        <v>4608</v>
      </c>
      <c r="E1523" s="8634" t="s">
        <v>4609</v>
      </c>
      <c r="F1523" s="8634" t="s">
        <v>2218</v>
      </c>
      <c r="G1523" s="8634" t="s">
        <v>24</v>
      </c>
      <c r="H1523" s="8634" t="s">
        <v>24</v>
      </c>
      <c r="I1523" s="8634" t="s">
        <v>809</v>
      </c>
    </row>
    <row customHeight="1" ht="11.25">
      <c r="A1524" s="8634" t="s">
        <v>2182</v>
      </c>
      <c r="B1524" s="8634" t="s">
        <v>14</v>
      </c>
      <c r="C1524" s="8634" t="s">
        <v>4625</v>
      </c>
      <c r="D1524" s="8634" t="s">
        <v>4626</v>
      </c>
      <c r="E1524" s="8634" t="s">
        <v>4627</v>
      </c>
      <c r="F1524" s="8634" t="s">
        <v>2245</v>
      </c>
      <c r="G1524" s="8634" t="s">
        <v>4628</v>
      </c>
      <c r="H1524" s="8634" t="s">
        <v>24</v>
      </c>
      <c r="I1524" s="8634" t="s">
        <v>809</v>
      </c>
    </row>
    <row customHeight="1" ht="11.25">
      <c r="A1525" s="8634" t="s">
        <v>2182</v>
      </c>
      <c r="B1525" s="8634" t="s">
        <v>14</v>
      </c>
      <c r="C1525" s="8634" t="s">
        <v>4629</v>
      </c>
      <c r="D1525" s="8634" t="s">
        <v>4630</v>
      </c>
      <c r="E1525" s="8634" t="s">
        <v>4631</v>
      </c>
      <c r="F1525" s="8634" t="s">
        <v>3437</v>
      </c>
      <c r="G1525" s="8634" t="s">
        <v>24</v>
      </c>
      <c r="H1525" s="8634" t="s">
        <v>24</v>
      </c>
      <c r="I1525" s="8634" t="s">
        <v>809</v>
      </c>
    </row>
    <row customHeight="1" ht="11.25">
      <c r="A1526" s="8634" t="s">
        <v>2182</v>
      </c>
      <c r="B1526" s="8634" t="s">
        <v>14</v>
      </c>
      <c r="C1526" s="8634" t="s">
        <v>4632</v>
      </c>
      <c r="D1526" s="8634" t="s">
        <v>4633</v>
      </c>
      <c r="E1526" s="8634" t="s">
        <v>4634</v>
      </c>
      <c r="F1526" s="8634" t="s">
        <v>2696</v>
      </c>
      <c r="G1526" s="8634" t="s">
        <v>24</v>
      </c>
      <c r="H1526" s="8634" t="s">
        <v>24</v>
      </c>
      <c r="I1526" s="8634" t="s">
        <v>809</v>
      </c>
    </row>
    <row customHeight="1" ht="11.25">
      <c r="A1527" s="8634" t="s">
        <v>2182</v>
      </c>
      <c r="B1527" s="8634" t="s">
        <v>14</v>
      </c>
      <c r="C1527" s="8634" t="s">
        <v>4638</v>
      </c>
      <c r="D1527" s="8634" t="s">
        <v>4639</v>
      </c>
      <c r="E1527" s="8634" t="s">
        <v>4640</v>
      </c>
      <c r="F1527" s="8634" t="s">
        <v>2389</v>
      </c>
      <c r="G1527" s="8634" t="s">
        <v>4641</v>
      </c>
      <c r="H1527" s="8634" t="s">
        <v>24</v>
      </c>
      <c r="I1527" s="8634" t="s">
        <v>809</v>
      </c>
    </row>
    <row customHeight="1" ht="11.25">
      <c r="A1528" s="8634" t="s">
        <v>2182</v>
      </c>
      <c r="B1528" s="8634" t="s">
        <v>14</v>
      </c>
      <c r="C1528" s="8634" t="s">
        <v>4642</v>
      </c>
      <c r="D1528" s="8634" t="s">
        <v>4643</v>
      </c>
      <c r="E1528" s="8634" t="s">
        <v>4644</v>
      </c>
      <c r="F1528" s="8634" t="s">
        <v>4645</v>
      </c>
      <c r="G1528" s="8634" t="s">
        <v>4646</v>
      </c>
      <c r="H1528" s="8634" t="s">
        <v>24</v>
      </c>
      <c r="I1528" s="8634" t="s">
        <v>809</v>
      </c>
    </row>
    <row customHeight="1" ht="11.25">
      <c r="A1529" s="8634" t="s">
        <v>2182</v>
      </c>
      <c r="B1529" s="8634" t="s">
        <v>14</v>
      </c>
      <c r="C1529" s="8634" t="s">
        <v>4650</v>
      </c>
      <c r="D1529" s="8634" t="s">
        <v>4651</v>
      </c>
      <c r="E1529" s="8634" t="s">
        <v>4652</v>
      </c>
      <c r="F1529" s="8634" t="s">
        <v>2600</v>
      </c>
      <c r="G1529" s="8634" t="s">
        <v>24</v>
      </c>
      <c r="H1529" s="8634" t="s">
        <v>2993</v>
      </c>
      <c r="I1529" s="8634" t="s">
        <v>809</v>
      </c>
    </row>
    <row customHeight="1" ht="11.25">
      <c r="A1530" s="8634" t="s">
        <v>2182</v>
      </c>
      <c r="B1530" s="8634" t="s">
        <v>14</v>
      </c>
      <c r="C1530" s="8634" t="s">
        <v>4653</v>
      </c>
      <c r="D1530" s="8634" t="s">
        <v>4654</v>
      </c>
      <c r="E1530" s="8634" t="s">
        <v>4655</v>
      </c>
      <c r="F1530" s="8634" t="s">
        <v>2600</v>
      </c>
      <c r="G1530" s="8634" t="s">
        <v>4656</v>
      </c>
      <c r="H1530" s="8634" t="s">
        <v>24</v>
      </c>
      <c r="I1530" s="8634" t="s">
        <v>809</v>
      </c>
    </row>
    <row customHeight="1" ht="11.25">
      <c r="A1531" s="8634" t="s">
        <v>2182</v>
      </c>
      <c r="B1531" s="8634" t="s">
        <v>14</v>
      </c>
      <c r="C1531" s="8634" t="s">
        <v>4657</v>
      </c>
      <c r="D1531" s="8634" t="s">
        <v>4658</v>
      </c>
      <c r="E1531" s="8634" t="s">
        <v>4659</v>
      </c>
      <c r="F1531" s="8634" t="s">
        <v>2213</v>
      </c>
      <c r="G1531" s="8634" t="s">
        <v>4660</v>
      </c>
      <c r="H1531" s="8634" t="s">
        <v>24</v>
      </c>
      <c r="I1531" s="8634" t="s">
        <v>809</v>
      </c>
    </row>
    <row customHeight="1" ht="11.25">
      <c r="A1532" s="8634" t="s">
        <v>2182</v>
      </c>
      <c r="B1532" s="8634" t="s">
        <v>14</v>
      </c>
      <c r="C1532" s="8634" t="s">
        <v>4672</v>
      </c>
      <c r="D1532" s="8634" t="s">
        <v>4673</v>
      </c>
      <c r="E1532" s="8634" t="s">
        <v>4674</v>
      </c>
      <c r="F1532" s="8634" t="s">
        <v>2354</v>
      </c>
      <c r="G1532" s="8634" t="s">
        <v>24</v>
      </c>
      <c r="H1532" s="8634" t="s">
        <v>24</v>
      </c>
      <c r="I1532" s="8634" t="s">
        <v>809</v>
      </c>
    </row>
    <row customHeight="1" ht="11.25">
      <c r="A1533" s="8634" t="s">
        <v>2182</v>
      </c>
      <c r="B1533" s="8634" t="s">
        <v>14</v>
      </c>
      <c r="C1533" s="8634" t="s">
        <v>4682</v>
      </c>
      <c r="D1533" s="8634" t="s">
        <v>4683</v>
      </c>
      <c r="E1533" s="8634" t="s">
        <v>4684</v>
      </c>
      <c r="F1533" s="8634" t="s">
        <v>2233</v>
      </c>
      <c r="G1533" s="8634" t="s">
        <v>24</v>
      </c>
      <c r="H1533" s="8634" t="s">
        <v>2993</v>
      </c>
      <c r="I1533" s="8634" t="s">
        <v>809</v>
      </c>
    </row>
    <row customHeight="1" ht="11.25">
      <c r="A1534" s="8634" t="s">
        <v>2182</v>
      </c>
      <c r="B1534" s="8634" t="s">
        <v>14</v>
      </c>
      <c r="C1534" s="8634" t="s">
        <v>4688</v>
      </c>
      <c r="D1534" s="8634" t="s">
        <v>4689</v>
      </c>
      <c r="E1534" s="8634" t="s">
        <v>4690</v>
      </c>
      <c r="F1534" s="8634" t="s">
        <v>2411</v>
      </c>
      <c r="G1534" s="8634" t="s">
        <v>24</v>
      </c>
      <c r="H1534" s="8634" t="s">
        <v>4691</v>
      </c>
      <c r="I1534" s="8634" t="s">
        <v>809</v>
      </c>
    </row>
    <row customHeight="1" ht="11.25">
      <c r="A1535" s="8634" t="s">
        <v>2182</v>
      </c>
      <c r="B1535" s="8634" t="s">
        <v>14</v>
      </c>
      <c r="C1535" s="8634" t="s">
        <v>4695</v>
      </c>
      <c r="D1535" s="8634" t="s">
        <v>4696</v>
      </c>
      <c r="E1535" s="8634" t="s">
        <v>4697</v>
      </c>
      <c r="F1535" s="8634" t="s">
        <v>2411</v>
      </c>
      <c r="G1535" s="8634" t="s">
        <v>3559</v>
      </c>
      <c r="H1535" s="8634" t="s">
        <v>24</v>
      </c>
      <c r="I1535" s="8634" t="s">
        <v>809</v>
      </c>
    </row>
    <row customHeight="1" ht="11.25">
      <c r="A1536" s="8634" t="s">
        <v>2182</v>
      </c>
      <c r="B1536" s="8634" t="s">
        <v>14</v>
      </c>
      <c r="C1536" s="8634" t="s">
        <v>4702</v>
      </c>
      <c r="D1536" s="8634" t="s">
        <v>4703</v>
      </c>
      <c r="E1536" s="8634" t="s">
        <v>4704</v>
      </c>
      <c r="F1536" s="8634" t="s">
        <v>2376</v>
      </c>
      <c r="G1536" s="8634" t="s">
        <v>24</v>
      </c>
      <c r="H1536" s="8634" t="s">
        <v>3222</v>
      </c>
      <c r="I1536" s="8634" t="s">
        <v>809</v>
      </c>
    </row>
    <row customHeight="1" ht="11.25">
      <c r="A1537" s="8634" t="s">
        <v>2182</v>
      </c>
      <c r="B1537" s="8634" t="s">
        <v>14</v>
      </c>
      <c r="C1537" s="8634" t="s">
        <v>4705</v>
      </c>
      <c r="D1537" s="8634" t="s">
        <v>4706</v>
      </c>
      <c r="E1537" s="8634" t="s">
        <v>4707</v>
      </c>
      <c r="F1537" s="8634" t="s">
        <v>2832</v>
      </c>
      <c r="G1537" s="8634" t="s">
        <v>4708</v>
      </c>
      <c r="H1537" s="8634" t="s">
        <v>2870</v>
      </c>
      <c r="I1537" s="8634" t="s">
        <v>809</v>
      </c>
    </row>
    <row customHeight="1" ht="11.25">
      <c r="A1538" s="8634" t="s">
        <v>2182</v>
      </c>
      <c r="B1538" s="8634" t="s">
        <v>14</v>
      </c>
      <c r="C1538" s="8634" t="s">
        <v>4721</v>
      </c>
      <c r="D1538" s="8634" t="s">
        <v>4722</v>
      </c>
      <c r="E1538" s="8634" t="s">
        <v>4723</v>
      </c>
      <c r="F1538" s="8634" t="s">
        <v>2460</v>
      </c>
      <c r="G1538" s="8634" t="s">
        <v>24</v>
      </c>
      <c r="H1538" s="8634" t="s">
        <v>2187</v>
      </c>
      <c r="I1538" s="8634" t="s">
        <v>809</v>
      </c>
    </row>
    <row customHeight="1" ht="11.25">
      <c r="A1539" s="8634" t="s">
        <v>2182</v>
      </c>
      <c r="B1539" s="8634" t="s">
        <v>14</v>
      </c>
      <c r="C1539" s="8634" t="s">
        <v>4724</v>
      </c>
      <c r="D1539" s="8634" t="s">
        <v>4725</v>
      </c>
      <c r="E1539" s="8634" t="s">
        <v>4726</v>
      </c>
      <c r="F1539" s="8634" t="s">
        <v>2398</v>
      </c>
      <c r="G1539" s="8634" t="s">
        <v>4727</v>
      </c>
      <c r="H1539" s="8634" t="s">
        <v>24</v>
      </c>
      <c r="I1539" s="8634" t="s">
        <v>809</v>
      </c>
    </row>
    <row customHeight="1" ht="11.25">
      <c r="A1540" s="8634" t="s">
        <v>2182</v>
      </c>
      <c r="B1540" s="8634" t="s">
        <v>14</v>
      </c>
      <c r="C1540" s="8634" t="s">
        <v>4728</v>
      </c>
      <c r="D1540" s="8634" t="s">
        <v>4729</v>
      </c>
      <c r="E1540" s="8634" t="s">
        <v>4730</v>
      </c>
      <c r="F1540" s="8634" t="s">
        <v>2245</v>
      </c>
      <c r="G1540" s="8634" t="s">
        <v>4731</v>
      </c>
      <c r="H1540" s="8634" t="s">
        <v>2187</v>
      </c>
      <c r="I1540" s="8634" t="s">
        <v>809</v>
      </c>
    </row>
    <row customHeight="1" ht="11.25">
      <c r="A1541" s="8634" t="s">
        <v>2182</v>
      </c>
      <c r="B1541" s="8634" t="s">
        <v>14</v>
      </c>
      <c r="C1541" s="8634" t="s">
        <v>4736</v>
      </c>
      <c r="D1541" s="8634" t="s">
        <v>4737</v>
      </c>
      <c r="E1541" s="8634" t="s">
        <v>4738</v>
      </c>
      <c r="F1541" s="8634" t="s">
        <v>2411</v>
      </c>
      <c r="G1541" s="8634" t="s">
        <v>24</v>
      </c>
      <c r="H1541" s="8634" t="s">
        <v>4739</v>
      </c>
      <c r="I1541" s="8634" t="s">
        <v>809</v>
      </c>
    </row>
    <row customHeight="1" ht="11.25">
      <c r="A1542" s="8634" t="s">
        <v>2182</v>
      </c>
      <c r="B1542" s="8634" t="s">
        <v>14</v>
      </c>
      <c r="C1542" s="8634" t="s">
        <v>4740</v>
      </c>
      <c r="D1542" s="8634" t="s">
        <v>4741</v>
      </c>
      <c r="E1542" s="8634" t="s">
        <v>4742</v>
      </c>
      <c r="F1542" s="8634" t="s">
        <v>2218</v>
      </c>
      <c r="G1542" s="8634" t="s">
        <v>4743</v>
      </c>
      <c r="H1542" s="8634" t="s">
        <v>24</v>
      </c>
      <c r="I1542" s="8634" t="s">
        <v>809</v>
      </c>
    </row>
    <row customHeight="1" ht="11.25">
      <c r="A1543" s="8634" t="s">
        <v>2182</v>
      </c>
      <c r="B1543" s="8634" t="s">
        <v>14</v>
      </c>
      <c r="C1543" s="8634" t="s">
        <v>6343</v>
      </c>
      <c r="D1543" s="8634" t="s">
        <v>6344</v>
      </c>
      <c r="E1543" s="8634" t="s">
        <v>6345</v>
      </c>
      <c r="F1543" s="8634" t="s">
        <v>2269</v>
      </c>
      <c r="G1543" s="8634" t="s">
        <v>6346</v>
      </c>
      <c r="H1543" s="8634" t="s">
        <v>24</v>
      </c>
      <c r="I1543" s="8634" t="s">
        <v>809</v>
      </c>
    </row>
    <row customHeight="1" ht="11.25">
      <c r="A1544" s="8634" t="s">
        <v>2182</v>
      </c>
      <c r="B1544" s="8634" t="s">
        <v>14</v>
      </c>
      <c r="C1544" s="8634" t="s">
        <v>4773</v>
      </c>
      <c r="D1544" s="8634" t="s">
        <v>4774</v>
      </c>
      <c r="E1544" s="8634" t="s">
        <v>4775</v>
      </c>
      <c r="F1544" s="8634" t="s">
        <v>2269</v>
      </c>
      <c r="G1544" s="8634" t="s">
        <v>4776</v>
      </c>
      <c r="H1544" s="8634" t="s">
        <v>24</v>
      </c>
      <c r="I1544" s="8634" t="s">
        <v>809</v>
      </c>
    </row>
    <row customHeight="1" ht="11.25">
      <c r="A1545" s="8634" t="s">
        <v>2182</v>
      </c>
      <c r="B1545" s="8634" t="s">
        <v>14</v>
      </c>
      <c r="C1545" s="8634" t="s">
        <v>4777</v>
      </c>
      <c r="D1545" s="8634" t="s">
        <v>4778</v>
      </c>
      <c r="E1545" s="8634" t="s">
        <v>4779</v>
      </c>
      <c r="F1545" s="8634" t="s">
        <v>2477</v>
      </c>
      <c r="G1545" s="8634" t="s">
        <v>4780</v>
      </c>
      <c r="H1545" s="8634" t="s">
        <v>24</v>
      </c>
      <c r="I1545" s="8634" t="s">
        <v>809</v>
      </c>
    </row>
    <row customHeight="1" ht="11.25">
      <c r="A1546" s="8634" t="s">
        <v>2182</v>
      </c>
      <c r="B1546" s="8634" t="s">
        <v>14</v>
      </c>
      <c r="C1546" s="8634" t="s">
        <v>4781</v>
      </c>
      <c r="D1546" s="8634" t="s">
        <v>4782</v>
      </c>
      <c r="E1546" s="8634" t="s">
        <v>4783</v>
      </c>
      <c r="F1546" s="8634" t="s">
        <v>2218</v>
      </c>
      <c r="G1546" s="8634" t="s">
        <v>4784</v>
      </c>
      <c r="H1546" s="8634" t="s">
        <v>24</v>
      </c>
      <c r="I1546" s="8634" t="s">
        <v>809</v>
      </c>
    </row>
    <row customHeight="1" ht="11.25">
      <c r="A1547" s="8634" t="s">
        <v>2182</v>
      </c>
      <c r="B1547" s="8634" t="s">
        <v>14</v>
      </c>
      <c r="C1547" s="8634" t="s">
        <v>4795</v>
      </c>
      <c r="D1547" s="8634" t="s">
        <v>4796</v>
      </c>
      <c r="E1547" s="8634" t="s">
        <v>4797</v>
      </c>
      <c r="F1547" s="8634" t="s">
        <v>2477</v>
      </c>
      <c r="G1547" s="8634" t="s">
        <v>24</v>
      </c>
      <c r="H1547" s="8634" t="s">
        <v>2187</v>
      </c>
      <c r="I1547" s="8634" t="s">
        <v>809</v>
      </c>
    </row>
    <row customHeight="1" ht="11.25">
      <c r="A1548" s="8634" t="s">
        <v>2182</v>
      </c>
      <c r="B1548" s="8634" t="s">
        <v>14</v>
      </c>
      <c r="C1548" s="8634" t="s">
        <v>4798</v>
      </c>
      <c r="D1548" s="8634" t="s">
        <v>4799</v>
      </c>
      <c r="E1548" s="8634" t="s">
        <v>4800</v>
      </c>
      <c r="F1548" s="8634" t="s">
        <v>2218</v>
      </c>
      <c r="G1548" s="8634" t="s">
        <v>4801</v>
      </c>
      <c r="H1548" s="8634" t="s">
        <v>4802</v>
      </c>
      <c r="I1548" s="8634" t="s">
        <v>809</v>
      </c>
    </row>
    <row customHeight="1" ht="11.25">
      <c r="A1549" s="8634" t="s">
        <v>2182</v>
      </c>
      <c r="B1549" s="8634" t="s">
        <v>14</v>
      </c>
      <c r="C1549" s="8634" t="s">
        <v>4806</v>
      </c>
      <c r="D1549" s="8634" t="s">
        <v>4807</v>
      </c>
      <c r="E1549" s="8634" t="s">
        <v>4808</v>
      </c>
      <c r="F1549" s="8634" t="s">
        <v>2339</v>
      </c>
      <c r="G1549" s="8634" t="s">
        <v>24</v>
      </c>
      <c r="H1549" s="8634" t="s">
        <v>2870</v>
      </c>
      <c r="I1549" s="8634" t="s">
        <v>809</v>
      </c>
    </row>
    <row customHeight="1" ht="11.25">
      <c r="A1550" s="8634" t="s">
        <v>2182</v>
      </c>
      <c r="B1550" s="8634" t="s">
        <v>14</v>
      </c>
      <c r="C1550" s="8634" t="s">
        <v>4809</v>
      </c>
      <c r="D1550" s="8634" t="s">
        <v>4807</v>
      </c>
      <c r="E1550" s="8634" t="s">
        <v>4810</v>
      </c>
      <c r="F1550" s="8634" t="s">
        <v>2339</v>
      </c>
      <c r="G1550" s="8634" t="s">
        <v>4811</v>
      </c>
      <c r="H1550" s="8634" t="s">
        <v>24</v>
      </c>
      <c r="I1550" s="8634" t="s">
        <v>809</v>
      </c>
    </row>
    <row customHeight="1" ht="11.25">
      <c r="A1551" s="8634" t="s">
        <v>2182</v>
      </c>
      <c r="B1551" s="8634" t="s">
        <v>14</v>
      </c>
      <c r="C1551" s="8634" t="s">
        <v>6347</v>
      </c>
      <c r="D1551" s="8634" t="s">
        <v>6348</v>
      </c>
      <c r="E1551" s="8634" t="s">
        <v>6349</v>
      </c>
      <c r="F1551" s="8634" t="s">
        <v>2213</v>
      </c>
      <c r="G1551" s="8634" t="s">
        <v>6350</v>
      </c>
      <c r="H1551" s="8634" t="s">
        <v>24</v>
      </c>
      <c r="I1551" s="8634" t="s">
        <v>809</v>
      </c>
    </row>
    <row customHeight="1" ht="11.25">
      <c r="A1552" s="8634" t="s">
        <v>2182</v>
      </c>
      <c r="B1552" s="8634" t="s">
        <v>14</v>
      </c>
      <c r="C1552" s="8634" t="s">
        <v>6351</v>
      </c>
      <c r="D1552" s="8634" t="s">
        <v>6352</v>
      </c>
      <c r="E1552" s="8634" t="s">
        <v>6353</v>
      </c>
      <c r="F1552" s="8634" t="s">
        <v>2376</v>
      </c>
      <c r="G1552" s="8634" t="s">
        <v>24</v>
      </c>
      <c r="H1552" s="8634" t="s">
        <v>2400</v>
      </c>
      <c r="I1552" s="8634" t="s">
        <v>809</v>
      </c>
    </row>
    <row customHeight="1" ht="11.25">
      <c r="A1553" s="8634" t="s">
        <v>2182</v>
      </c>
      <c r="B1553" s="8634" t="s">
        <v>14</v>
      </c>
      <c r="C1553" s="8634" t="s">
        <v>4812</v>
      </c>
      <c r="D1553" s="8634" t="s">
        <v>4813</v>
      </c>
      <c r="E1553" s="8634" t="s">
        <v>4814</v>
      </c>
      <c r="F1553" s="8634" t="s">
        <v>2600</v>
      </c>
      <c r="G1553" s="8634" t="s">
        <v>4815</v>
      </c>
      <c r="H1553" s="8634" t="s">
        <v>24</v>
      </c>
      <c r="I1553" s="8634" t="s">
        <v>809</v>
      </c>
    </row>
    <row customHeight="1" ht="11.25">
      <c r="A1554" s="8634" t="s">
        <v>2182</v>
      </c>
      <c r="B1554" s="8634" t="s">
        <v>14</v>
      </c>
      <c r="C1554" s="8634" t="s">
        <v>4823</v>
      </c>
      <c r="D1554" s="8634" t="s">
        <v>4824</v>
      </c>
      <c r="E1554" s="8634" t="s">
        <v>4825</v>
      </c>
      <c r="F1554" s="8634" t="s">
        <v>2322</v>
      </c>
      <c r="G1554" s="8634" t="s">
        <v>24</v>
      </c>
      <c r="H1554" s="8634" t="s">
        <v>2993</v>
      </c>
      <c r="I1554" s="8634" t="s">
        <v>809</v>
      </c>
    </row>
    <row customHeight="1" ht="11.25">
      <c r="A1555" s="8634" t="s">
        <v>2182</v>
      </c>
      <c r="B1555" s="8634" t="s">
        <v>14</v>
      </c>
      <c r="C1555" s="8634" t="s">
        <v>4840</v>
      </c>
      <c r="D1555" s="8634" t="s">
        <v>4841</v>
      </c>
      <c r="E1555" s="8634" t="s">
        <v>4842</v>
      </c>
      <c r="F1555" s="8634" t="s">
        <v>2389</v>
      </c>
      <c r="G1555" s="8634" t="s">
        <v>24</v>
      </c>
      <c r="H1555" s="8634" t="s">
        <v>4843</v>
      </c>
      <c r="I1555" s="8634" t="s">
        <v>809</v>
      </c>
    </row>
    <row customHeight="1" ht="11.25">
      <c r="A1556" s="8634" t="s">
        <v>2182</v>
      </c>
      <c r="B1556" s="8634" t="s">
        <v>14</v>
      </c>
      <c r="C1556" s="8634" t="s">
        <v>4850</v>
      </c>
      <c r="D1556" s="8634" t="s">
        <v>4851</v>
      </c>
      <c r="E1556" s="8634" t="s">
        <v>4852</v>
      </c>
      <c r="F1556" s="8634" t="s">
        <v>2512</v>
      </c>
      <c r="G1556" s="8634" t="s">
        <v>4853</v>
      </c>
      <c r="H1556" s="8634" t="s">
        <v>24</v>
      </c>
      <c r="I1556" s="8634" t="s">
        <v>809</v>
      </c>
    </row>
    <row customHeight="1" ht="11.25">
      <c r="A1557" s="8634" t="s">
        <v>2182</v>
      </c>
      <c r="B1557" s="8634" t="s">
        <v>14</v>
      </c>
      <c r="C1557" s="8634" t="s">
        <v>4854</v>
      </c>
      <c r="D1557" s="8634" t="s">
        <v>4855</v>
      </c>
      <c r="E1557" s="8634" t="s">
        <v>4856</v>
      </c>
      <c r="F1557" s="8634" t="s">
        <v>2613</v>
      </c>
      <c r="G1557" s="8634" t="s">
        <v>4857</v>
      </c>
      <c r="H1557" s="8634" t="s">
        <v>24</v>
      </c>
      <c r="I1557" s="8634" t="s">
        <v>809</v>
      </c>
    </row>
    <row customHeight="1" ht="11.25">
      <c r="A1558" s="8634" t="s">
        <v>2182</v>
      </c>
      <c r="B1558" s="8634" t="s">
        <v>14</v>
      </c>
      <c r="C1558" s="8634" t="s">
        <v>4869</v>
      </c>
      <c r="D1558" s="8634" t="s">
        <v>4870</v>
      </c>
      <c r="E1558" s="8634" t="s">
        <v>4871</v>
      </c>
      <c r="F1558" s="8634" t="s">
        <v>2245</v>
      </c>
      <c r="G1558" s="8634" t="s">
        <v>24</v>
      </c>
      <c r="H1558" s="8634" t="s">
        <v>2187</v>
      </c>
      <c r="I1558" s="8634" t="s">
        <v>809</v>
      </c>
    </row>
    <row customHeight="1" ht="11.25">
      <c r="A1559" s="8634" t="s">
        <v>2182</v>
      </c>
      <c r="B1559" s="8634" t="s">
        <v>14</v>
      </c>
      <c r="C1559" s="8634" t="s">
        <v>4879</v>
      </c>
      <c r="D1559" s="8634" t="s">
        <v>4880</v>
      </c>
      <c r="E1559" s="8634" t="s">
        <v>4881</v>
      </c>
      <c r="F1559" s="8634" t="s">
        <v>2344</v>
      </c>
      <c r="G1559" s="8634" t="s">
        <v>4882</v>
      </c>
      <c r="H1559" s="8634" t="s">
        <v>24</v>
      </c>
      <c r="I1559" s="8634" t="s">
        <v>809</v>
      </c>
    </row>
    <row customHeight="1" ht="11.25">
      <c r="A1560" s="8634" t="s">
        <v>2182</v>
      </c>
      <c r="B1560" s="8634" t="s">
        <v>14</v>
      </c>
      <c r="C1560" s="8634" t="s">
        <v>4883</v>
      </c>
      <c r="D1560" s="8634" t="s">
        <v>4884</v>
      </c>
      <c r="E1560" s="8634" t="s">
        <v>4885</v>
      </c>
      <c r="F1560" s="8634" t="s">
        <v>2300</v>
      </c>
      <c r="G1560" s="8634" t="s">
        <v>24</v>
      </c>
      <c r="H1560" s="8634" t="s">
        <v>24</v>
      </c>
      <c r="I1560" s="8634" t="s">
        <v>809</v>
      </c>
    </row>
    <row customHeight="1" ht="11.25">
      <c r="A1561" s="8634" t="s">
        <v>2182</v>
      </c>
      <c r="B1561" s="8634" t="s">
        <v>14</v>
      </c>
      <c r="C1561" s="8634" t="s">
        <v>4886</v>
      </c>
      <c r="D1561" s="8634" t="s">
        <v>4887</v>
      </c>
      <c r="E1561" s="8634" t="s">
        <v>4888</v>
      </c>
      <c r="F1561" s="8634" t="s">
        <v>2213</v>
      </c>
      <c r="G1561" s="8634" t="s">
        <v>4889</v>
      </c>
      <c r="H1561" s="8634" t="s">
        <v>24</v>
      </c>
      <c r="I1561" s="8634" t="s">
        <v>809</v>
      </c>
    </row>
    <row customHeight="1" ht="11.25">
      <c r="A1562" s="8634" t="s">
        <v>2182</v>
      </c>
      <c r="B1562" s="8634" t="s">
        <v>14</v>
      </c>
      <c r="C1562" s="8634" t="s">
        <v>4890</v>
      </c>
      <c r="D1562" s="8634" t="s">
        <v>4891</v>
      </c>
      <c r="E1562" s="8634" t="s">
        <v>4892</v>
      </c>
      <c r="F1562" s="8634" t="s">
        <v>2233</v>
      </c>
      <c r="G1562" s="8634" t="s">
        <v>4893</v>
      </c>
      <c r="H1562" s="8634" t="s">
        <v>24</v>
      </c>
      <c r="I1562" s="8634" t="s">
        <v>809</v>
      </c>
    </row>
    <row customHeight="1" ht="11.25">
      <c r="A1563" s="8634" t="s">
        <v>2182</v>
      </c>
      <c r="B1563" s="8634" t="s">
        <v>14</v>
      </c>
      <c r="C1563" s="8634" t="s">
        <v>4894</v>
      </c>
      <c r="D1563" s="8634" t="s">
        <v>4895</v>
      </c>
      <c r="E1563" s="8634" t="s">
        <v>4896</v>
      </c>
      <c r="F1563" s="8634" t="s">
        <v>2363</v>
      </c>
      <c r="G1563" s="8634" t="s">
        <v>24</v>
      </c>
      <c r="H1563" s="8634" t="s">
        <v>24</v>
      </c>
      <c r="I1563" s="8634" t="s">
        <v>809</v>
      </c>
    </row>
    <row customHeight="1" ht="11.25">
      <c r="A1564" s="8634" t="s">
        <v>2182</v>
      </c>
      <c r="B1564" s="8634" t="s">
        <v>14</v>
      </c>
      <c r="C1564" s="8634" t="s">
        <v>4900</v>
      </c>
      <c r="D1564" s="8634" t="s">
        <v>4901</v>
      </c>
      <c r="E1564" s="8634" t="s">
        <v>4902</v>
      </c>
      <c r="F1564" s="8634" t="s">
        <v>2363</v>
      </c>
      <c r="G1564" s="8634" t="s">
        <v>24</v>
      </c>
      <c r="H1564" s="8634" t="s">
        <v>24</v>
      </c>
      <c r="I1564" s="8634" t="s">
        <v>809</v>
      </c>
    </row>
    <row customHeight="1" ht="11.25">
      <c r="A1565" s="8634" t="s">
        <v>2182</v>
      </c>
      <c r="B1565" s="8634" t="s">
        <v>14</v>
      </c>
      <c r="C1565" s="8634" t="s">
        <v>4906</v>
      </c>
      <c r="D1565" s="8634" t="s">
        <v>4907</v>
      </c>
      <c r="E1565" s="8634" t="s">
        <v>4908</v>
      </c>
      <c r="F1565" s="8634" t="s">
        <v>4909</v>
      </c>
      <c r="G1565" s="8634" t="s">
        <v>4910</v>
      </c>
      <c r="H1565" s="8634" t="s">
        <v>24</v>
      </c>
      <c r="I1565" s="8634" t="s">
        <v>809</v>
      </c>
    </row>
    <row customHeight="1" ht="11.25">
      <c r="A1566" s="8634" t="s">
        <v>2182</v>
      </c>
      <c r="B1566" s="8634" t="s">
        <v>14</v>
      </c>
      <c r="C1566" s="8634" t="s">
        <v>6354</v>
      </c>
      <c r="D1566" s="8634" t="s">
        <v>6355</v>
      </c>
      <c r="E1566" s="8634" t="s">
        <v>6356</v>
      </c>
      <c r="F1566" s="8634" t="s">
        <v>2344</v>
      </c>
      <c r="G1566" s="8634" t="s">
        <v>24</v>
      </c>
      <c r="H1566" s="8634" t="s">
        <v>24</v>
      </c>
      <c r="I1566" s="8634" t="s">
        <v>809</v>
      </c>
    </row>
    <row customHeight="1" ht="11.25">
      <c r="A1567" s="8634" t="s">
        <v>2182</v>
      </c>
      <c r="B1567" s="8634" t="s">
        <v>14</v>
      </c>
      <c r="C1567" s="8634" t="s">
        <v>4920</v>
      </c>
      <c r="D1567" s="8634" t="s">
        <v>4921</v>
      </c>
      <c r="E1567" s="8634" t="s">
        <v>4922</v>
      </c>
      <c r="F1567" s="8634" t="s">
        <v>2890</v>
      </c>
      <c r="G1567" s="8634" t="s">
        <v>4923</v>
      </c>
      <c r="H1567" s="8634" t="s">
        <v>24</v>
      </c>
      <c r="I1567" s="8634" t="s">
        <v>809</v>
      </c>
    </row>
    <row customHeight="1" ht="11.25">
      <c r="A1568" s="8634" t="s">
        <v>2182</v>
      </c>
      <c r="B1568" s="8634" t="s">
        <v>14</v>
      </c>
      <c r="C1568" s="8634" t="s">
        <v>4924</v>
      </c>
      <c r="D1568" s="8634" t="s">
        <v>4925</v>
      </c>
      <c r="E1568" s="8634" t="s">
        <v>4926</v>
      </c>
      <c r="F1568" s="8634" t="s">
        <v>2398</v>
      </c>
      <c r="G1568" s="8634" t="s">
        <v>4927</v>
      </c>
      <c r="H1568" s="8634" t="s">
        <v>2187</v>
      </c>
      <c r="I1568" s="8634" t="s">
        <v>809</v>
      </c>
    </row>
    <row customHeight="1" ht="11.25">
      <c r="A1569" s="8634" t="s">
        <v>2182</v>
      </c>
      <c r="B1569" s="8634" t="s">
        <v>14</v>
      </c>
      <c r="C1569" s="8634" t="s">
        <v>4935</v>
      </c>
      <c r="D1569" s="8634" t="s">
        <v>4936</v>
      </c>
      <c r="E1569" s="8634" t="s">
        <v>4937</v>
      </c>
      <c r="F1569" s="8634" t="s">
        <v>2279</v>
      </c>
      <c r="G1569" s="8634" t="s">
        <v>24</v>
      </c>
      <c r="H1569" s="8634" t="s">
        <v>24</v>
      </c>
      <c r="I1569" s="8634" t="s">
        <v>809</v>
      </c>
    </row>
    <row customHeight="1" ht="11.25">
      <c r="A1570" s="8634" t="s">
        <v>2182</v>
      </c>
      <c r="B1570" s="8634" t="s">
        <v>14</v>
      </c>
      <c r="C1570" s="8634" t="s">
        <v>4942</v>
      </c>
      <c r="D1570" s="8634" t="s">
        <v>4943</v>
      </c>
      <c r="E1570" s="8634" t="s">
        <v>4944</v>
      </c>
      <c r="F1570" s="8634" t="s">
        <v>2363</v>
      </c>
      <c r="G1570" s="8634" t="s">
        <v>24</v>
      </c>
      <c r="H1570" s="8634" t="s">
        <v>24</v>
      </c>
      <c r="I1570" s="8634" t="s">
        <v>809</v>
      </c>
    </row>
    <row customHeight="1" ht="11.25">
      <c r="A1571" s="8634" t="s">
        <v>2182</v>
      </c>
      <c r="B1571" s="8634" t="s">
        <v>14</v>
      </c>
      <c r="C1571" s="8634" t="s">
        <v>4945</v>
      </c>
      <c r="D1571" s="8634" t="s">
        <v>4946</v>
      </c>
      <c r="E1571" s="8634" t="s">
        <v>4947</v>
      </c>
      <c r="F1571" s="8634" t="s">
        <v>2354</v>
      </c>
      <c r="G1571" s="8634" t="s">
        <v>4948</v>
      </c>
      <c r="H1571" s="8634" t="s">
        <v>4949</v>
      </c>
      <c r="I1571" s="8634" t="s">
        <v>809</v>
      </c>
    </row>
    <row customHeight="1" ht="11.25">
      <c r="A1572" s="8634" t="s">
        <v>2182</v>
      </c>
      <c r="B1572" s="8634" t="s">
        <v>14</v>
      </c>
      <c r="C1572" s="8634" t="s">
        <v>4953</v>
      </c>
      <c r="D1572" s="8634" t="s">
        <v>4954</v>
      </c>
      <c r="E1572" s="8634" t="s">
        <v>4955</v>
      </c>
      <c r="F1572" s="8634" t="s">
        <v>2213</v>
      </c>
      <c r="G1572" s="8634" t="s">
        <v>4956</v>
      </c>
      <c r="H1572" s="8634" t="s">
        <v>24</v>
      </c>
      <c r="I1572" s="8634" t="s">
        <v>809</v>
      </c>
    </row>
    <row customHeight="1" ht="11.25">
      <c r="A1573" s="8634" t="s">
        <v>2182</v>
      </c>
      <c r="B1573" s="8634" t="s">
        <v>14</v>
      </c>
      <c r="C1573" s="8634" t="s">
        <v>4957</v>
      </c>
      <c r="D1573" s="8634" t="s">
        <v>4958</v>
      </c>
      <c r="E1573" s="8634" t="s">
        <v>4959</v>
      </c>
      <c r="F1573" s="8634" t="s">
        <v>2363</v>
      </c>
      <c r="G1573" s="8634" t="s">
        <v>24</v>
      </c>
      <c r="H1573" s="8634" t="s">
        <v>2187</v>
      </c>
      <c r="I1573" s="8634" t="s">
        <v>809</v>
      </c>
    </row>
    <row customHeight="1" ht="11.25">
      <c r="A1574" s="8634" t="s">
        <v>2182</v>
      </c>
      <c r="B1574" s="8634" t="s">
        <v>14</v>
      </c>
      <c r="C1574" s="8634" t="s">
        <v>4960</v>
      </c>
      <c r="D1574" s="8634" t="s">
        <v>4961</v>
      </c>
      <c r="E1574" s="8634" t="s">
        <v>4962</v>
      </c>
      <c r="F1574" s="8634" t="s">
        <v>2363</v>
      </c>
      <c r="G1574" s="8634" t="s">
        <v>4963</v>
      </c>
      <c r="H1574" s="8634" t="s">
        <v>24</v>
      </c>
      <c r="I1574" s="8634" t="s">
        <v>809</v>
      </c>
    </row>
    <row customHeight="1" ht="11.25">
      <c r="A1575" s="8634" t="s">
        <v>2182</v>
      </c>
      <c r="B1575" s="8634" t="s">
        <v>14</v>
      </c>
      <c r="C1575" s="8634" t="s">
        <v>4964</v>
      </c>
      <c r="D1575" s="8634" t="s">
        <v>4965</v>
      </c>
      <c r="E1575" s="8634" t="s">
        <v>4966</v>
      </c>
      <c r="F1575" s="8634" t="s">
        <v>2411</v>
      </c>
      <c r="G1575" s="8634" t="s">
        <v>24</v>
      </c>
      <c r="H1575" s="8634" t="s">
        <v>2187</v>
      </c>
      <c r="I1575" s="8634" t="s">
        <v>809</v>
      </c>
    </row>
    <row customHeight="1" ht="11.25">
      <c r="A1576" s="8634" t="s">
        <v>2182</v>
      </c>
      <c r="B1576" s="8634" t="s">
        <v>14</v>
      </c>
      <c r="C1576" s="8634" t="s">
        <v>4973</v>
      </c>
      <c r="D1576" s="8634" t="s">
        <v>4974</v>
      </c>
      <c r="E1576" s="8634" t="s">
        <v>4955</v>
      </c>
      <c r="F1576" s="8634" t="s">
        <v>4975</v>
      </c>
      <c r="G1576" s="8634" t="s">
        <v>4976</v>
      </c>
      <c r="H1576" s="8634" t="s">
        <v>2187</v>
      </c>
      <c r="I1576" s="8634" t="s">
        <v>809</v>
      </c>
    </row>
    <row customHeight="1" ht="11.25">
      <c r="A1577" s="8634" t="s">
        <v>2182</v>
      </c>
      <c r="B1577" s="8634" t="s">
        <v>14</v>
      </c>
      <c r="C1577" s="8634" t="s">
        <v>4977</v>
      </c>
      <c r="D1577" s="8634" t="s">
        <v>4978</v>
      </c>
      <c r="E1577" s="8634" t="s">
        <v>4979</v>
      </c>
      <c r="F1577" s="8634" t="s">
        <v>4980</v>
      </c>
      <c r="G1577" s="8634" t="s">
        <v>24</v>
      </c>
      <c r="H1577" s="8634" t="s">
        <v>4981</v>
      </c>
      <c r="I1577" s="8634" t="s">
        <v>809</v>
      </c>
    </row>
    <row customHeight="1" ht="11.25">
      <c r="A1578" s="8634" t="s">
        <v>2182</v>
      </c>
      <c r="B1578" s="8634" t="s">
        <v>14</v>
      </c>
      <c r="C1578" s="8634" t="s">
        <v>4992</v>
      </c>
      <c r="D1578" s="8634" t="s">
        <v>4993</v>
      </c>
      <c r="E1578" s="8634" t="s">
        <v>4994</v>
      </c>
      <c r="F1578" s="8634" t="s">
        <v>2354</v>
      </c>
      <c r="G1578" s="8634" t="s">
        <v>4995</v>
      </c>
      <c r="H1578" s="8634" t="s">
        <v>2187</v>
      </c>
      <c r="I1578" s="8634" t="s">
        <v>809</v>
      </c>
    </row>
    <row customHeight="1" ht="11.25">
      <c r="A1579" s="8634" t="s">
        <v>2182</v>
      </c>
      <c r="B1579" s="8634" t="s">
        <v>14</v>
      </c>
      <c r="C1579" s="8634" t="s">
        <v>5001</v>
      </c>
      <c r="D1579" s="8634" t="s">
        <v>5002</v>
      </c>
      <c r="E1579" s="8634" t="s">
        <v>5003</v>
      </c>
      <c r="F1579" s="8634" t="s">
        <v>2354</v>
      </c>
      <c r="G1579" s="8634" t="s">
        <v>5004</v>
      </c>
      <c r="H1579" s="8634" t="s">
        <v>2187</v>
      </c>
      <c r="I1579" s="8634" t="s">
        <v>809</v>
      </c>
    </row>
    <row customHeight="1" ht="11.25">
      <c r="A1580" s="8634" t="s">
        <v>2182</v>
      </c>
      <c r="B1580" s="8634" t="s">
        <v>14</v>
      </c>
      <c r="C1580" s="8634" t="s">
        <v>5005</v>
      </c>
      <c r="D1580" s="8634" t="s">
        <v>5006</v>
      </c>
      <c r="E1580" s="8634" t="s">
        <v>5007</v>
      </c>
      <c r="F1580" s="8634" t="s">
        <v>2890</v>
      </c>
      <c r="G1580" s="8634" t="s">
        <v>5008</v>
      </c>
      <c r="H1580" s="8634" t="s">
        <v>24</v>
      </c>
      <c r="I1580" s="8634" t="s">
        <v>809</v>
      </c>
    </row>
    <row customHeight="1" ht="11.25">
      <c r="A1581" s="8634" t="s">
        <v>2182</v>
      </c>
      <c r="B1581" s="8634" t="s">
        <v>14</v>
      </c>
      <c r="C1581" s="8634" t="s">
        <v>5009</v>
      </c>
      <c r="D1581" s="8634" t="s">
        <v>5010</v>
      </c>
      <c r="E1581" s="8634" t="s">
        <v>5011</v>
      </c>
      <c r="F1581" s="8634" t="s">
        <v>2563</v>
      </c>
      <c r="G1581" s="8634" t="s">
        <v>5012</v>
      </c>
      <c r="H1581" s="8634" t="s">
        <v>24</v>
      </c>
      <c r="I1581" s="8634" t="s">
        <v>809</v>
      </c>
    </row>
    <row customHeight="1" ht="11.25">
      <c r="A1582" s="8634" t="s">
        <v>2182</v>
      </c>
      <c r="B1582" s="8634" t="s">
        <v>14</v>
      </c>
      <c r="C1582" s="8634" t="s">
        <v>5013</v>
      </c>
      <c r="D1582" s="8634" t="s">
        <v>5014</v>
      </c>
      <c r="E1582" s="8634" t="s">
        <v>5015</v>
      </c>
      <c r="F1582" s="8634" t="s">
        <v>4717</v>
      </c>
      <c r="G1582" s="8634" t="s">
        <v>24</v>
      </c>
      <c r="H1582" s="8634" t="s">
        <v>2187</v>
      </c>
      <c r="I1582" s="8634" t="s">
        <v>809</v>
      </c>
    </row>
    <row customHeight="1" ht="11.25">
      <c r="A1583" s="8634" t="s">
        <v>2182</v>
      </c>
      <c r="B1583" s="8634" t="s">
        <v>14</v>
      </c>
      <c r="C1583" s="8634" t="s">
        <v>6357</v>
      </c>
      <c r="D1583" s="8634" t="s">
        <v>6358</v>
      </c>
      <c r="E1583" s="8634" t="s">
        <v>5022</v>
      </c>
      <c r="F1583" s="8634" t="s">
        <v>4909</v>
      </c>
      <c r="G1583" s="8634" t="s">
        <v>24</v>
      </c>
      <c r="H1583" s="8634" t="s">
        <v>2187</v>
      </c>
      <c r="I1583" s="8634" t="s">
        <v>809</v>
      </c>
    </row>
    <row customHeight="1" ht="11.25">
      <c r="A1584" s="8634" t="s">
        <v>2182</v>
      </c>
      <c r="B1584" s="8634" t="s">
        <v>14</v>
      </c>
      <c r="C1584" s="8634" t="s">
        <v>5025</v>
      </c>
      <c r="D1584" s="8634" t="s">
        <v>5026</v>
      </c>
      <c r="E1584" s="8634" t="s">
        <v>5027</v>
      </c>
      <c r="F1584" s="8634" t="s">
        <v>2245</v>
      </c>
      <c r="G1584" s="8634" t="s">
        <v>2368</v>
      </c>
      <c r="H1584" s="8634" t="s">
        <v>24</v>
      </c>
      <c r="I1584" s="8634" t="s">
        <v>809</v>
      </c>
    </row>
    <row customHeight="1" ht="11.25">
      <c r="A1585" s="8634" t="s">
        <v>2182</v>
      </c>
      <c r="B1585" s="8634" t="s">
        <v>14</v>
      </c>
      <c r="C1585" s="8634" t="s">
        <v>5036</v>
      </c>
      <c r="D1585" s="8634" t="s">
        <v>5037</v>
      </c>
      <c r="E1585" s="8634" t="s">
        <v>5038</v>
      </c>
      <c r="F1585" s="8634" t="s">
        <v>2322</v>
      </c>
      <c r="G1585" s="8634" t="s">
        <v>5039</v>
      </c>
      <c r="H1585" s="8634" t="s">
        <v>24</v>
      </c>
      <c r="I1585" s="8634" t="s">
        <v>809</v>
      </c>
    </row>
    <row customHeight="1" ht="11.25">
      <c r="A1586" s="8634" t="s">
        <v>2182</v>
      </c>
      <c r="B1586" s="8634" t="s">
        <v>14</v>
      </c>
      <c r="C1586" s="8634" t="s">
        <v>5050</v>
      </c>
      <c r="D1586" s="8634" t="s">
        <v>5051</v>
      </c>
      <c r="E1586" s="8634" t="s">
        <v>5052</v>
      </c>
      <c r="F1586" s="8634" t="s">
        <v>2492</v>
      </c>
      <c r="G1586" s="8634" t="s">
        <v>24</v>
      </c>
      <c r="H1586" s="8634" t="s">
        <v>24</v>
      </c>
      <c r="I1586" s="8634" t="s">
        <v>809</v>
      </c>
    </row>
    <row customHeight="1" ht="11.25">
      <c r="A1587" s="8634" t="s">
        <v>2182</v>
      </c>
      <c r="B1587" s="8634" t="s">
        <v>14</v>
      </c>
      <c r="C1587" s="8634" t="s">
        <v>5053</v>
      </c>
      <c r="D1587" s="8634" t="s">
        <v>5054</v>
      </c>
      <c r="E1587" s="8634" t="s">
        <v>5055</v>
      </c>
      <c r="F1587" s="8634" t="s">
        <v>2394</v>
      </c>
      <c r="G1587" s="8634" t="s">
        <v>24</v>
      </c>
      <c r="H1587" s="8634" t="s">
        <v>24</v>
      </c>
      <c r="I1587" s="8634" t="s">
        <v>809</v>
      </c>
    </row>
    <row customHeight="1" ht="11.25">
      <c r="A1588" s="8634" t="s">
        <v>2182</v>
      </c>
      <c r="B1588" s="8634" t="s">
        <v>14</v>
      </c>
      <c r="C1588" s="8634" t="s">
        <v>5056</v>
      </c>
      <c r="D1588" s="8634" t="s">
        <v>5057</v>
      </c>
      <c r="E1588" s="8634" t="s">
        <v>5058</v>
      </c>
      <c r="F1588" s="8634" t="s">
        <v>2233</v>
      </c>
      <c r="G1588" s="8634" t="s">
        <v>24</v>
      </c>
      <c r="H1588" s="8634" t="s">
        <v>2187</v>
      </c>
      <c r="I1588" s="8634" t="s">
        <v>809</v>
      </c>
    </row>
    <row customHeight="1" ht="11.25">
      <c r="A1589" s="8634" t="s">
        <v>2182</v>
      </c>
      <c r="B1589" s="8634" t="s">
        <v>14</v>
      </c>
      <c r="C1589" s="8634" t="s">
        <v>5059</v>
      </c>
      <c r="D1589" s="8634" t="s">
        <v>5060</v>
      </c>
      <c r="E1589" s="8634" t="s">
        <v>5061</v>
      </c>
      <c r="F1589" s="8634" t="s">
        <v>2218</v>
      </c>
      <c r="G1589" s="8634" t="s">
        <v>5062</v>
      </c>
      <c r="H1589" s="8634" t="s">
        <v>2870</v>
      </c>
      <c r="I1589" s="8634" t="s">
        <v>809</v>
      </c>
    </row>
    <row customHeight="1" ht="11.25">
      <c r="A1590" s="8634" t="s">
        <v>2182</v>
      </c>
      <c r="B1590" s="8634" t="s">
        <v>14</v>
      </c>
      <c r="C1590" s="8634" t="s">
        <v>5067</v>
      </c>
      <c r="D1590" s="8634" t="s">
        <v>5068</v>
      </c>
      <c r="E1590" s="8634" t="s">
        <v>5069</v>
      </c>
      <c r="F1590" s="8634" t="s">
        <v>2398</v>
      </c>
      <c r="G1590" s="8634" t="s">
        <v>5070</v>
      </c>
      <c r="H1590" s="8634" t="s">
        <v>24</v>
      </c>
      <c r="I1590" s="8634" t="s">
        <v>809</v>
      </c>
    </row>
    <row customHeight="1" ht="11.25">
      <c r="A1591" s="8634" t="s">
        <v>2182</v>
      </c>
      <c r="B1591" s="8634" t="s">
        <v>14</v>
      </c>
      <c r="C1591" s="8634" t="s">
        <v>5077</v>
      </c>
      <c r="D1591" s="8634" t="s">
        <v>5078</v>
      </c>
      <c r="E1591" s="8634" t="s">
        <v>5079</v>
      </c>
      <c r="F1591" s="8634" t="s">
        <v>4764</v>
      </c>
      <c r="G1591" s="8634" t="s">
        <v>24</v>
      </c>
      <c r="H1591" s="8634" t="s">
        <v>24</v>
      </c>
      <c r="I1591" s="8634" t="s">
        <v>809</v>
      </c>
    </row>
    <row customHeight="1" ht="11.25">
      <c r="A1592" s="8634" t="s">
        <v>2182</v>
      </c>
      <c r="B1592" s="8634" t="s">
        <v>14</v>
      </c>
      <c r="C1592" s="8634" t="s">
        <v>5091</v>
      </c>
      <c r="D1592" s="8634" t="s">
        <v>5092</v>
      </c>
      <c r="E1592" s="8634" t="s">
        <v>5093</v>
      </c>
      <c r="F1592" s="8634" t="s">
        <v>2245</v>
      </c>
      <c r="G1592" s="8634" t="s">
        <v>24</v>
      </c>
      <c r="H1592" s="8634" t="s">
        <v>5094</v>
      </c>
      <c r="I1592" s="8634" t="s">
        <v>809</v>
      </c>
    </row>
    <row customHeight="1" ht="11.25">
      <c r="A1593" s="8634" t="s">
        <v>2182</v>
      </c>
      <c r="B1593" s="8634" t="s">
        <v>14</v>
      </c>
      <c r="C1593" s="8634" t="s">
        <v>5099</v>
      </c>
      <c r="D1593" s="8634" t="s">
        <v>5100</v>
      </c>
      <c r="E1593" s="8634" t="s">
        <v>5101</v>
      </c>
      <c r="F1593" s="8634" t="s">
        <v>2339</v>
      </c>
      <c r="G1593" s="8634" t="s">
        <v>2187</v>
      </c>
      <c r="H1593" s="8634" t="s">
        <v>2187</v>
      </c>
      <c r="I1593" s="8634" t="s">
        <v>809</v>
      </c>
    </row>
    <row customHeight="1" ht="11.25">
      <c r="A1594" s="8634" t="s">
        <v>2182</v>
      </c>
      <c r="B1594" s="8634" t="s">
        <v>14</v>
      </c>
      <c r="C1594" s="8634" t="s">
        <v>6359</v>
      </c>
      <c r="D1594" s="8634" t="s">
        <v>6360</v>
      </c>
      <c r="E1594" s="8634" t="s">
        <v>6361</v>
      </c>
      <c r="F1594" s="8634" t="s">
        <v>2705</v>
      </c>
      <c r="G1594" s="8634" t="s">
        <v>24</v>
      </c>
      <c r="H1594" s="8634" t="s">
        <v>24</v>
      </c>
      <c r="I1594" s="8634" t="s">
        <v>809</v>
      </c>
    </row>
    <row customHeight="1" ht="11.25">
      <c r="A1595" s="8634" t="s">
        <v>2182</v>
      </c>
      <c r="B1595" s="8634" t="s">
        <v>14</v>
      </c>
      <c r="C1595" s="8634" t="s">
        <v>5102</v>
      </c>
      <c r="D1595" s="8634" t="s">
        <v>5103</v>
      </c>
      <c r="E1595" s="8634" t="s">
        <v>5104</v>
      </c>
      <c r="F1595" s="8634" t="s">
        <v>2705</v>
      </c>
      <c r="G1595" s="8634" t="s">
        <v>24</v>
      </c>
      <c r="H1595" s="8634" t="s">
        <v>2187</v>
      </c>
      <c r="I1595" s="8634" t="s">
        <v>809</v>
      </c>
    </row>
    <row customHeight="1" ht="11.25">
      <c r="A1596" s="8634" t="s">
        <v>2182</v>
      </c>
      <c r="B1596" s="8634" t="s">
        <v>14</v>
      </c>
      <c r="C1596" s="8634" t="s">
        <v>5113</v>
      </c>
      <c r="D1596" s="8634" t="s">
        <v>5114</v>
      </c>
      <c r="E1596" s="8634" t="s">
        <v>5115</v>
      </c>
      <c r="F1596" s="8634" t="s">
        <v>2213</v>
      </c>
      <c r="G1596" s="8634" t="s">
        <v>24</v>
      </c>
      <c r="H1596" s="8634" t="s">
        <v>2187</v>
      </c>
      <c r="I1596" s="8634" t="s">
        <v>809</v>
      </c>
    </row>
    <row customHeight="1" ht="11.25">
      <c r="A1597" s="8634" t="s">
        <v>2182</v>
      </c>
      <c r="B1597" s="8634" t="s">
        <v>14</v>
      </c>
      <c r="C1597" s="8634" t="s">
        <v>5116</v>
      </c>
      <c r="D1597" s="8634" t="s">
        <v>5117</v>
      </c>
      <c r="E1597" s="8634" t="s">
        <v>5118</v>
      </c>
      <c r="F1597" s="8634" t="s">
        <v>2233</v>
      </c>
      <c r="G1597" s="8634" t="s">
        <v>24</v>
      </c>
      <c r="H1597" s="8634" t="s">
        <v>2187</v>
      </c>
      <c r="I1597" s="8634" t="s">
        <v>809</v>
      </c>
    </row>
    <row customHeight="1" ht="11.25">
      <c r="A1598" s="8634" t="s">
        <v>2182</v>
      </c>
      <c r="B1598" s="8634" t="s">
        <v>14</v>
      </c>
      <c r="C1598" s="8634" t="s">
        <v>5119</v>
      </c>
      <c r="D1598" s="8634" t="s">
        <v>5117</v>
      </c>
      <c r="E1598" s="8634" t="s">
        <v>5118</v>
      </c>
      <c r="F1598" s="8634" t="s">
        <v>2213</v>
      </c>
      <c r="G1598" s="8634" t="s">
        <v>24</v>
      </c>
      <c r="H1598" s="8634" t="s">
        <v>2187</v>
      </c>
      <c r="I1598" s="8634" t="s">
        <v>809</v>
      </c>
    </row>
    <row customHeight="1" ht="11.25">
      <c r="A1599" s="8634" t="s">
        <v>2182</v>
      </c>
      <c r="B1599" s="8634" t="s">
        <v>14</v>
      </c>
      <c r="C1599" s="8634" t="s">
        <v>5120</v>
      </c>
      <c r="D1599" s="8634" t="s">
        <v>5121</v>
      </c>
      <c r="E1599" s="8634" t="s">
        <v>5122</v>
      </c>
      <c r="F1599" s="8634" t="s">
        <v>2671</v>
      </c>
      <c r="G1599" s="8634" t="s">
        <v>24</v>
      </c>
      <c r="H1599" s="8634" t="s">
        <v>24</v>
      </c>
      <c r="I1599" s="8634" t="s">
        <v>809</v>
      </c>
    </row>
    <row customHeight="1" ht="11.25">
      <c r="A1600" s="8634" t="s">
        <v>2182</v>
      </c>
      <c r="B1600" s="8634" t="s">
        <v>14</v>
      </c>
      <c r="C1600" s="8634" t="s">
        <v>5123</v>
      </c>
      <c r="D1600" s="8634" t="s">
        <v>5124</v>
      </c>
      <c r="E1600" s="8634" t="s">
        <v>5125</v>
      </c>
      <c r="F1600" s="8634" t="s">
        <v>2314</v>
      </c>
      <c r="G1600" s="8634" t="s">
        <v>2443</v>
      </c>
      <c r="H1600" s="8634" t="s">
        <v>24</v>
      </c>
      <c r="I1600" s="8634" t="s">
        <v>809</v>
      </c>
    </row>
    <row customHeight="1" ht="11.25">
      <c r="A1601" s="8634" t="s">
        <v>2182</v>
      </c>
      <c r="B1601" s="8634" t="s">
        <v>14</v>
      </c>
      <c r="C1601" s="8634" t="s">
        <v>5126</v>
      </c>
      <c r="D1601" s="8634" t="s">
        <v>5127</v>
      </c>
      <c r="E1601" s="8634" t="s">
        <v>5128</v>
      </c>
      <c r="F1601" s="8634" t="s">
        <v>2600</v>
      </c>
      <c r="G1601" s="8634" t="s">
        <v>24</v>
      </c>
      <c r="H1601" s="8634" t="s">
        <v>2187</v>
      </c>
      <c r="I1601" s="8634" t="s">
        <v>809</v>
      </c>
    </row>
    <row customHeight="1" ht="11.25">
      <c r="A1602" s="8634" t="s">
        <v>2182</v>
      </c>
      <c r="B1602" s="8634" t="s">
        <v>14</v>
      </c>
      <c r="C1602" s="8634" t="s">
        <v>5129</v>
      </c>
      <c r="D1602" s="8634" t="s">
        <v>5130</v>
      </c>
      <c r="E1602" s="8634" t="s">
        <v>5131</v>
      </c>
      <c r="F1602" s="8634" t="s">
        <v>2228</v>
      </c>
      <c r="G1602" s="8634" t="s">
        <v>5132</v>
      </c>
      <c r="H1602" s="8634" t="s">
        <v>5133</v>
      </c>
      <c r="I1602" s="8634" t="s">
        <v>809</v>
      </c>
    </row>
    <row customHeight="1" ht="11.25">
      <c r="A1603" s="8634" t="s">
        <v>2182</v>
      </c>
      <c r="B1603" s="8634" t="s">
        <v>14</v>
      </c>
      <c r="C1603" s="8634" t="s">
        <v>5142</v>
      </c>
      <c r="D1603" s="8634" t="s">
        <v>5143</v>
      </c>
      <c r="E1603" s="8634" t="s">
        <v>5144</v>
      </c>
      <c r="F1603" s="8634" t="s">
        <v>2398</v>
      </c>
      <c r="G1603" s="8634" t="s">
        <v>5145</v>
      </c>
      <c r="H1603" s="8634" t="s">
        <v>24</v>
      </c>
      <c r="I1603" s="8634" t="s">
        <v>809</v>
      </c>
    </row>
    <row customHeight="1" ht="11.25">
      <c r="A1604" s="8634" t="s">
        <v>2182</v>
      </c>
      <c r="B1604" s="8634" t="s">
        <v>14</v>
      </c>
      <c r="C1604" s="8634" t="s">
        <v>5155</v>
      </c>
      <c r="D1604" s="8634" t="s">
        <v>5156</v>
      </c>
      <c r="E1604" s="8634" t="s">
        <v>5157</v>
      </c>
      <c r="F1604" s="8634" t="s">
        <v>2512</v>
      </c>
      <c r="G1604" s="8634" t="s">
        <v>5158</v>
      </c>
      <c r="H1604" s="8634" t="s">
        <v>24</v>
      </c>
      <c r="I1604" s="8634" t="s">
        <v>809</v>
      </c>
    </row>
    <row customHeight="1" ht="11.25">
      <c r="A1605" s="8634" t="s">
        <v>2182</v>
      </c>
      <c r="B1605" s="8634" t="s">
        <v>14</v>
      </c>
      <c r="C1605" s="8634" t="s">
        <v>5169</v>
      </c>
      <c r="D1605" s="8634" t="s">
        <v>5170</v>
      </c>
      <c r="E1605" s="8634" t="s">
        <v>5171</v>
      </c>
      <c r="F1605" s="8634" t="s">
        <v>2788</v>
      </c>
      <c r="G1605" s="8634" t="s">
        <v>5172</v>
      </c>
      <c r="H1605" s="8634" t="s">
        <v>24</v>
      </c>
      <c r="I1605" s="8634" t="s">
        <v>809</v>
      </c>
    </row>
    <row customHeight="1" ht="11.25">
      <c r="A1606" s="8634" t="s">
        <v>2182</v>
      </c>
      <c r="B1606" s="8634" t="s">
        <v>14</v>
      </c>
      <c r="C1606" s="8634" t="s">
        <v>5173</v>
      </c>
      <c r="D1606" s="8634" t="s">
        <v>5174</v>
      </c>
      <c r="E1606" s="8634" t="s">
        <v>5171</v>
      </c>
      <c r="F1606" s="8634" t="s">
        <v>5175</v>
      </c>
      <c r="G1606" s="8634" t="s">
        <v>5176</v>
      </c>
      <c r="H1606" s="8634" t="s">
        <v>24</v>
      </c>
      <c r="I1606" s="8634" t="s">
        <v>809</v>
      </c>
    </row>
    <row customHeight="1" ht="11.25">
      <c r="A1607" s="8634" t="s">
        <v>2182</v>
      </c>
      <c r="B1607" s="8634" t="s">
        <v>14</v>
      </c>
      <c r="C1607" s="8634" t="s">
        <v>5177</v>
      </c>
      <c r="D1607" s="8634" t="s">
        <v>5178</v>
      </c>
      <c r="E1607" s="8634" t="s">
        <v>5179</v>
      </c>
      <c r="F1607" s="8634" t="s">
        <v>2245</v>
      </c>
      <c r="G1607" s="8634" t="s">
        <v>5180</v>
      </c>
      <c r="H1607" s="8634" t="s">
        <v>24</v>
      </c>
      <c r="I1607" s="8634" t="s">
        <v>809</v>
      </c>
    </row>
    <row customHeight="1" ht="11.25">
      <c r="A1608" s="8634" t="s">
        <v>2182</v>
      </c>
      <c r="B1608" s="8634" t="s">
        <v>14</v>
      </c>
      <c r="C1608" s="8634" t="s">
        <v>5183</v>
      </c>
      <c r="D1608" s="8634" t="s">
        <v>5184</v>
      </c>
      <c r="E1608" s="8634" t="s">
        <v>5185</v>
      </c>
      <c r="F1608" s="8634" t="s">
        <v>2398</v>
      </c>
      <c r="G1608" s="8634" t="s">
        <v>5186</v>
      </c>
      <c r="H1608" s="8634" t="s">
        <v>5187</v>
      </c>
      <c r="I1608" s="8634" t="s">
        <v>809</v>
      </c>
    </row>
    <row customHeight="1" ht="11.25">
      <c r="A1609" s="8634" t="s">
        <v>2182</v>
      </c>
      <c r="B1609" s="8634" t="s">
        <v>14</v>
      </c>
      <c r="C1609" s="8634" t="s">
        <v>5191</v>
      </c>
      <c r="D1609" s="8634" t="s">
        <v>5192</v>
      </c>
      <c r="E1609" s="8634" t="s">
        <v>5193</v>
      </c>
      <c r="F1609" s="8634" t="s">
        <v>2218</v>
      </c>
      <c r="G1609" s="8634" t="s">
        <v>5194</v>
      </c>
      <c r="H1609" s="8634" t="s">
        <v>24</v>
      </c>
      <c r="I1609" s="8634" t="s">
        <v>809</v>
      </c>
    </row>
    <row customHeight="1" ht="11.25">
      <c r="A1610" s="8634" t="s">
        <v>2182</v>
      </c>
      <c r="B1610" s="8634" t="s">
        <v>14</v>
      </c>
      <c r="C1610" s="8634" t="s">
        <v>5195</v>
      </c>
      <c r="D1610" s="8634" t="s">
        <v>5196</v>
      </c>
      <c r="E1610" s="8634" t="s">
        <v>5197</v>
      </c>
      <c r="F1610" s="8634" t="s">
        <v>2322</v>
      </c>
      <c r="G1610" s="8634" t="s">
        <v>5198</v>
      </c>
      <c r="H1610" s="8634" t="s">
        <v>24</v>
      </c>
      <c r="I1610" s="8634" t="s">
        <v>809</v>
      </c>
    </row>
    <row customHeight="1" ht="11.25">
      <c r="A1611" s="8634" t="s">
        <v>2182</v>
      </c>
      <c r="B1611" s="8634" t="s">
        <v>14</v>
      </c>
      <c r="C1611" s="8634" t="s">
        <v>5199</v>
      </c>
      <c r="D1611" s="8634" t="s">
        <v>5200</v>
      </c>
      <c r="E1611" s="8634" t="s">
        <v>5201</v>
      </c>
      <c r="F1611" s="8634" t="s">
        <v>2322</v>
      </c>
      <c r="G1611" s="8634" t="s">
        <v>5202</v>
      </c>
      <c r="H1611" s="8634" t="s">
        <v>2187</v>
      </c>
      <c r="I1611" s="8634" t="s">
        <v>809</v>
      </c>
    </row>
    <row customHeight="1" ht="11.25">
      <c r="A1612" s="8634" t="s">
        <v>2182</v>
      </c>
      <c r="B1612" s="8634" t="s">
        <v>14</v>
      </c>
      <c r="C1612" s="8634" t="s">
        <v>5203</v>
      </c>
      <c r="D1612" s="8634" t="s">
        <v>5204</v>
      </c>
      <c r="E1612" s="8634" t="s">
        <v>5205</v>
      </c>
      <c r="F1612" s="8634" t="s">
        <v>3278</v>
      </c>
      <c r="G1612" s="8634" t="s">
        <v>24</v>
      </c>
      <c r="H1612" s="8634" t="s">
        <v>5206</v>
      </c>
      <c r="I1612" s="8634" t="s">
        <v>809</v>
      </c>
    </row>
    <row customHeight="1" ht="11.25">
      <c r="A1613" s="8634" t="s">
        <v>2182</v>
      </c>
      <c r="B1613" s="8634" t="s">
        <v>14</v>
      </c>
      <c r="C1613" s="8634" t="s">
        <v>6362</v>
      </c>
      <c r="D1613" s="8634" t="s">
        <v>6363</v>
      </c>
      <c r="E1613" s="8634" t="s">
        <v>6364</v>
      </c>
      <c r="F1613" s="8634" t="s">
        <v>2245</v>
      </c>
      <c r="G1613" s="8634" t="s">
        <v>24</v>
      </c>
      <c r="H1613" s="8634" t="s">
        <v>2187</v>
      </c>
      <c r="I1613" s="8634" t="s">
        <v>809</v>
      </c>
    </row>
    <row customHeight="1" ht="11.25">
      <c r="A1614" s="8634" t="s">
        <v>2182</v>
      </c>
      <c r="B1614" s="8634" t="s">
        <v>14</v>
      </c>
      <c r="C1614" s="8634" t="s">
        <v>5214</v>
      </c>
      <c r="D1614" s="8634" t="s">
        <v>5215</v>
      </c>
      <c r="E1614" s="8634" t="s">
        <v>5216</v>
      </c>
      <c r="F1614" s="8634" t="s">
        <v>2186</v>
      </c>
      <c r="G1614" s="8634" t="s">
        <v>24</v>
      </c>
      <c r="H1614" s="8634" t="s">
        <v>24</v>
      </c>
      <c r="I1614" s="8634" t="s">
        <v>809</v>
      </c>
    </row>
    <row customHeight="1" ht="11.25">
      <c r="A1615" s="8634" t="s">
        <v>2182</v>
      </c>
      <c r="B1615" s="8634" t="s">
        <v>14</v>
      </c>
      <c r="C1615" s="8634" t="s">
        <v>5217</v>
      </c>
      <c r="D1615" s="8634" t="s">
        <v>5218</v>
      </c>
      <c r="E1615" s="8634" t="s">
        <v>5219</v>
      </c>
      <c r="F1615" s="8634" t="s">
        <v>2721</v>
      </c>
      <c r="G1615" s="8634" t="s">
        <v>5220</v>
      </c>
      <c r="H1615" s="8634" t="s">
        <v>24</v>
      </c>
      <c r="I1615" s="8634" t="s">
        <v>809</v>
      </c>
    </row>
    <row customHeight="1" ht="11.25">
      <c r="A1616" s="8634" t="s">
        <v>2182</v>
      </c>
      <c r="B1616" s="8634" t="s">
        <v>14</v>
      </c>
      <c r="C1616" s="8634" t="s">
        <v>5221</v>
      </c>
      <c r="D1616" s="8634" t="s">
        <v>5222</v>
      </c>
      <c r="E1616" s="8634" t="s">
        <v>5223</v>
      </c>
      <c r="F1616" s="8634" t="s">
        <v>2228</v>
      </c>
      <c r="G1616" s="8634" t="s">
        <v>5224</v>
      </c>
      <c r="H1616" s="8634" t="s">
        <v>24</v>
      </c>
      <c r="I1616" s="8634" t="s">
        <v>809</v>
      </c>
    </row>
    <row customHeight="1" ht="11.25">
      <c r="A1617" s="8634" t="s">
        <v>2182</v>
      </c>
      <c r="B1617" s="8634" t="s">
        <v>14</v>
      </c>
      <c r="C1617" s="8634" t="s">
        <v>5225</v>
      </c>
      <c r="D1617" s="8634" t="s">
        <v>5226</v>
      </c>
      <c r="E1617" s="8634" t="s">
        <v>5227</v>
      </c>
      <c r="F1617" s="8634" t="s">
        <v>2948</v>
      </c>
      <c r="G1617" s="8634" t="s">
        <v>24</v>
      </c>
      <c r="H1617" s="8634" t="s">
        <v>24</v>
      </c>
      <c r="I1617" s="8634" t="s">
        <v>809</v>
      </c>
    </row>
    <row customHeight="1" ht="11.25">
      <c r="A1618" s="8634" t="s">
        <v>2182</v>
      </c>
      <c r="B1618" s="8634" t="s">
        <v>14</v>
      </c>
      <c r="C1618" s="8634" t="s">
        <v>5232</v>
      </c>
      <c r="D1618" s="8634" t="s">
        <v>5233</v>
      </c>
      <c r="E1618" s="8634" t="s">
        <v>5234</v>
      </c>
      <c r="F1618" s="8634" t="s">
        <v>5235</v>
      </c>
      <c r="G1618" s="8634" t="s">
        <v>5236</v>
      </c>
      <c r="H1618" s="8634" t="s">
        <v>24</v>
      </c>
      <c r="I1618" s="8634" t="s">
        <v>809</v>
      </c>
    </row>
    <row customHeight="1" ht="11.25">
      <c r="A1619" s="8634" t="s">
        <v>2182</v>
      </c>
      <c r="B1619" s="8634" t="s">
        <v>14</v>
      </c>
      <c r="C1619" s="8634" t="s">
        <v>5242</v>
      </c>
      <c r="D1619" s="8634" t="s">
        <v>5243</v>
      </c>
      <c r="E1619" s="8634" t="s">
        <v>5244</v>
      </c>
      <c r="F1619" s="8634" t="s">
        <v>2600</v>
      </c>
      <c r="G1619" s="8634" t="s">
        <v>5245</v>
      </c>
      <c r="H1619" s="8634" t="s">
        <v>24</v>
      </c>
      <c r="I1619" s="8634" t="s">
        <v>809</v>
      </c>
    </row>
    <row customHeight="1" ht="11.25">
      <c r="A1620" s="8634" t="s">
        <v>2182</v>
      </c>
      <c r="B1620" s="8634" t="s">
        <v>14</v>
      </c>
      <c r="C1620" s="8634" t="s">
        <v>5246</v>
      </c>
      <c r="D1620" s="8634" t="s">
        <v>5247</v>
      </c>
      <c r="E1620" s="8634" t="s">
        <v>5248</v>
      </c>
      <c r="F1620" s="8634" t="s">
        <v>2233</v>
      </c>
      <c r="G1620" s="8634" t="s">
        <v>24</v>
      </c>
      <c r="H1620" s="8634" t="s">
        <v>24</v>
      </c>
      <c r="I1620" s="8634" t="s">
        <v>809</v>
      </c>
    </row>
    <row customHeight="1" ht="11.25">
      <c r="A1621" s="8634" t="s">
        <v>2182</v>
      </c>
      <c r="B1621" s="8634" t="s">
        <v>14</v>
      </c>
      <c r="C1621" s="8634" t="s">
        <v>5257</v>
      </c>
      <c r="D1621" s="8634" t="s">
        <v>5258</v>
      </c>
      <c r="E1621" s="8634" t="s">
        <v>5259</v>
      </c>
      <c r="F1621" s="8634" t="s">
        <v>2300</v>
      </c>
      <c r="G1621" s="8634" t="s">
        <v>24</v>
      </c>
      <c r="H1621" s="8634" t="s">
        <v>24</v>
      </c>
      <c r="I1621" s="8634" t="s">
        <v>809</v>
      </c>
    </row>
    <row customHeight="1" ht="11.25">
      <c r="A1622" s="8634" t="s">
        <v>2182</v>
      </c>
      <c r="B1622" s="8634" t="s">
        <v>14</v>
      </c>
      <c r="C1622" s="8634" t="s">
        <v>5263</v>
      </c>
      <c r="D1622" s="8634" t="s">
        <v>5264</v>
      </c>
      <c r="E1622" s="8634" t="s">
        <v>5265</v>
      </c>
      <c r="F1622" s="8634" t="s">
        <v>2233</v>
      </c>
      <c r="G1622" s="8634" t="s">
        <v>24</v>
      </c>
      <c r="H1622" s="8634" t="s">
        <v>24</v>
      </c>
      <c r="I1622" s="8634" t="s">
        <v>809</v>
      </c>
    </row>
    <row customHeight="1" ht="11.25">
      <c r="A1623" s="8634" t="s">
        <v>2182</v>
      </c>
      <c r="B1623" s="8634" t="s">
        <v>14</v>
      </c>
      <c r="C1623" s="8634" t="s">
        <v>5266</v>
      </c>
      <c r="D1623" s="8634" t="s">
        <v>5267</v>
      </c>
      <c r="E1623" s="8634" t="s">
        <v>5268</v>
      </c>
      <c r="F1623" s="8634" t="s">
        <v>2447</v>
      </c>
      <c r="G1623" s="8634" t="s">
        <v>24</v>
      </c>
      <c r="H1623" s="8634" t="s">
        <v>2697</v>
      </c>
      <c r="I1623" s="8634" t="s">
        <v>809</v>
      </c>
    </row>
    <row customHeight="1" ht="11.25">
      <c r="A1624" s="8634" t="s">
        <v>2182</v>
      </c>
      <c r="B1624" s="8634" t="s">
        <v>14</v>
      </c>
      <c r="C1624" s="8634" t="s">
        <v>5269</v>
      </c>
      <c r="D1624" s="8634" t="s">
        <v>5270</v>
      </c>
      <c r="E1624" s="8634" t="s">
        <v>5271</v>
      </c>
      <c r="F1624" s="8634" t="s">
        <v>2322</v>
      </c>
      <c r="G1624" s="8634" t="s">
        <v>5272</v>
      </c>
      <c r="H1624" s="8634" t="s">
        <v>2187</v>
      </c>
      <c r="I1624" s="8634" t="s">
        <v>809</v>
      </c>
    </row>
    <row customHeight="1" ht="11.25">
      <c r="A1625" s="8634" t="s">
        <v>2182</v>
      </c>
      <c r="B1625" s="8634" t="s">
        <v>14</v>
      </c>
      <c r="C1625" s="8634" t="s">
        <v>5273</v>
      </c>
      <c r="D1625" s="8634" t="s">
        <v>5274</v>
      </c>
      <c r="E1625" s="8634" t="s">
        <v>5275</v>
      </c>
      <c r="F1625" s="8634" t="s">
        <v>2322</v>
      </c>
      <c r="G1625" s="8634" t="s">
        <v>5276</v>
      </c>
      <c r="H1625" s="8634" t="s">
        <v>2187</v>
      </c>
      <c r="I1625" s="8634" t="s">
        <v>809</v>
      </c>
    </row>
    <row customHeight="1" ht="11.25">
      <c r="A1626" s="8634" t="s">
        <v>2182</v>
      </c>
      <c r="B1626" s="8634" t="s">
        <v>14</v>
      </c>
      <c r="C1626" s="8634" t="s">
        <v>5277</v>
      </c>
      <c r="D1626" s="8634" t="s">
        <v>5278</v>
      </c>
      <c r="E1626" s="8634" t="s">
        <v>5279</v>
      </c>
      <c r="F1626" s="8634" t="s">
        <v>4570</v>
      </c>
      <c r="G1626" s="8634" t="s">
        <v>5280</v>
      </c>
      <c r="H1626" s="8634" t="s">
        <v>24</v>
      </c>
      <c r="I1626" s="8634" t="s">
        <v>809</v>
      </c>
    </row>
    <row customHeight="1" ht="11.25">
      <c r="A1627" s="8634" t="s">
        <v>2182</v>
      </c>
      <c r="B1627" s="8634" t="s">
        <v>14</v>
      </c>
      <c r="C1627" s="8634" t="s">
        <v>5281</v>
      </c>
      <c r="D1627" s="8634" t="s">
        <v>5282</v>
      </c>
      <c r="E1627" s="8634" t="s">
        <v>5283</v>
      </c>
      <c r="F1627" s="8634" t="s">
        <v>5284</v>
      </c>
      <c r="G1627" s="8634" t="s">
        <v>24</v>
      </c>
      <c r="H1627" s="8634" t="s">
        <v>24</v>
      </c>
      <c r="I1627" s="8634" t="s">
        <v>809</v>
      </c>
    </row>
    <row customHeight="1" ht="11.25">
      <c r="A1628" s="8634" t="s">
        <v>2182</v>
      </c>
      <c r="B1628" s="8634" t="s">
        <v>14</v>
      </c>
      <c r="C1628" s="8634" t="s">
        <v>5285</v>
      </c>
      <c r="D1628" s="8634" t="s">
        <v>5286</v>
      </c>
      <c r="E1628" s="8634" t="s">
        <v>5287</v>
      </c>
      <c r="F1628" s="8634" t="s">
        <v>2218</v>
      </c>
      <c r="G1628" s="8634" t="s">
        <v>5231</v>
      </c>
      <c r="H1628" s="8634" t="s">
        <v>24</v>
      </c>
      <c r="I1628" s="8634" t="s">
        <v>809</v>
      </c>
    </row>
    <row customHeight="1" ht="11.25">
      <c r="A1629" s="8634" t="s">
        <v>2182</v>
      </c>
      <c r="B1629" s="8634" t="s">
        <v>14</v>
      </c>
      <c r="C1629" s="8634" t="s">
        <v>5288</v>
      </c>
      <c r="D1629" s="8634" t="s">
        <v>5289</v>
      </c>
      <c r="E1629" s="8634" t="s">
        <v>5290</v>
      </c>
      <c r="F1629" s="8634" t="s">
        <v>3295</v>
      </c>
      <c r="G1629" s="8634" t="s">
        <v>5291</v>
      </c>
      <c r="H1629" s="8634" t="s">
        <v>24</v>
      </c>
      <c r="I1629" s="8634" t="s">
        <v>809</v>
      </c>
    </row>
    <row customHeight="1" ht="11.25">
      <c r="A1630" s="8634" t="s">
        <v>2182</v>
      </c>
      <c r="B1630" s="8634" t="s">
        <v>14</v>
      </c>
      <c r="C1630" s="8634" t="s">
        <v>5292</v>
      </c>
      <c r="D1630" s="8634" t="s">
        <v>5293</v>
      </c>
      <c r="E1630" s="8634" t="s">
        <v>5294</v>
      </c>
      <c r="F1630" s="8634" t="s">
        <v>2600</v>
      </c>
      <c r="G1630" s="8634" t="s">
        <v>5295</v>
      </c>
      <c r="H1630" s="8634" t="s">
        <v>2187</v>
      </c>
      <c r="I1630" s="8634" t="s">
        <v>809</v>
      </c>
    </row>
    <row customHeight="1" ht="11.25">
      <c r="A1631" s="8634" t="s">
        <v>2182</v>
      </c>
      <c r="B1631" s="8634" t="s">
        <v>14</v>
      </c>
      <c r="C1631" s="8634" t="s">
        <v>5299</v>
      </c>
      <c r="D1631" s="8634" t="s">
        <v>5300</v>
      </c>
      <c r="E1631" s="8634" t="s">
        <v>5301</v>
      </c>
      <c r="F1631" s="8634" t="s">
        <v>5302</v>
      </c>
      <c r="G1631" s="8634" t="s">
        <v>5303</v>
      </c>
      <c r="H1631" s="8634" t="s">
        <v>24</v>
      </c>
      <c r="I1631" s="8634" t="s">
        <v>809</v>
      </c>
    </row>
    <row customHeight="1" ht="11.25">
      <c r="A1632" s="8634" t="s">
        <v>2182</v>
      </c>
      <c r="B1632" s="8634" t="s">
        <v>14</v>
      </c>
      <c r="C1632" s="8634" t="s">
        <v>5304</v>
      </c>
      <c r="D1632" s="8634" t="s">
        <v>5305</v>
      </c>
      <c r="E1632" s="8634" t="s">
        <v>5306</v>
      </c>
      <c r="F1632" s="8634" t="s">
        <v>2721</v>
      </c>
      <c r="G1632" s="8634" t="s">
        <v>24</v>
      </c>
      <c r="H1632" s="8634" t="s">
        <v>2187</v>
      </c>
      <c r="I1632" s="8634" t="s">
        <v>809</v>
      </c>
    </row>
    <row customHeight="1" ht="11.25">
      <c r="A1633" s="8634" t="s">
        <v>2182</v>
      </c>
      <c r="B1633" s="8634" t="s">
        <v>14</v>
      </c>
      <c r="C1633" s="8634" t="s">
        <v>5310</v>
      </c>
      <c r="D1633" s="8634" t="s">
        <v>5308</v>
      </c>
      <c r="E1633" s="8634" t="s">
        <v>5311</v>
      </c>
      <c r="F1633" s="8634" t="s">
        <v>2250</v>
      </c>
      <c r="G1633" s="8634" t="s">
        <v>24</v>
      </c>
      <c r="H1633" s="8634" t="s">
        <v>24</v>
      </c>
      <c r="I1633" s="8634" t="s">
        <v>809</v>
      </c>
    </row>
    <row customHeight="1" ht="11.25">
      <c r="A1634" s="8634" t="s">
        <v>2182</v>
      </c>
      <c r="B1634" s="8634" t="s">
        <v>14</v>
      </c>
      <c r="C1634" s="8634" t="s">
        <v>5312</v>
      </c>
      <c r="D1634" s="8634" t="s">
        <v>5313</v>
      </c>
      <c r="E1634" s="8634" t="s">
        <v>5314</v>
      </c>
      <c r="F1634" s="8634" t="s">
        <v>2213</v>
      </c>
      <c r="G1634" s="8634" t="s">
        <v>5315</v>
      </c>
      <c r="H1634" s="8634" t="s">
        <v>24</v>
      </c>
      <c r="I1634" s="8634" t="s">
        <v>809</v>
      </c>
    </row>
    <row customHeight="1" ht="11.25">
      <c r="A1635" s="8634" t="s">
        <v>2182</v>
      </c>
      <c r="B1635" s="8634" t="s">
        <v>14</v>
      </c>
      <c r="C1635" s="8634" t="s">
        <v>6365</v>
      </c>
      <c r="D1635" s="8634" t="s">
        <v>6366</v>
      </c>
      <c r="E1635" s="8634" t="s">
        <v>6367</v>
      </c>
      <c r="F1635" s="8634" t="s">
        <v>2228</v>
      </c>
      <c r="G1635" s="8634" t="s">
        <v>24</v>
      </c>
      <c r="H1635" s="8634" t="s">
        <v>2187</v>
      </c>
      <c r="I1635" s="8634" t="s">
        <v>809</v>
      </c>
    </row>
    <row customHeight="1" ht="11.25">
      <c r="A1636" s="8634" t="s">
        <v>2182</v>
      </c>
      <c r="B1636" s="8634" t="s">
        <v>14</v>
      </c>
      <c r="C1636" s="8634" t="s">
        <v>5320</v>
      </c>
      <c r="D1636" s="8634" t="s">
        <v>5321</v>
      </c>
      <c r="E1636" s="8634" t="s">
        <v>5322</v>
      </c>
      <c r="F1636" s="8634" t="s">
        <v>2279</v>
      </c>
      <c r="G1636" s="8634" t="s">
        <v>24</v>
      </c>
      <c r="H1636" s="8634" t="s">
        <v>24</v>
      </c>
      <c r="I1636" s="8634" t="s">
        <v>809</v>
      </c>
    </row>
    <row customHeight="1" ht="11.25">
      <c r="A1637" s="8634" t="s">
        <v>2182</v>
      </c>
      <c r="B1637" s="8634" t="s">
        <v>14</v>
      </c>
      <c r="C1637" s="8634" t="s">
        <v>5323</v>
      </c>
      <c r="D1637" s="8634" t="s">
        <v>5324</v>
      </c>
      <c r="E1637" s="8634" t="s">
        <v>5325</v>
      </c>
      <c r="F1637" s="8634" t="s">
        <v>2228</v>
      </c>
      <c r="G1637" s="8634" t="s">
        <v>3982</v>
      </c>
      <c r="H1637" s="8634" t="s">
        <v>24</v>
      </c>
      <c r="I1637" s="8634" t="s">
        <v>809</v>
      </c>
    </row>
    <row customHeight="1" ht="11.25">
      <c r="A1638" s="8634" t="s">
        <v>2182</v>
      </c>
      <c r="B1638" s="8634" t="s">
        <v>14</v>
      </c>
      <c r="C1638" s="8634" t="s">
        <v>6368</v>
      </c>
      <c r="D1638" s="8634" t="s">
        <v>6369</v>
      </c>
      <c r="E1638" s="8634" t="s">
        <v>6370</v>
      </c>
      <c r="F1638" s="8634" t="s">
        <v>2228</v>
      </c>
      <c r="G1638" s="8634" t="s">
        <v>24</v>
      </c>
      <c r="H1638" s="8634" t="s">
        <v>2187</v>
      </c>
      <c r="I1638" s="8634" t="s">
        <v>809</v>
      </c>
    </row>
    <row customHeight="1" ht="11.25">
      <c r="A1639" s="8634" t="s">
        <v>2182</v>
      </c>
      <c r="B1639" s="8634" t="s">
        <v>14</v>
      </c>
      <c r="C1639" s="8634" t="s">
        <v>5326</v>
      </c>
      <c r="D1639" s="8634" t="s">
        <v>5327</v>
      </c>
      <c r="E1639" s="8634" t="s">
        <v>5328</v>
      </c>
      <c r="F1639" s="8634" t="s">
        <v>2213</v>
      </c>
      <c r="G1639" s="8634" t="s">
        <v>24</v>
      </c>
      <c r="H1639" s="8634" t="s">
        <v>24</v>
      </c>
      <c r="I1639" s="8634" t="s">
        <v>809</v>
      </c>
    </row>
    <row customHeight="1" ht="11.25">
      <c r="A1640" s="8634" t="s">
        <v>2182</v>
      </c>
      <c r="B1640" s="8634" t="s">
        <v>14</v>
      </c>
      <c r="C1640" s="8634" t="s">
        <v>5340</v>
      </c>
      <c r="D1640" s="8634" t="s">
        <v>5341</v>
      </c>
      <c r="E1640" s="8634" t="s">
        <v>5342</v>
      </c>
      <c r="F1640" s="8634" t="s">
        <v>2600</v>
      </c>
      <c r="G1640" s="8634" t="s">
        <v>24</v>
      </c>
      <c r="H1640" s="8634" t="s">
        <v>2993</v>
      </c>
      <c r="I1640" s="8634" t="s">
        <v>809</v>
      </c>
    </row>
    <row customHeight="1" ht="11.25">
      <c r="A1641" s="8634" t="s">
        <v>2182</v>
      </c>
      <c r="B1641" s="8634" t="s">
        <v>14</v>
      </c>
      <c r="C1641" s="8634" t="s">
        <v>5343</v>
      </c>
      <c r="D1641" s="8634" t="s">
        <v>5344</v>
      </c>
      <c r="E1641" s="8634" t="s">
        <v>5345</v>
      </c>
      <c r="F1641" s="8634" t="s">
        <v>2600</v>
      </c>
      <c r="G1641" s="8634" t="s">
        <v>24</v>
      </c>
      <c r="H1641" s="8634" t="s">
        <v>2697</v>
      </c>
      <c r="I1641" s="8634" t="s">
        <v>809</v>
      </c>
    </row>
    <row customHeight="1" ht="11.25">
      <c r="A1642" s="8634" t="s">
        <v>2182</v>
      </c>
      <c r="B1642" s="8634" t="s">
        <v>14</v>
      </c>
      <c r="C1642" s="8634" t="s">
        <v>5349</v>
      </c>
      <c r="D1642" s="8634" t="s">
        <v>5350</v>
      </c>
      <c r="E1642" s="8634" t="s">
        <v>5351</v>
      </c>
      <c r="F1642" s="8634" t="s">
        <v>2477</v>
      </c>
      <c r="G1642" s="8634" t="s">
        <v>24</v>
      </c>
      <c r="H1642" s="8634" t="s">
        <v>5352</v>
      </c>
      <c r="I1642" s="8634" t="s">
        <v>809</v>
      </c>
    </row>
    <row customHeight="1" ht="11.25">
      <c r="A1643" s="8634" t="s">
        <v>2182</v>
      </c>
      <c r="B1643" s="8634" t="s">
        <v>14</v>
      </c>
      <c r="C1643" s="8634" t="s">
        <v>5353</v>
      </c>
      <c r="D1643" s="8634" t="s">
        <v>5354</v>
      </c>
      <c r="E1643" s="8634" t="s">
        <v>5355</v>
      </c>
      <c r="F1643" s="8634" t="s">
        <v>2600</v>
      </c>
      <c r="G1643" s="8634" t="s">
        <v>24</v>
      </c>
      <c r="H1643" s="8634" t="s">
        <v>2993</v>
      </c>
      <c r="I1643" s="8634" t="s">
        <v>809</v>
      </c>
    </row>
    <row customHeight="1" ht="11.25">
      <c r="A1644" s="8634" t="s">
        <v>2182</v>
      </c>
      <c r="B1644" s="8634" t="s">
        <v>14</v>
      </c>
      <c r="C1644" s="8634" t="s">
        <v>5360</v>
      </c>
      <c r="D1644" s="8634" t="s">
        <v>5361</v>
      </c>
      <c r="E1644" s="8634" t="s">
        <v>5362</v>
      </c>
      <c r="F1644" s="8634" t="s">
        <v>2334</v>
      </c>
      <c r="G1644" s="8634" t="s">
        <v>24</v>
      </c>
      <c r="H1644" s="8634" t="s">
        <v>5363</v>
      </c>
      <c r="I1644" s="8634" t="s">
        <v>809</v>
      </c>
    </row>
    <row customHeight="1" ht="11.25">
      <c r="A1645" s="8634" t="s">
        <v>2182</v>
      </c>
      <c r="B1645" s="8634" t="s">
        <v>14</v>
      </c>
      <c r="C1645" s="8634" t="s">
        <v>5368</v>
      </c>
      <c r="D1645" s="8634" t="s">
        <v>5369</v>
      </c>
      <c r="E1645" s="8634" t="s">
        <v>5370</v>
      </c>
      <c r="F1645" s="8634" t="s">
        <v>2228</v>
      </c>
      <c r="G1645" s="8634" t="s">
        <v>24</v>
      </c>
      <c r="H1645" s="8634" t="s">
        <v>24</v>
      </c>
      <c r="I1645" s="8634" t="s">
        <v>809</v>
      </c>
    </row>
    <row customHeight="1" ht="11.25">
      <c r="A1646" s="8634" t="s">
        <v>2182</v>
      </c>
      <c r="B1646" s="8634" t="s">
        <v>14</v>
      </c>
      <c r="C1646" s="8634" t="s">
        <v>5371</v>
      </c>
      <c r="D1646" s="8634" t="s">
        <v>5372</v>
      </c>
      <c r="E1646" s="8634" t="s">
        <v>5373</v>
      </c>
      <c r="F1646" s="8634" t="s">
        <v>5367</v>
      </c>
      <c r="G1646" s="8634" t="s">
        <v>5374</v>
      </c>
      <c r="H1646" s="8634" t="s">
        <v>24</v>
      </c>
      <c r="I1646" s="8634" t="s">
        <v>809</v>
      </c>
    </row>
    <row customHeight="1" ht="11.25">
      <c r="A1647" s="8634" t="s">
        <v>2182</v>
      </c>
      <c r="B1647" s="8634" t="s">
        <v>14</v>
      </c>
      <c r="C1647" s="8634" t="s">
        <v>5383</v>
      </c>
      <c r="D1647" s="8634" t="s">
        <v>5384</v>
      </c>
      <c r="E1647" s="8634" t="s">
        <v>5385</v>
      </c>
      <c r="F1647" s="8634" t="s">
        <v>5386</v>
      </c>
      <c r="G1647" s="8634" t="s">
        <v>3559</v>
      </c>
      <c r="H1647" s="8634" t="s">
        <v>24</v>
      </c>
      <c r="I1647" s="8634" t="s">
        <v>809</v>
      </c>
    </row>
    <row customHeight="1" ht="11.25">
      <c r="A1648" s="8634" t="s">
        <v>2182</v>
      </c>
      <c r="B1648" s="8634" t="s">
        <v>14</v>
      </c>
      <c r="C1648" s="8634" t="s">
        <v>5387</v>
      </c>
      <c r="D1648" s="8634" t="s">
        <v>5388</v>
      </c>
      <c r="E1648" s="8634" t="s">
        <v>5389</v>
      </c>
      <c r="F1648" s="8634" t="s">
        <v>4717</v>
      </c>
      <c r="G1648" s="8634" t="s">
        <v>5390</v>
      </c>
      <c r="H1648" s="8634" t="s">
        <v>2187</v>
      </c>
      <c r="I1648" s="8634" t="s">
        <v>809</v>
      </c>
    </row>
    <row customHeight="1" ht="11.25">
      <c r="A1649" s="8634" t="s">
        <v>2182</v>
      </c>
      <c r="B1649" s="8634" t="s">
        <v>14</v>
      </c>
      <c r="C1649" s="8634" t="s">
        <v>5391</v>
      </c>
      <c r="D1649" s="8634" t="s">
        <v>5392</v>
      </c>
      <c r="E1649" s="8634" t="s">
        <v>5393</v>
      </c>
      <c r="F1649" s="8634" t="s">
        <v>3295</v>
      </c>
      <c r="G1649" s="8634" t="s">
        <v>5394</v>
      </c>
      <c r="H1649" s="8634" t="s">
        <v>24</v>
      </c>
      <c r="I1649" s="8634" t="s">
        <v>809</v>
      </c>
    </row>
    <row customHeight="1" ht="11.25">
      <c r="A1650" s="8634" t="s">
        <v>2182</v>
      </c>
      <c r="B1650" s="8634" t="s">
        <v>14</v>
      </c>
      <c r="C1650" s="8634" t="s">
        <v>5407</v>
      </c>
      <c r="D1650" s="8634" t="s">
        <v>5408</v>
      </c>
      <c r="E1650" s="8634" t="s">
        <v>5409</v>
      </c>
      <c r="F1650" s="8634" t="s">
        <v>2600</v>
      </c>
      <c r="G1650" s="8634" t="s">
        <v>5410</v>
      </c>
      <c r="H1650" s="8634" t="s">
        <v>24</v>
      </c>
      <c r="I1650" s="8634" t="s">
        <v>809</v>
      </c>
    </row>
    <row customHeight="1" ht="11.25">
      <c r="A1651" s="8634" t="s">
        <v>2182</v>
      </c>
      <c r="B1651" s="8634" t="s">
        <v>14</v>
      </c>
      <c r="C1651" s="8634" t="s">
        <v>5411</v>
      </c>
      <c r="D1651" s="8634" t="s">
        <v>5412</v>
      </c>
      <c r="E1651" s="8634" t="s">
        <v>5413</v>
      </c>
      <c r="F1651" s="8634" t="s">
        <v>2339</v>
      </c>
      <c r="G1651" s="8634" t="s">
        <v>5414</v>
      </c>
      <c r="H1651" s="8634" t="s">
        <v>24</v>
      </c>
      <c r="I1651" s="8634" t="s">
        <v>809</v>
      </c>
    </row>
    <row customHeight="1" ht="11.25">
      <c r="A1652" s="8634" t="s">
        <v>2182</v>
      </c>
      <c r="B1652" s="8634" t="s">
        <v>14</v>
      </c>
      <c r="C1652" s="8634" t="s">
        <v>5419</v>
      </c>
      <c r="D1652" s="8634" t="s">
        <v>5420</v>
      </c>
      <c r="E1652" s="8634" t="s">
        <v>5421</v>
      </c>
      <c r="F1652" s="8634" t="s">
        <v>2411</v>
      </c>
      <c r="G1652" s="8634" t="s">
        <v>24</v>
      </c>
      <c r="H1652" s="8634" t="s">
        <v>2187</v>
      </c>
      <c r="I1652" s="8634" t="s">
        <v>809</v>
      </c>
    </row>
    <row customHeight="1" ht="11.25">
      <c r="A1653" s="8634" t="s">
        <v>2182</v>
      </c>
      <c r="B1653" s="8634" t="s">
        <v>14</v>
      </c>
      <c r="C1653" s="8634" t="s">
        <v>5422</v>
      </c>
      <c r="D1653" s="8634" t="s">
        <v>5423</v>
      </c>
      <c r="E1653" s="8634" t="s">
        <v>5424</v>
      </c>
      <c r="F1653" s="8634" t="s">
        <v>2721</v>
      </c>
      <c r="G1653" s="8634" t="s">
        <v>24</v>
      </c>
      <c r="H1653" s="8634" t="s">
        <v>2187</v>
      </c>
      <c r="I1653" s="8634" t="s">
        <v>809</v>
      </c>
    </row>
    <row customHeight="1" ht="11.25">
      <c r="A1654" s="8634" t="s">
        <v>2182</v>
      </c>
      <c r="B1654" s="8634" t="s">
        <v>14</v>
      </c>
      <c r="C1654" s="8634" t="s">
        <v>5425</v>
      </c>
      <c r="D1654" s="8634" t="s">
        <v>5426</v>
      </c>
      <c r="E1654" s="8634" t="s">
        <v>5427</v>
      </c>
      <c r="F1654" s="8634" t="s">
        <v>2269</v>
      </c>
      <c r="G1654" s="8634" t="s">
        <v>5428</v>
      </c>
      <c r="H1654" s="8634" t="s">
        <v>24</v>
      </c>
      <c r="I1654" s="8634" t="s">
        <v>809</v>
      </c>
    </row>
    <row customHeight="1" ht="11.25">
      <c r="A1655" s="8634" t="s">
        <v>2182</v>
      </c>
      <c r="B1655" s="8634" t="s">
        <v>14</v>
      </c>
      <c r="C1655" s="8634" t="s">
        <v>5429</v>
      </c>
      <c r="D1655" s="8634" t="s">
        <v>5430</v>
      </c>
      <c r="E1655" s="8634" t="s">
        <v>5431</v>
      </c>
      <c r="F1655" s="8634" t="s">
        <v>2322</v>
      </c>
      <c r="G1655" s="8634" t="s">
        <v>5432</v>
      </c>
      <c r="H1655" s="8634" t="s">
        <v>2187</v>
      </c>
      <c r="I1655" s="8634" t="s">
        <v>809</v>
      </c>
    </row>
    <row customHeight="1" ht="11.25">
      <c r="A1656" s="8634" t="s">
        <v>2182</v>
      </c>
      <c r="B1656" s="8634" t="s">
        <v>14</v>
      </c>
      <c r="C1656" s="8634" t="s">
        <v>5433</v>
      </c>
      <c r="D1656" s="8634" t="s">
        <v>5434</v>
      </c>
      <c r="E1656" s="8634" t="s">
        <v>5435</v>
      </c>
      <c r="F1656" s="8634" t="s">
        <v>2213</v>
      </c>
      <c r="G1656" s="8634" t="s">
        <v>5436</v>
      </c>
      <c r="H1656" s="8634" t="s">
        <v>24</v>
      </c>
      <c r="I1656" s="8634" t="s">
        <v>809</v>
      </c>
    </row>
    <row customHeight="1" ht="11.25">
      <c r="A1657" s="8634" t="s">
        <v>2182</v>
      </c>
      <c r="B1657" s="8634" t="s">
        <v>14</v>
      </c>
      <c r="C1657" s="8634" t="s">
        <v>5441</v>
      </c>
      <c r="D1657" s="8634" t="s">
        <v>5442</v>
      </c>
      <c r="E1657" s="8634" t="s">
        <v>5443</v>
      </c>
      <c r="F1657" s="8634" t="s">
        <v>4717</v>
      </c>
      <c r="G1657" s="8634" t="s">
        <v>5444</v>
      </c>
      <c r="H1657" s="8634" t="s">
        <v>5445</v>
      </c>
      <c r="I1657" s="8634" t="s">
        <v>809</v>
      </c>
    </row>
    <row customHeight="1" ht="11.25">
      <c r="A1658" s="8634" t="s">
        <v>2182</v>
      </c>
      <c r="B1658" s="8634" t="s">
        <v>14</v>
      </c>
      <c r="C1658" s="8634" t="s">
        <v>5460</v>
      </c>
      <c r="D1658" s="8634" t="s">
        <v>5461</v>
      </c>
      <c r="E1658" s="8634" t="s">
        <v>5462</v>
      </c>
      <c r="F1658" s="8634" t="s">
        <v>2976</v>
      </c>
      <c r="G1658" s="8634" t="s">
        <v>24</v>
      </c>
      <c r="H1658" s="8634" t="s">
        <v>2697</v>
      </c>
      <c r="I1658" s="8634" t="s">
        <v>809</v>
      </c>
    </row>
    <row customHeight="1" ht="11.25">
      <c r="A1659" s="8634" t="s">
        <v>2182</v>
      </c>
      <c r="B1659" s="8634" t="s">
        <v>14</v>
      </c>
      <c r="C1659" s="8634" t="s">
        <v>6371</v>
      </c>
      <c r="D1659" s="8634" t="s">
        <v>5464</v>
      </c>
      <c r="E1659" s="8634" t="s">
        <v>6372</v>
      </c>
      <c r="F1659" s="8634" t="s">
        <v>2349</v>
      </c>
      <c r="G1659" s="8634" t="s">
        <v>24</v>
      </c>
      <c r="H1659" s="8634" t="s">
        <v>24</v>
      </c>
      <c r="I1659" s="8634" t="s">
        <v>809</v>
      </c>
    </row>
    <row customHeight="1" ht="11.25">
      <c r="A1660" s="8634" t="s">
        <v>2182</v>
      </c>
      <c r="B1660" s="8634" t="s">
        <v>14</v>
      </c>
      <c r="C1660" s="8634" t="s">
        <v>5468</v>
      </c>
      <c r="D1660" s="8634" t="s">
        <v>5469</v>
      </c>
      <c r="E1660" s="8634" t="s">
        <v>5470</v>
      </c>
      <c r="F1660" s="8634" t="s">
        <v>2339</v>
      </c>
      <c r="G1660" s="8634" t="s">
        <v>5471</v>
      </c>
      <c r="H1660" s="8634" t="s">
        <v>24</v>
      </c>
      <c r="I1660" s="8634" t="s">
        <v>809</v>
      </c>
    </row>
    <row customHeight="1" ht="11.25">
      <c r="A1661" s="8634" t="s">
        <v>2182</v>
      </c>
      <c r="B1661" s="8634" t="s">
        <v>14</v>
      </c>
      <c r="C1661" s="8634" t="s">
        <v>5483</v>
      </c>
      <c r="D1661" s="8634" t="s">
        <v>5484</v>
      </c>
      <c r="E1661" s="8634" t="s">
        <v>5485</v>
      </c>
      <c r="F1661" s="8634" t="s">
        <v>2363</v>
      </c>
      <c r="G1661" s="8634" t="s">
        <v>24</v>
      </c>
      <c r="H1661" s="8634" t="s">
        <v>24</v>
      </c>
      <c r="I1661" s="8634" t="s">
        <v>809</v>
      </c>
    </row>
    <row customHeight="1" ht="11.25">
      <c r="A1662" s="8634" t="s">
        <v>2182</v>
      </c>
      <c r="B1662" s="8634" t="s">
        <v>14</v>
      </c>
      <c r="C1662" s="8634" t="s">
        <v>5489</v>
      </c>
      <c r="D1662" s="8634" t="s">
        <v>5490</v>
      </c>
      <c r="E1662" s="8634" t="s">
        <v>5491</v>
      </c>
      <c r="F1662" s="8634" t="s">
        <v>2964</v>
      </c>
      <c r="G1662" s="8634" t="s">
        <v>24</v>
      </c>
      <c r="H1662" s="8634" t="s">
        <v>2187</v>
      </c>
      <c r="I1662" s="8634" t="s">
        <v>809</v>
      </c>
    </row>
    <row customHeight="1" ht="11.25">
      <c r="A1663" s="8634" t="s">
        <v>2182</v>
      </c>
      <c r="B1663" s="8634" t="s">
        <v>14</v>
      </c>
      <c r="C1663" s="8634" t="s">
        <v>6373</v>
      </c>
      <c r="D1663" s="8634" t="s">
        <v>6374</v>
      </c>
      <c r="E1663" s="8634" t="s">
        <v>6375</v>
      </c>
      <c r="F1663" s="8634" t="s">
        <v>2411</v>
      </c>
      <c r="G1663" s="8634" t="s">
        <v>24</v>
      </c>
      <c r="H1663" s="8634" t="s">
        <v>24</v>
      </c>
      <c r="I1663" s="8634" t="s">
        <v>809</v>
      </c>
    </row>
    <row customHeight="1" ht="11.25">
      <c r="A1664" s="8634" t="s">
        <v>2182</v>
      </c>
      <c r="B1664" s="8634" t="s">
        <v>14</v>
      </c>
      <c r="C1664" s="8634" t="s">
        <v>5492</v>
      </c>
      <c r="D1664" s="8634" t="s">
        <v>5493</v>
      </c>
      <c r="E1664" s="8634" t="s">
        <v>5494</v>
      </c>
      <c r="F1664" s="8634" t="s">
        <v>2274</v>
      </c>
      <c r="G1664" s="8634" t="s">
        <v>24</v>
      </c>
      <c r="H1664" s="8634" t="s">
        <v>5495</v>
      </c>
      <c r="I1664" s="8634" t="s">
        <v>809</v>
      </c>
    </row>
    <row customHeight="1" ht="11.25">
      <c r="A1665" s="8634" t="s">
        <v>2182</v>
      </c>
      <c r="B1665" s="8634" t="s">
        <v>14</v>
      </c>
      <c r="C1665" s="8634" t="s">
        <v>5503</v>
      </c>
      <c r="D1665" s="8634" t="s">
        <v>5504</v>
      </c>
      <c r="E1665" s="8634" t="s">
        <v>5505</v>
      </c>
      <c r="F1665" s="8634" t="s">
        <v>2228</v>
      </c>
      <c r="G1665" s="8634" t="s">
        <v>24</v>
      </c>
      <c r="H1665" s="8634" t="s">
        <v>24</v>
      </c>
      <c r="I1665" s="8634" t="s">
        <v>809</v>
      </c>
    </row>
    <row customHeight="1" ht="11.25">
      <c r="A1666" s="8634" t="s">
        <v>2182</v>
      </c>
      <c r="B1666" s="8634" t="s">
        <v>14</v>
      </c>
      <c r="C1666" s="8634" t="s">
        <v>5506</v>
      </c>
      <c r="D1666" s="8634" t="s">
        <v>5507</v>
      </c>
      <c r="E1666" s="8634" t="s">
        <v>5508</v>
      </c>
      <c r="F1666" s="8634" t="s">
        <v>2600</v>
      </c>
      <c r="G1666" s="8634" t="s">
        <v>4708</v>
      </c>
      <c r="H1666" s="8634" t="s">
        <v>24</v>
      </c>
      <c r="I1666" s="8634" t="s">
        <v>809</v>
      </c>
    </row>
    <row customHeight="1" ht="11.25">
      <c r="A1667" s="8634" t="s">
        <v>2182</v>
      </c>
      <c r="B1667" s="8634" t="s">
        <v>14</v>
      </c>
      <c r="C1667" s="8634" t="s">
        <v>5521</v>
      </c>
      <c r="D1667" s="8634" t="s">
        <v>5522</v>
      </c>
      <c r="E1667" s="8634" t="s">
        <v>5523</v>
      </c>
      <c r="F1667" s="8634" t="s">
        <v>2398</v>
      </c>
      <c r="G1667" s="8634" t="s">
        <v>5524</v>
      </c>
      <c r="H1667" s="8634" t="s">
        <v>24</v>
      </c>
      <c r="I1667" s="8634" t="s">
        <v>809</v>
      </c>
    </row>
    <row customHeight="1" ht="11.25">
      <c r="A1668" s="8634" t="s">
        <v>2182</v>
      </c>
      <c r="B1668" s="8634" t="s">
        <v>14</v>
      </c>
      <c r="C1668" s="8634" t="s">
        <v>5532</v>
      </c>
      <c r="D1668" s="8634" t="s">
        <v>5533</v>
      </c>
      <c r="E1668" s="8634" t="s">
        <v>5534</v>
      </c>
      <c r="F1668" s="8634" t="s">
        <v>2600</v>
      </c>
      <c r="G1668" s="8634" t="s">
        <v>24</v>
      </c>
      <c r="H1668" s="8634" t="s">
        <v>24</v>
      </c>
      <c r="I1668" s="8634" t="s">
        <v>809</v>
      </c>
    </row>
    <row customHeight="1" ht="11.25">
      <c r="A1669" s="8634" t="s">
        <v>2182</v>
      </c>
      <c r="B1669" s="8634" t="s">
        <v>14</v>
      </c>
      <c r="C1669" s="8634" t="s">
        <v>5535</v>
      </c>
      <c r="D1669" s="8634" t="s">
        <v>5533</v>
      </c>
      <c r="E1669" s="8634" t="s">
        <v>5536</v>
      </c>
      <c r="F1669" s="8634" t="s">
        <v>2411</v>
      </c>
      <c r="G1669" s="8634" t="s">
        <v>5537</v>
      </c>
      <c r="H1669" s="8634" t="s">
        <v>24</v>
      </c>
      <c r="I1669" s="8634" t="s">
        <v>809</v>
      </c>
    </row>
    <row customHeight="1" ht="11.25">
      <c r="A1670" s="8634" t="s">
        <v>2182</v>
      </c>
      <c r="B1670" s="8634" t="s">
        <v>14</v>
      </c>
      <c r="C1670" s="8634" t="s">
        <v>5546</v>
      </c>
      <c r="D1670" s="8634" t="s">
        <v>5547</v>
      </c>
      <c r="E1670" s="8634" t="s">
        <v>5548</v>
      </c>
      <c r="F1670" s="8634" t="s">
        <v>2600</v>
      </c>
      <c r="G1670" s="8634" t="s">
        <v>5549</v>
      </c>
      <c r="H1670" s="8634" t="s">
        <v>24</v>
      </c>
      <c r="I1670" s="8634" t="s">
        <v>809</v>
      </c>
    </row>
    <row customHeight="1" ht="11.25">
      <c r="A1671" s="8634" t="s">
        <v>2182</v>
      </c>
      <c r="B1671" s="8634" t="s">
        <v>14</v>
      </c>
      <c r="C1671" s="8634" t="s">
        <v>5554</v>
      </c>
      <c r="D1671" s="8634" t="s">
        <v>5555</v>
      </c>
      <c r="E1671" s="8634" t="s">
        <v>4402</v>
      </c>
      <c r="F1671" s="8634" t="s">
        <v>2186</v>
      </c>
      <c r="G1671" s="8634" t="s">
        <v>24</v>
      </c>
      <c r="H1671" s="8634" t="s">
        <v>24</v>
      </c>
      <c r="I1671" s="8634" t="s">
        <v>809</v>
      </c>
    </row>
    <row customHeight="1" ht="11.25">
      <c r="A1672" s="8634" t="s">
        <v>2182</v>
      </c>
      <c r="B1672" s="8634" t="s">
        <v>14</v>
      </c>
      <c r="C1672" s="8634" t="s">
        <v>5556</v>
      </c>
      <c r="D1672" s="8634" t="s">
        <v>5557</v>
      </c>
      <c r="E1672" s="8634" t="s">
        <v>5558</v>
      </c>
      <c r="F1672" s="8634" t="s">
        <v>2245</v>
      </c>
      <c r="G1672" s="8634" t="s">
        <v>5559</v>
      </c>
      <c r="H1672" s="8634" t="s">
        <v>24</v>
      </c>
      <c r="I1672" s="8634" t="s">
        <v>809</v>
      </c>
    </row>
    <row customHeight="1" ht="11.25">
      <c r="A1673" s="8634" t="s">
        <v>2182</v>
      </c>
      <c r="B1673" s="8634" t="s">
        <v>14</v>
      </c>
      <c r="C1673" s="8634" t="s">
        <v>5560</v>
      </c>
      <c r="D1673" s="8634" t="s">
        <v>5561</v>
      </c>
      <c r="E1673" s="8634" t="s">
        <v>5562</v>
      </c>
      <c r="F1673" s="8634" t="s">
        <v>2274</v>
      </c>
      <c r="G1673" s="8634" t="s">
        <v>5563</v>
      </c>
      <c r="H1673" s="8634" t="s">
        <v>24</v>
      </c>
      <c r="I1673" s="8634" t="s">
        <v>809</v>
      </c>
    </row>
    <row customHeight="1" ht="11.25">
      <c r="A1674" s="8634" t="s">
        <v>2182</v>
      </c>
      <c r="B1674" s="8634" t="s">
        <v>14</v>
      </c>
      <c r="C1674" s="8634" t="s">
        <v>6376</v>
      </c>
      <c r="D1674" s="8634" t="s">
        <v>6377</v>
      </c>
      <c r="E1674" s="8634" t="s">
        <v>6378</v>
      </c>
      <c r="F1674" s="8634" t="s">
        <v>2228</v>
      </c>
      <c r="G1674" s="8634" t="s">
        <v>24</v>
      </c>
      <c r="H1674" s="8634" t="s">
        <v>2187</v>
      </c>
      <c r="I1674" s="8634" t="s">
        <v>809</v>
      </c>
    </row>
    <row customHeight="1" ht="11.25">
      <c r="A1675" s="8634" t="s">
        <v>2182</v>
      </c>
      <c r="B1675" s="8634" t="s">
        <v>14</v>
      </c>
      <c r="C1675" s="8634" t="s">
        <v>5564</v>
      </c>
      <c r="D1675" s="8634" t="s">
        <v>5565</v>
      </c>
      <c r="E1675" s="8634" t="s">
        <v>5566</v>
      </c>
      <c r="F1675" s="8634" t="s">
        <v>2563</v>
      </c>
      <c r="G1675" s="8634" t="s">
        <v>24</v>
      </c>
      <c r="H1675" s="8634" t="s">
        <v>2187</v>
      </c>
      <c r="I1675" s="8634" t="s">
        <v>809</v>
      </c>
    </row>
    <row customHeight="1" ht="11.25">
      <c r="A1676" s="8634" t="s">
        <v>2182</v>
      </c>
      <c r="B1676" s="8634" t="s">
        <v>14</v>
      </c>
      <c r="C1676" s="8634" t="s">
        <v>5567</v>
      </c>
      <c r="D1676" s="8634" t="s">
        <v>5568</v>
      </c>
      <c r="E1676" s="8634" t="s">
        <v>5569</v>
      </c>
      <c r="F1676" s="8634" t="s">
        <v>2228</v>
      </c>
      <c r="G1676" s="8634" t="s">
        <v>5570</v>
      </c>
      <c r="H1676" s="8634" t="s">
        <v>24</v>
      </c>
      <c r="I1676" s="8634" t="s">
        <v>809</v>
      </c>
    </row>
    <row customHeight="1" ht="11.25">
      <c r="A1677" s="8634" t="s">
        <v>2182</v>
      </c>
      <c r="B1677" s="8634" t="s">
        <v>14</v>
      </c>
      <c r="C1677" s="8634" t="s">
        <v>5571</v>
      </c>
      <c r="D1677" s="8634" t="s">
        <v>5572</v>
      </c>
      <c r="E1677" s="8634" t="s">
        <v>5573</v>
      </c>
      <c r="F1677" s="8634" t="s">
        <v>2411</v>
      </c>
      <c r="G1677" s="8634" t="s">
        <v>24</v>
      </c>
      <c r="H1677" s="8634" t="s">
        <v>24</v>
      </c>
      <c r="I1677" s="8634" t="s">
        <v>809</v>
      </c>
    </row>
    <row customHeight="1" ht="11.25">
      <c r="A1678" s="8634" t="s">
        <v>2182</v>
      </c>
      <c r="B1678" s="8634" t="s">
        <v>14</v>
      </c>
      <c r="C1678" s="8634" t="s">
        <v>5574</v>
      </c>
      <c r="D1678" s="8634" t="s">
        <v>5575</v>
      </c>
      <c r="E1678" s="8634" t="s">
        <v>5576</v>
      </c>
      <c r="F1678" s="8634" t="s">
        <v>2376</v>
      </c>
      <c r="G1678" s="8634" t="s">
        <v>3967</v>
      </c>
      <c r="H1678" s="8634" t="s">
        <v>24</v>
      </c>
      <c r="I1678" s="8634" t="s">
        <v>809</v>
      </c>
    </row>
    <row customHeight="1" ht="11.25">
      <c r="A1679" s="8634" t="s">
        <v>2182</v>
      </c>
      <c r="B1679" s="8634" t="s">
        <v>14</v>
      </c>
      <c r="C1679" s="8634" t="s">
        <v>5581</v>
      </c>
      <c r="D1679" s="8634" t="s">
        <v>5582</v>
      </c>
      <c r="E1679" s="8634" t="s">
        <v>5583</v>
      </c>
      <c r="F1679" s="8634" t="s">
        <v>5584</v>
      </c>
      <c r="G1679" s="8634" t="s">
        <v>5585</v>
      </c>
      <c r="H1679" s="8634" t="s">
        <v>24</v>
      </c>
      <c r="I1679" s="8634" t="s">
        <v>809</v>
      </c>
    </row>
    <row customHeight="1" ht="11.25">
      <c r="A1680" s="8634" t="s">
        <v>2182</v>
      </c>
      <c r="B1680" s="8634" t="s">
        <v>14</v>
      </c>
      <c r="C1680" s="8634" t="s">
        <v>5586</v>
      </c>
      <c r="D1680" s="8634" t="s">
        <v>5587</v>
      </c>
      <c r="E1680" s="8634" t="s">
        <v>5588</v>
      </c>
      <c r="F1680" s="8634" t="s">
        <v>2213</v>
      </c>
      <c r="G1680" s="8634" t="s">
        <v>24</v>
      </c>
      <c r="H1680" s="8634" t="s">
        <v>24</v>
      </c>
      <c r="I1680" s="8634" t="s">
        <v>809</v>
      </c>
    </row>
    <row customHeight="1" ht="11.25">
      <c r="A1681" s="8634" t="s">
        <v>2182</v>
      </c>
      <c r="B1681" s="8634" t="s">
        <v>14</v>
      </c>
      <c r="C1681" s="8634" t="s">
        <v>5596</v>
      </c>
      <c r="D1681" s="8634" t="s">
        <v>5597</v>
      </c>
      <c r="E1681" s="8634" t="s">
        <v>5598</v>
      </c>
      <c r="F1681" s="8634" t="s">
        <v>2218</v>
      </c>
      <c r="G1681" s="8634" t="s">
        <v>24</v>
      </c>
      <c r="H1681" s="8634" t="s">
        <v>24</v>
      </c>
      <c r="I1681" s="8634" t="s">
        <v>809</v>
      </c>
    </row>
    <row customHeight="1" ht="11.25">
      <c r="A1682" s="8634" t="s">
        <v>2182</v>
      </c>
      <c r="B1682" s="8634" t="s">
        <v>14</v>
      </c>
      <c r="C1682" s="8634" t="s">
        <v>5606</v>
      </c>
      <c r="D1682" s="8634" t="s">
        <v>5607</v>
      </c>
      <c r="E1682" s="8634" t="s">
        <v>5608</v>
      </c>
      <c r="F1682" s="8634" t="s">
        <v>5235</v>
      </c>
      <c r="G1682" s="8634" t="s">
        <v>24</v>
      </c>
      <c r="H1682" s="8634" t="s">
        <v>24</v>
      </c>
      <c r="I1682" s="8634" t="s">
        <v>809</v>
      </c>
    </row>
    <row customHeight="1" ht="11.25">
      <c r="A1683" s="8634" t="s">
        <v>2182</v>
      </c>
      <c r="B1683" s="8634" t="s">
        <v>14</v>
      </c>
      <c r="C1683" s="8634" t="s">
        <v>5613</v>
      </c>
      <c r="D1683" s="8634" t="s">
        <v>5614</v>
      </c>
      <c r="E1683" s="8634" t="s">
        <v>5615</v>
      </c>
      <c r="F1683" s="8634" t="s">
        <v>2334</v>
      </c>
      <c r="G1683" s="8634" t="s">
        <v>5616</v>
      </c>
      <c r="H1683" s="8634" t="s">
        <v>24</v>
      </c>
      <c r="I1683" s="8634" t="s">
        <v>809</v>
      </c>
    </row>
    <row customHeight="1" ht="11.25">
      <c r="A1684" s="8634" t="s">
        <v>2182</v>
      </c>
      <c r="B1684" s="8634" t="s">
        <v>14</v>
      </c>
      <c r="C1684" s="8634" t="s">
        <v>5620</v>
      </c>
      <c r="D1684" s="8634" t="s">
        <v>5621</v>
      </c>
      <c r="E1684" s="8634" t="s">
        <v>5622</v>
      </c>
      <c r="F1684" s="8634" t="s">
        <v>5623</v>
      </c>
      <c r="G1684" s="8634" t="s">
        <v>24</v>
      </c>
      <c r="H1684" s="8634" t="s">
        <v>2187</v>
      </c>
      <c r="I1684" s="8634" t="s">
        <v>809</v>
      </c>
    </row>
    <row customHeight="1" ht="11.25">
      <c r="A1685" s="8634" t="s">
        <v>2182</v>
      </c>
      <c r="B1685" s="8634" t="s">
        <v>14</v>
      </c>
      <c r="C1685" s="8634" t="s">
        <v>5624</v>
      </c>
      <c r="D1685" s="8634" t="s">
        <v>5625</v>
      </c>
      <c r="E1685" s="8634" t="s">
        <v>5626</v>
      </c>
      <c r="F1685" s="8634" t="s">
        <v>2398</v>
      </c>
      <c r="G1685" s="8634" t="s">
        <v>24</v>
      </c>
      <c r="H1685" s="8634" t="s">
        <v>2993</v>
      </c>
      <c r="I1685" s="8634" t="s">
        <v>809</v>
      </c>
    </row>
    <row customHeight="1" ht="11.25">
      <c r="A1686" s="8634" t="s">
        <v>2182</v>
      </c>
      <c r="B1686" s="8634" t="s">
        <v>14</v>
      </c>
      <c r="C1686" s="8634" t="s">
        <v>6379</v>
      </c>
      <c r="D1686" s="8634" t="s">
        <v>6380</v>
      </c>
      <c r="E1686" s="8634" t="s">
        <v>6381</v>
      </c>
      <c r="F1686" s="8634" t="s">
        <v>2228</v>
      </c>
      <c r="G1686" s="8634" t="s">
        <v>24</v>
      </c>
      <c r="H1686" s="8634" t="s">
        <v>6382</v>
      </c>
      <c r="I1686" s="8634" t="s">
        <v>809</v>
      </c>
    </row>
    <row customHeight="1" ht="11.25">
      <c r="A1687" s="8634" t="s">
        <v>2182</v>
      </c>
      <c r="B1687" s="8634" t="s">
        <v>14</v>
      </c>
      <c r="C1687" s="8634" t="s">
        <v>6383</v>
      </c>
      <c r="D1687" s="8634" t="s">
        <v>6384</v>
      </c>
      <c r="E1687" s="8634" t="s">
        <v>6385</v>
      </c>
      <c r="F1687" s="8634" t="s">
        <v>2228</v>
      </c>
      <c r="G1687" s="8634" t="s">
        <v>24</v>
      </c>
      <c r="H1687" s="8634" t="s">
        <v>2187</v>
      </c>
      <c r="I1687" s="8634" t="s">
        <v>809</v>
      </c>
    </row>
    <row customHeight="1" ht="11.25">
      <c r="A1688" s="8634" t="s">
        <v>2182</v>
      </c>
      <c r="B1688" s="8634" t="s">
        <v>14</v>
      </c>
      <c r="C1688" s="8634" t="s">
        <v>5631</v>
      </c>
      <c r="D1688" s="8634" t="s">
        <v>5632</v>
      </c>
      <c r="E1688" s="8634" t="s">
        <v>5633</v>
      </c>
      <c r="F1688" s="8634" t="s">
        <v>2398</v>
      </c>
      <c r="G1688" s="8634" t="s">
        <v>24</v>
      </c>
      <c r="H1688" s="8634" t="s">
        <v>24</v>
      </c>
      <c r="I1688" s="8634" t="s">
        <v>809</v>
      </c>
    </row>
    <row customHeight="1" ht="11.25">
      <c r="A1689" s="8634" t="s">
        <v>2182</v>
      </c>
      <c r="B1689" s="8634" t="s">
        <v>14</v>
      </c>
      <c r="C1689" s="8634" t="s">
        <v>5634</v>
      </c>
      <c r="D1689" s="8634" t="s">
        <v>5635</v>
      </c>
      <c r="E1689" s="8634" t="s">
        <v>5636</v>
      </c>
      <c r="F1689" s="8634" t="s">
        <v>2274</v>
      </c>
      <c r="G1689" s="8634" t="s">
        <v>24</v>
      </c>
      <c r="H1689" s="8634" t="s">
        <v>24</v>
      </c>
      <c r="I1689" s="8634" t="s">
        <v>809</v>
      </c>
    </row>
    <row customHeight="1" ht="11.25">
      <c r="A1690" s="8634" t="s">
        <v>2182</v>
      </c>
      <c r="B1690" s="8634" t="s">
        <v>14</v>
      </c>
      <c r="C1690" s="8634" t="s">
        <v>5637</v>
      </c>
      <c r="D1690" s="8634" t="s">
        <v>5638</v>
      </c>
      <c r="E1690" s="8634" t="s">
        <v>5639</v>
      </c>
      <c r="F1690" s="8634" t="s">
        <v>2213</v>
      </c>
      <c r="G1690" s="8634" t="s">
        <v>24</v>
      </c>
      <c r="H1690" s="8634" t="s">
        <v>2187</v>
      </c>
      <c r="I1690" s="8634" t="s">
        <v>809</v>
      </c>
    </row>
    <row customHeight="1" ht="11.25">
      <c r="A1691" s="8634" t="s">
        <v>2182</v>
      </c>
      <c r="B1691" s="8634" t="s">
        <v>14</v>
      </c>
      <c r="C1691" s="8634" t="s">
        <v>5644</v>
      </c>
      <c r="D1691" s="8634" t="s">
        <v>5645</v>
      </c>
      <c r="E1691" s="8634" t="s">
        <v>5646</v>
      </c>
      <c r="F1691" s="8634" t="s">
        <v>2213</v>
      </c>
      <c r="G1691" s="8634" t="s">
        <v>5647</v>
      </c>
      <c r="H1691" s="8634" t="s">
        <v>24</v>
      </c>
      <c r="I1691" s="8634" t="s">
        <v>809</v>
      </c>
    </row>
    <row customHeight="1" ht="11.25">
      <c r="A1692" s="8634" t="s">
        <v>2182</v>
      </c>
      <c r="B1692" s="8634" t="s">
        <v>14</v>
      </c>
      <c r="C1692" s="8634" t="s">
        <v>5651</v>
      </c>
      <c r="D1692" s="8634" t="s">
        <v>5652</v>
      </c>
      <c r="E1692" s="8634" t="s">
        <v>5653</v>
      </c>
      <c r="F1692" s="8634" t="s">
        <v>2398</v>
      </c>
      <c r="G1692" s="8634" t="s">
        <v>5654</v>
      </c>
      <c r="H1692" s="8634" t="s">
        <v>24</v>
      </c>
      <c r="I1692" s="8634" t="s">
        <v>809</v>
      </c>
    </row>
    <row customHeight="1" ht="11.25">
      <c r="A1693" s="8634" t="s">
        <v>2182</v>
      </c>
      <c r="B1693" s="8634" t="s">
        <v>14</v>
      </c>
      <c r="C1693" s="8634" t="s">
        <v>6386</v>
      </c>
      <c r="D1693" s="8634" t="s">
        <v>6387</v>
      </c>
      <c r="E1693" s="8634" t="s">
        <v>6388</v>
      </c>
      <c r="F1693" s="8634" t="s">
        <v>2460</v>
      </c>
      <c r="G1693" s="8634" t="s">
        <v>24</v>
      </c>
      <c r="H1693" s="8634" t="s">
        <v>6389</v>
      </c>
      <c r="I1693" s="8634" t="s">
        <v>809</v>
      </c>
    </row>
    <row customHeight="1" ht="11.25">
      <c r="A1694" s="8634" t="s">
        <v>2182</v>
      </c>
      <c r="B1694" s="8634" t="s">
        <v>14</v>
      </c>
      <c r="C1694" s="8634" t="s">
        <v>5658</v>
      </c>
      <c r="D1694" s="8634" t="s">
        <v>5659</v>
      </c>
      <c r="E1694" s="8634" t="s">
        <v>5660</v>
      </c>
      <c r="F1694" s="8634" t="s">
        <v>2976</v>
      </c>
      <c r="G1694" s="8634" t="s">
        <v>5661</v>
      </c>
      <c r="H1694" s="8634" t="s">
        <v>24</v>
      </c>
      <c r="I1694" s="8634" t="s">
        <v>809</v>
      </c>
    </row>
    <row customHeight="1" ht="11.25">
      <c r="A1695" s="8634" t="s">
        <v>2182</v>
      </c>
      <c r="B1695" s="8634" t="s">
        <v>14</v>
      </c>
      <c r="C1695" s="8634" t="s">
        <v>5666</v>
      </c>
      <c r="D1695" s="8634" t="s">
        <v>5667</v>
      </c>
      <c r="E1695" s="8634" t="s">
        <v>5668</v>
      </c>
      <c r="F1695" s="8634" t="s">
        <v>2322</v>
      </c>
      <c r="G1695" s="8634" t="s">
        <v>5669</v>
      </c>
      <c r="H1695" s="8634" t="s">
        <v>24</v>
      </c>
      <c r="I1695" s="8634" t="s">
        <v>809</v>
      </c>
    </row>
    <row customHeight="1" ht="11.25">
      <c r="A1696" s="8634" t="s">
        <v>2182</v>
      </c>
      <c r="B1696" s="8634" t="s">
        <v>14</v>
      </c>
      <c r="C1696" s="8634" t="s">
        <v>5670</v>
      </c>
      <c r="D1696" s="8634" t="s">
        <v>5671</v>
      </c>
      <c r="E1696" s="8634" t="s">
        <v>5672</v>
      </c>
      <c r="F1696" s="8634" t="s">
        <v>2339</v>
      </c>
      <c r="G1696" s="8634" t="s">
        <v>24</v>
      </c>
      <c r="H1696" s="8634" t="s">
        <v>24</v>
      </c>
      <c r="I1696" s="8634" t="s">
        <v>809</v>
      </c>
    </row>
    <row customHeight="1" ht="11.25">
      <c r="A1697" s="8634" t="s">
        <v>2182</v>
      </c>
      <c r="B1697" s="8634" t="s">
        <v>14</v>
      </c>
      <c r="C1697" s="8634" t="s">
        <v>5673</v>
      </c>
      <c r="D1697" s="8634" t="s">
        <v>5674</v>
      </c>
      <c r="E1697" s="8634" t="s">
        <v>5675</v>
      </c>
      <c r="F1697" s="8634" t="s">
        <v>2626</v>
      </c>
      <c r="G1697" s="8634" t="s">
        <v>3659</v>
      </c>
      <c r="H1697" s="8634" t="s">
        <v>2187</v>
      </c>
      <c r="I1697" s="8634" t="s">
        <v>809</v>
      </c>
    </row>
    <row customHeight="1" ht="11.25">
      <c r="A1698" s="8634" t="s">
        <v>2182</v>
      </c>
      <c r="B1698" s="8634" t="s">
        <v>14</v>
      </c>
      <c r="C1698" s="8634" t="s">
        <v>5680</v>
      </c>
      <c r="D1698" s="8634" t="s">
        <v>5681</v>
      </c>
      <c r="E1698" s="8634" t="s">
        <v>5682</v>
      </c>
      <c r="F1698" s="8634" t="s">
        <v>2191</v>
      </c>
      <c r="G1698" s="8634" t="s">
        <v>24</v>
      </c>
      <c r="H1698" s="8634" t="s">
        <v>2187</v>
      </c>
      <c r="I1698" s="8634" t="s">
        <v>809</v>
      </c>
    </row>
    <row customHeight="1" ht="11.25">
      <c r="A1699" s="8634" t="s">
        <v>2182</v>
      </c>
      <c r="B1699" s="8634" t="s">
        <v>14</v>
      </c>
      <c r="C1699" s="8634" t="s">
        <v>5683</v>
      </c>
      <c r="D1699" s="8634" t="s">
        <v>5684</v>
      </c>
      <c r="E1699" s="8634" t="s">
        <v>5685</v>
      </c>
      <c r="F1699" s="8634" t="s">
        <v>2344</v>
      </c>
      <c r="G1699" s="8634" t="s">
        <v>24</v>
      </c>
      <c r="H1699" s="8634" t="s">
        <v>24</v>
      </c>
      <c r="I1699" s="8634" t="s">
        <v>809</v>
      </c>
    </row>
    <row customHeight="1" ht="11.25">
      <c r="A1700" s="8634" t="s">
        <v>2182</v>
      </c>
      <c r="B1700" s="8634" t="s">
        <v>14</v>
      </c>
      <c r="C1700" s="8634" t="s">
        <v>5690</v>
      </c>
      <c r="D1700" s="8634" t="s">
        <v>5691</v>
      </c>
      <c r="E1700" s="8634" t="s">
        <v>5692</v>
      </c>
      <c r="F1700" s="8634" t="s">
        <v>2344</v>
      </c>
      <c r="G1700" s="8634" t="s">
        <v>5693</v>
      </c>
      <c r="H1700" s="8634" t="s">
        <v>24</v>
      </c>
      <c r="I1700" s="8634" t="s">
        <v>809</v>
      </c>
    </row>
    <row customHeight="1" ht="11.25">
      <c r="A1701" s="8634" t="s">
        <v>2182</v>
      </c>
      <c r="B1701" s="8634" t="s">
        <v>14</v>
      </c>
      <c r="C1701" s="8634" t="s">
        <v>5696</v>
      </c>
      <c r="D1701" s="8634" t="s">
        <v>5697</v>
      </c>
      <c r="E1701" s="8634" t="s">
        <v>5698</v>
      </c>
      <c r="F1701" s="8634" t="s">
        <v>5699</v>
      </c>
      <c r="G1701" s="8634" t="s">
        <v>5700</v>
      </c>
      <c r="H1701" s="8634" t="s">
        <v>24</v>
      </c>
      <c r="I1701" s="8634" t="s">
        <v>809</v>
      </c>
    </row>
    <row customHeight="1" ht="11.25">
      <c r="A1702" s="8634" t="s">
        <v>2182</v>
      </c>
      <c r="B1702" s="8634" t="s">
        <v>14</v>
      </c>
      <c r="C1702" s="8634" t="s">
        <v>5705</v>
      </c>
      <c r="D1702" s="8634" t="s">
        <v>5706</v>
      </c>
      <c r="E1702" s="8634" t="s">
        <v>5703</v>
      </c>
      <c r="F1702" s="8634" t="s">
        <v>5707</v>
      </c>
      <c r="G1702" s="8634" t="s">
        <v>24</v>
      </c>
      <c r="H1702" s="8634" t="s">
        <v>24</v>
      </c>
      <c r="I1702" s="8634" t="s">
        <v>809</v>
      </c>
    </row>
    <row customHeight="1" ht="11.25">
      <c r="A1703" s="8634" t="s">
        <v>2182</v>
      </c>
      <c r="B1703" s="8634" t="s">
        <v>14</v>
      </c>
      <c r="C1703" s="8634" t="s">
        <v>5724</v>
      </c>
      <c r="D1703" s="8634" t="s">
        <v>5725</v>
      </c>
      <c r="E1703" s="8634" t="s">
        <v>5726</v>
      </c>
      <c r="F1703" s="8634" t="s">
        <v>2398</v>
      </c>
      <c r="G1703" s="8634" t="s">
        <v>5727</v>
      </c>
      <c r="H1703" s="8634" t="s">
        <v>24</v>
      </c>
      <c r="I1703" s="8634" t="s">
        <v>809</v>
      </c>
    </row>
    <row customHeight="1" ht="11.25">
      <c r="A1704" s="8634" t="s">
        <v>2182</v>
      </c>
      <c r="B1704" s="8634" t="s">
        <v>14</v>
      </c>
      <c r="C1704" s="8634" t="s">
        <v>5732</v>
      </c>
      <c r="D1704" s="8634" t="s">
        <v>5733</v>
      </c>
      <c r="E1704" s="8634" t="s">
        <v>2734</v>
      </c>
      <c r="F1704" s="8634" t="s">
        <v>5723</v>
      </c>
      <c r="G1704" s="8634" t="s">
        <v>24</v>
      </c>
      <c r="H1704" s="8634" t="s">
        <v>24</v>
      </c>
      <c r="I1704" s="8634" t="s">
        <v>809</v>
      </c>
    </row>
    <row customHeight="1" ht="11.25">
      <c r="A1705" s="8634" t="s">
        <v>2182</v>
      </c>
      <c r="B1705" s="8634" t="s">
        <v>14</v>
      </c>
      <c r="C1705" s="8634" t="s">
        <v>5734</v>
      </c>
      <c r="D1705" s="8634" t="s">
        <v>5735</v>
      </c>
      <c r="E1705" s="8634" t="s">
        <v>5736</v>
      </c>
      <c r="F1705" s="8634" t="s">
        <v>2228</v>
      </c>
      <c r="G1705" s="8634" t="s">
        <v>5737</v>
      </c>
      <c r="H1705" s="8634" t="s">
        <v>24</v>
      </c>
      <c r="I1705" s="8634" t="s">
        <v>809</v>
      </c>
    </row>
    <row customHeight="1" ht="11.25">
      <c r="A1706" s="8634" t="s">
        <v>2182</v>
      </c>
      <c r="B1706" s="8634" t="s">
        <v>14</v>
      </c>
      <c r="C1706" s="8634" t="s">
        <v>5738</v>
      </c>
      <c r="D1706" s="8634" t="s">
        <v>5739</v>
      </c>
      <c r="E1706" s="8634" t="s">
        <v>5740</v>
      </c>
      <c r="F1706" s="8634" t="s">
        <v>5741</v>
      </c>
      <c r="G1706" s="8634" t="s">
        <v>5742</v>
      </c>
      <c r="H1706" s="8634" t="s">
        <v>24</v>
      </c>
      <c r="I1706" s="8634" t="s">
        <v>809</v>
      </c>
    </row>
    <row customHeight="1" ht="11.25">
      <c r="A1707" s="8634" t="s">
        <v>2182</v>
      </c>
      <c r="B1707" s="8634" t="s">
        <v>14</v>
      </c>
      <c r="C1707" s="8634" t="s">
        <v>5743</v>
      </c>
      <c r="D1707" s="8634" t="s">
        <v>5744</v>
      </c>
      <c r="E1707" s="8634" t="s">
        <v>5745</v>
      </c>
      <c r="F1707" s="8634" t="s">
        <v>5746</v>
      </c>
      <c r="G1707" s="8634" t="s">
        <v>5747</v>
      </c>
      <c r="H1707" s="8634" t="s">
        <v>24</v>
      </c>
      <c r="I1707" s="8634" t="s">
        <v>809</v>
      </c>
    </row>
    <row customHeight="1" ht="11.25">
      <c r="A1708" s="8634" t="s">
        <v>2182</v>
      </c>
      <c r="B1708" s="8634" t="s">
        <v>14</v>
      </c>
      <c r="C1708" s="8634" t="s">
        <v>5748</v>
      </c>
      <c r="D1708" s="8634" t="s">
        <v>5749</v>
      </c>
      <c r="E1708" s="8634" t="s">
        <v>5750</v>
      </c>
      <c r="F1708" s="8634" t="s">
        <v>2274</v>
      </c>
      <c r="G1708" s="8634" t="s">
        <v>5751</v>
      </c>
      <c r="H1708" s="8634" t="s">
        <v>24</v>
      </c>
      <c r="I1708" s="8634" t="s">
        <v>809</v>
      </c>
    </row>
    <row customHeight="1" ht="11.25">
      <c r="A1709" s="8634" t="s">
        <v>2182</v>
      </c>
      <c r="B1709" s="8634" t="s">
        <v>14</v>
      </c>
      <c r="C1709" s="8634" t="s">
        <v>5760</v>
      </c>
      <c r="D1709" s="8634" t="s">
        <v>5761</v>
      </c>
      <c r="E1709" s="8634" t="s">
        <v>3944</v>
      </c>
      <c r="F1709" s="8634" t="s">
        <v>2438</v>
      </c>
      <c r="G1709" s="8634" t="s">
        <v>24</v>
      </c>
      <c r="H1709" s="8634" t="s">
        <v>24</v>
      </c>
      <c r="I1709" s="8634" t="s">
        <v>809</v>
      </c>
    </row>
    <row customHeight="1" ht="11.25">
      <c r="A1710" s="8634" t="s">
        <v>2182</v>
      </c>
      <c r="B1710" s="8634" t="s">
        <v>14</v>
      </c>
      <c r="C1710" s="8634" t="s">
        <v>5775</v>
      </c>
      <c r="D1710" s="8634" t="s">
        <v>5776</v>
      </c>
      <c r="E1710" s="8634" t="s">
        <v>5777</v>
      </c>
      <c r="F1710" s="8634" t="s">
        <v>2411</v>
      </c>
      <c r="G1710" s="8634" t="s">
        <v>5778</v>
      </c>
      <c r="H1710" s="8634" t="s">
        <v>24</v>
      </c>
      <c r="I1710" s="8634" t="s">
        <v>809</v>
      </c>
    </row>
    <row customHeight="1" ht="11.25">
      <c r="A1711" s="8634" t="s">
        <v>2182</v>
      </c>
      <c r="B1711" s="8634" t="s">
        <v>14</v>
      </c>
      <c r="C1711" s="8634" t="s">
        <v>5783</v>
      </c>
      <c r="D1711" s="8634" t="s">
        <v>5784</v>
      </c>
      <c r="E1711" s="8634" t="s">
        <v>3039</v>
      </c>
      <c r="F1711" s="8634" t="s">
        <v>5785</v>
      </c>
      <c r="G1711" s="8634" t="s">
        <v>24</v>
      </c>
      <c r="H1711" s="8634" t="s">
        <v>24</v>
      </c>
      <c r="I1711" s="8634" t="s">
        <v>809</v>
      </c>
    </row>
    <row customHeight="1" ht="11.25">
      <c r="A1712" s="8634" t="s">
        <v>2182</v>
      </c>
      <c r="B1712" s="8634" t="s">
        <v>14</v>
      </c>
      <c r="C1712" s="8634" t="s">
        <v>5786</v>
      </c>
      <c r="D1712" s="8634" t="s">
        <v>5787</v>
      </c>
      <c r="E1712" s="8634" t="s">
        <v>5788</v>
      </c>
      <c r="F1712" s="8634" t="s">
        <v>4717</v>
      </c>
      <c r="G1712" s="8634" t="s">
        <v>5789</v>
      </c>
      <c r="H1712" s="8634" t="s">
        <v>24</v>
      </c>
      <c r="I1712" s="8634" t="s">
        <v>809</v>
      </c>
    </row>
    <row customHeight="1" ht="11.25">
      <c r="A1713" s="8634" t="s">
        <v>2182</v>
      </c>
      <c r="B1713" s="8634" t="s">
        <v>14</v>
      </c>
      <c r="C1713" s="8634" t="s">
        <v>5794</v>
      </c>
      <c r="D1713" s="8634" t="s">
        <v>5795</v>
      </c>
      <c r="E1713" s="8634" t="s">
        <v>5796</v>
      </c>
      <c r="F1713" s="8634" t="s">
        <v>2186</v>
      </c>
      <c r="G1713" s="8634" t="s">
        <v>24</v>
      </c>
      <c r="H1713" s="8634" t="s">
        <v>5797</v>
      </c>
      <c r="I1713" s="8634" t="s">
        <v>809</v>
      </c>
    </row>
    <row customHeight="1" ht="11.25">
      <c r="A1714" s="8634" t="s">
        <v>2182</v>
      </c>
      <c r="B1714" s="8634" t="s">
        <v>14</v>
      </c>
      <c r="C1714" s="8634" t="s">
        <v>5811</v>
      </c>
      <c r="D1714" s="8634" t="s">
        <v>5812</v>
      </c>
      <c r="E1714" s="8634" t="s">
        <v>5813</v>
      </c>
      <c r="F1714" s="8634" t="s">
        <v>5235</v>
      </c>
      <c r="G1714" s="8634" t="s">
        <v>5814</v>
      </c>
      <c r="H1714" s="8634" t="s">
        <v>24</v>
      </c>
      <c r="I1714" s="8634" t="s">
        <v>809</v>
      </c>
    </row>
    <row customHeight="1" ht="11.25">
      <c r="A1715" s="8634" t="s">
        <v>2182</v>
      </c>
      <c r="B1715" s="8634" t="s">
        <v>14</v>
      </c>
      <c r="C1715" s="8634" t="s">
        <v>5822</v>
      </c>
      <c r="D1715" s="8634" t="s">
        <v>5823</v>
      </c>
      <c r="E1715" s="8634" t="s">
        <v>5817</v>
      </c>
      <c r="F1715" s="8634" t="s">
        <v>2191</v>
      </c>
      <c r="G1715" s="8634" t="s">
        <v>24</v>
      </c>
      <c r="H1715" s="8634" t="s">
        <v>2187</v>
      </c>
      <c r="I1715" s="8634" t="s">
        <v>809</v>
      </c>
    </row>
    <row customHeight="1" ht="11.25">
      <c r="A1716" s="8634" t="s">
        <v>2182</v>
      </c>
      <c r="B1716" s="8634" t="s">
        <v>14</v>
      </c>
      <c r="C1716" s="8634" t="s">
        <v>5837</v>
      </c>
      <c r="D1716" s="8634" t="s">
        <v>5838</v>
      </c>
      <c r="E1716" s="8634" t="s">
        <v>5839</v>
      </c>
      <c r="F1716" s="8634" t="s">
        <v>2600</v>
      </c>
      <c r="G1716" s="8634" t="s">
        <v>24</v>
      </c>
      <c r="H1716" s="8634" t="s">
        <v>24</v>
      </c>
      <c r="I1716" s="8634" t="s">
        <v>809</v>
      </c>
    </row>
    <row customHeight="1" ht="11.25">
      <c r="A1717" s="8634" t="s">
        <v>2182</v>
      </c>
      <c r="B1717" s="8634" t="s">
        <v>14</v>
      </c>
      <c r="C1717" s="8634" t="s">
        <v>5849</v>
      </c>
      <c r="D1717" s="8634" t="s">
        <v>5850</v>
      </c>
      <c r="E1717" s="8634" t="s">
        <v>5851</v>
      </c>
      <c r="F1717" s="8634" t="s">
        <v>2721</v>
      </c>
      <c r="G1717" s="8634" t="s">
        <v>24</v>
      </c>
      <c r="H1717" s="8634" t="s">
        <v>5852</v>
      </c>
      <c r="I1717" s="8634" t="s">
        <v>809</v>
      </c>
    </row>
    <row customHeight="1" ht="11.25">
      <c r="A1718" s="8634" t="s">
        <v>2182</v>
      </c>
      <c r="B1718" s="8634" t="s">
        <v>14</v>
      </c>
      <c r="C1718" s="8634" t="s">
        <v>6390</v>
      </c>
      <c r="D1718" s="8634" t="s">
        <v>6391</v>
      </c>
      <c r="E1718" s="8634" t="s">
        <v>6392</v>
      </c>
      <c r="F1718" s="8634" t="s">
        <v>2228</v>
      </c>
      <c r="G1718" s="8634" t="s">
        <v>24</v>
      </c>
      <c r="H1718" s="8634" t="s">
        <v>2187</v>
      </c>
      <c r="I1718" s="8634" t="s">
        <v>809</v>
      </c>
    </row>
    <row customHeight="1" ht="11.25">
      <c r="A1719" s="8634" t="s">
        <v>2182</v>
      </c>
      <c r="B1719" s="8634" t="s">
        <v>14</v>
      </c>
      <c r="C1719" s="8634" t="s">
        <v>5853</v>
      </c>
      <c r="D1719" s="8634" t="s">
        <v>5854</v>
      </c>
      <c r="E1719" s="8634" t="s">
        <v>5855</v>
      </c>
      <c r="F1719" s="8634" t="s">
        <v>5856</v>
      </c>
      <c r="G1719" s="8634" t="s">
        <v>24</v>
      </c>
      <c r="H1719" s="8634" t="s">
        <v>24</v>
      </c>
      <c r="I1719" s="8634" t="s">
        <v>809</v>
      </c>
    </row>
    <row customHeight="1" ht="11.25">
      <c r="A1720" s="8634" t="s">
        <v>2182</v>
      </c>
      <c r="B1720" s="8634" t="s">
        <v>14</v>
      </c>
      <c r="C1720" s="8634" t="s">
        <v>5872</v>
      </c>
      <c r="D1720" s="8634" t="s">
        <v>5873</v>
      </c>
      <c r="E1720" s="8634" t="s">
        <v>5874</v>
      </c>
      <c r="F1720" s="8634" t="s">
        <v>2394</v>
      </c>
      <c r="G1720" s="8634" t="s">
        <v>24</v>
      </c>
      <c r="H1720" s="8634" t="s">
        <v>5875</v>
      </c>
      <c r="I1720" s="8634" t="s">
        <v>809</v>
      </c>
    </row>
    <row customHeight="1" ht="11.25">
      <c r="A1721" s="8634" t="s">
        <v>2182</v>
      </c>
      <c r="B1721" s="8634" t="s">
        <v>14</v>
      </c>
      <c r="C1721" s="8634" t="s">
        <v>5876</v>
      </c>
      <c r="D1721" s="8634" t="s">
        <v>5877</v>
      </c>
      <c r="E1721" s="8634" t="s">
        <v>5878</v>
      </c>
      <c r="F1721" s="8634" t="s">
        <v>2213</v>
      </c>
      <c r="G1721" s="8634" t="s">
        <v>5879</v>
      </c>
      <c r="H1721" s="8634" t="s">
        <v>24</v>
      </c>
      <c r="I1721" s="8634" t="s">
        <v>809</v>
      </c>
    </row>
    <row customHeight="1" ht="11.25">
      <c r="A1722" s="8634" t="s">
        <v>2182</v>
      </c>
      <c r="B1722" s="8634" t="s">
        <v>14</v>
      </c>
      <c r="C1722" s="8634" t="s">
        <v>5880</v>
      </c>
      <c r="D1722" s="8634" t="s">
        <v>5881</v>
      </c>
      <c r="E1722" s="8634" t="s">
        <v>5882</v>
      </c>
      <c r="F1722" s="8634" t="s">
        <v>2269</v>
      </c>
      <c r="G1722" s="8634" t="s">
        <v>24</v>
      </c>
      <c r="H1722" s="8634" t="s">
        <v>5883</v>
      </c>
      <c r="I1722" s="8634" t="s">
        <v>809</v>
      </c>
    </row>
    <row customHeight="1" ht="11.25">
      <c r="A1723" s="8634" t="s">
        <v>2182</v>
      </c>
      <c r="B1723" s="8634" t="s">
        <v>14</v>
      </c>
      <c r="C1723" s="8634" t="s">
        <v>5886</v>
      </c>
      <c r="D1723" s="8634" t="s">
        <v>5885</v>
      </c>
      <c r="E1723" s="8634" t="s">
        <v>5882</v>
      </c>
      <c r="F1723" s="8634" t="s">
        <v>4150</v>
      </c>
      <c r="G1723" s="8634" t="s">
        <v>24</v>
      </c>
      <c r="H1723" s="8634" t="s">
        <v>24</v>
      </c>
      <c r="I1723" s="8634" t="s">
        <v>809</v>
      </c>
    </row>
    <row customHeight="1" ht="11.25">
      <c r="A1724" s="8634" t="s">
        <v>2182</v>
      </c>
      <c r="B1724" s="8634" t="s">
        <v>14</v>
      </c>
      <c r="C1724" s="8634" t="s">
        <v>5887</v>
      </c>
      <c r="D1724" s="8634" t="s">
        <v>5888</v>
      </c>
      <c r="E1724" s="8634" t="s">
        <v>5889</v>
      </c>
      <c r="F1724" s="8634" t="s">
        <v>2322</v>
      </c>
      <c r="G1724" s="8634" t="s">
        <v>24</v>
      </c>
      <c r="H1724" s="8634" t="s">
        <v>24</v>
      </c>
      <c r="I1724" s="8634" t="s">
        <v>809</v>
      </c>
    </row>
    <row customHeight="1" ht="11.25">
      <c r="A1725" s="8634" t="s">
        <v>2182</v>
      </c>
      <c r="B1725" s="8634" t="s">
        <v>14</v>
      </c>
      <c r="C1725" s="8634" t="s">
        <v>5906</v>
      </c>
      <c r="D1725" s="8634" t="s">
        <v>5907</v>
      </c>
      <c r="E1725" s="8634" t="s">
        <v>5908</v>
      </c>
      <c r="F1725" s="8634" t="s">
        <v>2344</v>
      </c>
      <c r="G1725" s="8634" t="s">
        <v>24</v>
      </c>
      <c r="H1725" s="8634" t="s">
        <v>24</v>
      </c>
      <c r="I1725" s="8634" t="s">
        <v>809</v>
      </c>
    </row>
    <row customHeight="1" ht="11.25">
      <c r="A1726" s="8634" t="s">
        <v>2182</v>
      </c>
      <c r="B1726" s="8634" t="s">
        <v>14</v>
      </c>
      <c r="C1726" s="8634" t="s">
        <v>5909</v>
      </c>
      <c r="D1726" s="8634" t="s">
        <v>5910</v>
      </c>
      <c r="E1726" s="8634" t="s">
        <v>5911</v>
      </c>
      <c r="F1726" s="8634" t="s">
        <v>2322</v>
      </c>
      <c r="G1726" s="8634" t="s">
        <v>24</v>
      </c>
      <c r="H1726" s="8634" t="s">
        <v>24</v>
      </c>
      <c r="I1726" s="8634" t="s">
        <v>809</v>
      </c>
    </row>
    <row customHeight="1" ht="11.25">
      <c r="A1727" s="8634" t="s">
        <v>2182</v>
      </c>
      <c r="B1727" s="8634" t="s">
        <v>14</v>
      </c>
      <c r="C1727" s="8634" t="s">
        <v>5912</v>
      </c>
      <c r="D1727" s="8634" t="s">
        <v>5913</v>
      </c>
      <c r="E1727" s="8634" t="s">
        <v>5914</v>
      </c>
      <c r="F1727" s="8634" t="s">
        <v>5915</v>
      </c>
      <c r="G1727" s="8634" t="s">
        <v>24</v>
      </c>
      <c r="H1727" s="8634" t="s">
        <v>24</v>
      </c>
      <c r="I1727" s="8634" t="s">
        <v>809</v>
      </c>
    </row>
    <row customHeight="1" ht="11.25">
      <c r="A1728" s="8634" t="s">
        <v>2182</v>
      </c>
      <c r="B1728" s="8634" t="s">
        <v>14</v>
      </c>
      <c r="C1728" s="8634" t="s">
        <v>5916</v>
      </c>
      <c r="D1728" s="8634" t="s">
        <v>5913</v>
      </c>
      <c r="E1728" s="8634" t="s">
        <v>5914</v>
      </c>
      <c r="F1728" s="8634" t="s">
        <v>2314</v>
      </c>
      <c r="G1728" s="8634" t="s">
        <v>24</v>
      </c>
      <c r="H1728" s="8634" t="s">
        <v>24</v>
      </c>
      <c r="I1728" s="8634" t="s">
        <v>809</v>
      </c>
    </row>
    <row customHeight="1" ht="11.25">
      <c r="A1729" s="8634" t="s">
        <v>2182</v>
      </c>
      <c r="B1729" s="8634" t="s">
        <v>14</v>
      </c>
      <c r="C1729" s="8634" t="s">
        <v>5917</v>
      </c>
      <c r="D1729" s="8634" t="s">
        <v>5918</v>
      </c>
      <c r="E1729" s="8634" t="s">
        <v>5919</v>
      </c>
      <c r="F1729" s="8634" t="s">
        <v>2318</v>
      </c>
      <c r="G1729" s="8634" t="s">
        <v>5920</v>
      </c>
      <c r="H1729" s="8634" t="s">
        <v>24</v>
      </c>
      <c r="I1729" s="8634" t="s">
        <v>809</v>
      </c>
    </row>
    <row customHeight="1" ht="11.25">
      <c r="A1730" s="8634" t="s">
        <v>2182</v>
      </c>
      <c r="B1730" s="8634" t="s">
        <v>14</v>
      </c>
      <c r="C1730" s="8634" t="s">
        <v>5921</v>
      </c>
      <c r="D1730" s="8634" t="s">
        <v>5922</v>
      </c>
      <c r="E1730" s="8634" t="s">
        <v>5923</v>
      </c>
      <c r="F1730" s="8634" t="s">
        <v>2334</v>
      </c>
      <c r="G1730" s="8634" t="s">
        <v>24</v>
      </c>
      <c r="H1730" s="8634" t="s">
        <v>24</v>
      </c>
      <c r="I1730" s="8634" t="s">
        <v>809</v>
      </c>
    </row>
    <row customHeight="1" ht="11.25">
      <c r="A1731" s="8634" t="s">
        <v>2182</v>
      </c>
      <c r="B1731" s="8634" t="s">
        <v>14</v>
      </c>
      <c r="C1731" s="8634" t="s">
        <v>5924</v>
      </c>
      <c r="D1731" s="8634" t="s">
        <v>5925</v>
      </c>
      <c r="E1731" s="8634" t="s">
        <v>5926</v>
      </c>
      <c r="F1731" s="8634" t="s">
        <v>2344</v>
      </c>
      <c r="G1731" s="8634" t="s">
        <v>5927</v>
      </c>
      <c r="H1731" s="8634" t="s">
        <v>24</v>
      </c>
      <c r="I1731" s="8634" t="s">
        <v>809</v>
      </c>
    </row>
    <row customHeight="1" ht="11.25">
      <c r="A1732" s="8634" t="s">
        <v>2182</v>
      </c>
      <c r="B1732" s="8634" t="s">
        <v>14</v>
      </c>
      <c r="C1732" s="8634" t="s">
        <v>5928</v>
      </c>
      <c r="D1732" s="8634" t="s">
        <v>5929</v>
      </c>
      <c r="E1732" s="8634" t="s">
        <v>5930</v>
      </c>
      <c r="F1732" s="8634" t="s">
        <v>2186</v>
      </c>
      <c r="G1732" s="8634" t="s">
        <v>5931</v>
      </c>
      <c r="H1732" s="8634" t="s">
        <v>24</v>
      </c>
      <c r="I1732" s="8634" t="s">
        <v>809</v>
      </c>
    </row>
    <row customHeight="1" ht="11.25">
      <c r="A1733" s="8634" t="s">
        <v>2182</v>
      </c>
      <c r="B1733" s="8634" t="s">
        <v>14</v>
      </c>
      <c r="C1733" s="8634" t="s">
        <v>5932</v>
      </c>
      <c r="D1733" s="8634" t="s">
        <v>5933</v>
      </c>
      <c r="E1733" s="8634" t="s">
        <v>5934</v>
      </c>
      <c r="F1733" s="8634" t="s">
        <v>2600</v>
      </c>
      <c r="G1733" s="8634" t="s">
        <v>24</v>
      </c>
      <c r="H1733" s="8634" t="s">
        <v>24</v>
      </c>
      <c r="I1733" s="8634" t="s">
        <v>809</v>
      </c>
    </row>
    <row customHeight="1" ht="11.25">
      <c r="A1734" s="8634" t="s">
        <v>2182</v>
      </c>
      <c r="B1734" s="8634" t="s">
        <v>14</v>
      </c>
      <c r="C1734" s="8634" t="s">
        <v>5935</v>
      </c>
      <c r="D1734" s="8634" t="s">
        <v>5936</v>
      </c>
      <c r="E1734" s="8634" t="s">
        <v>5937</v>
      </c>
      <c r="F1734" s="8634" t="s">
        <v>2322</v>
      </c>
      <c r="G1734" s="8634" t="s">
        <v>5938</v>
      </c>
      <c r="H1734" s="8634" t="s">
        <v>24</v>
      </c>
      <c r="I1734" s="8634" t="s">
        <v>809</v>
      </c>
    </row>
    <row customHeight="1" ht="11.25">
      <c r="A1735" s="8634" t="s">
        <v>2182</v>
      </c>
      <c r="B1735" s="8634" t="s">
        <v>14</v>
      </c>
      <c r="C1735" s="8634" t="s">
        <v>5939</v>
      </c>
      <c r="D1735" s="8634" t="s">
        <v>5940</v>
      </c>
      <c r="E1735" s="8634" t="s">
        <v>5941</v>
      </c>
      <c r="F1735" s="8634" t="s">
        <v>2245</v>
      </c>
      <c r="G1735" s="8634" t="s">
        <v>24</v>
      </c>
      <c r="H1735" s="8634" t="s">
        <v>5942</v>
      </c>
      <c r="I1735" s="8634" t="s">
        <v>809</v>
      </c>
    </row>
    <row customHeight="1" ht="11.25">
      <c r="A1736" s="8634" t="s">
        <v>2182</v>
      </c>
      <c r="B1736" s="8634" t="s">
        <v>14</v>
      </c>
      <c r="C1736" s="8634" t="s">
        <v>5943</v>
      </c>
      <c r="D1736" s="8634" t="s">
        <v>5940</v>
      </c>
      <c r="E1736" s="8634" t="s">
        <v>5941</v>
      </c>
      <c r="F1736" s="8634" t="s">
        <v>2245</v>
      </c>
      <c r="G1736" s="8634" t="s">
        <v>5944</v>
      </c>
      <c r="H1736" s="8634" t="s">
        <v>24</v>
      </c>
      <c r="I1736" s="8634" t="s">
        <v>809</v>
      </c>
    </row>
    <row customHeight="1" ht="11.25">
      <c r="A1737" s="8634" t="s">
        <v>2182</v>
      </c>
      <c r="B1737" s="8634" t="s">
        <v>14</v>
      </c>
      <c r="C1737" s="8634" t="s">
        <v>5948</v>
      </c>
      <c r="D1737" s="8634" t="s">
        <v>5949</v>
      </c>
      <c r="E1737" s="8634" t="s">
        <v>5950</v>
      </c>
      <c r="F1737" s="8634" t="s">
        <v>3295</v>
      </c>
      <c r="G1737" s="8634" t="s">
        <v>24</v>
      </c>
      <c r="H1737" s="8634" t="s">
        <v>24</v>
      </c>
      <c r="I1737" s="8634" t="s">
        <v>809</v>
      </c>
    </row>
    <row customHeight="1" ht="11.25">
      <c r="A1738" s="8634" t="s">
        <v>2182</v>
      </c>
      <c r="B1738" s="8634" t="s">
        <v>14</v>
      </c>
      <c r="C1738" s="8634" t="s">
        <v>5951</v>
      </c>
      <c r="D1738" s="8634" t="s">
        <v>5952</v>
      </c>
      <c r="E1738" s="8634" t="s">
        <v>5953</v>
      </c>
      <c r="F1738" s="8634" t="s">
        <v>5954</v>
      </c>
      <c r="G1738" s="8634" t="s">
        <v>5955</v>
      </c>
      <c r="H1738" s="8634" t="s">
        <v>24</v>
      </c>
      <c r="I1738" s="8634" t="s">
        <v>809</v>
      </c>
    </row>
    <row customHeight="1" ht="11.25">
      <c r="A1739" s="8634" t="s">
        <v>2182</v>
      </c>
      <c r="B1739" s="8634" t="s">
        <v>14</v>
      </c>
      <c r="C1739" s="8634" t="s">
        <v>5960</v>
      </c>
      <c r="D1739" s="8634" t="s">
        <v>5961</v>
      </c>
      <c r="E1739" s="8634" t="s">
        <v>5962</v>
      </c>
      <c r="F1739" s="8634" t="s">
        <v>2344</v>
      </c>
      <c r="G1739" s="8634" t="s">
        <v>24</v>
      </c>
      <c r="H1739" s="8634" t="s">
        <v>24</v>
      </c>
      <c r="I1739" s="8634" t="s">
        <v>809</v>
      </c>
    </row>
    <row customHeight="1" ht="11.25">
      <c r="A1740" s="8634" t="s">
        <v>2182</v>
      </c>
      <c r="B1740" s="8634" t="s">
        <v>14</v>
      </c>
      <c r="C1740" s="8634" t="s">
        <v>5963</v>
      </c>
      <c r="D1740" s="8634" t="s">
        <v>5964</v>
      </c>
      <c r="E1740" s="8634" t="s">
        <v>5965</v>
      </c>
      <c r="F1740" s="8634" t="s">
        <v>2233</v>
      </c>
      <c r="G1740" s="8634" t="s">
        <v>24</v>
      </c>
      <c r="H1740" s="8634" t="s">
        <v>24</v>
      </c>
      <c r="I1740" s="8634" t="s">
        <v>809</v>
      </c>
    </row>
    <row customHeight="1" ht="11.25">
      <c r="A1741" s="8634" t="s">
        <v>2182</v>
      </c>
      <c r="B1741" s="8634" t="s">
        <v>14</v>
      </c>
      <c r="C1741" s="8634" t="s">
        <v>5966</v>
      </c>
      <c r="D1741" s="8634" t="s">
        <v>5967</v>
      </c>
      <c r="E1741" s="8634" t="s">
        <v>3817</v>
      </c>
      <c r="F1741" s="8634" t="s">
        <v>2549</v>
      </c>
      <c r="G1741" s="8634" t="s">
        <v>24</v>
      </c>
      <c r="H1741" s="8634" t="s">
        <v>5968</v>
      </c>
      <c r="I1741" s="8634" t="s">
        <v>809</v>
      </c>
    </row>
    <row customHeight="1" ht="11.25">
      <c r="A1742" s="8634" t="s">
        <v>2182</v>
      </c>
      <c r="B1742" s="8634" t="s">
        <v>14</v>
      </c>
      <c r="C1742" s="8634" t="s">
        <v>5969</v>
      </c>
      <c r="D1742" s="8634" t="s">
        <v>5970</v>
      </c>
      <c r="E1742" s="8634" t="s">
        <v>5971</v>
      </c>
      <c r="F1742" s="8634" t="s">
        <v>2890</v>
      </c>
      <c r="G1742" s="8634" t="s">
        <v>24</v>
      </c>
      <c r="H1742" s="8634" t="s">
        <v>2187</v>
      </c>
      <c r="I1742" s="8634" t="s">
        <v>809</v>
      </c>
    </row>
    <row customHeight="1" ht="11.25">
      <c r="A1743" s="8634" t="s">
        <v>2182</v>
      </c>
      <c r="B1743" s="8634" t="s">
        <v>14</v>
      </c>
      <c r="C1743" s="8634" t="s">
        <v>5972</v>
      </c>
      <c r="D1743" s="8634" t="s">
        <v>5973</v>
      </c>
      <c r="E1743" s="8634" t="s">
        <v>5974</v>
      </c>
      <c r="F1743" s="8634" t="s">
        <v>2269</v>
      </c>
      <c r="G1743" s="8634" t="s">
        <v>5975</v>
      </c>
      <c r="H1743" s="8634" t="s">
        <v>24</v>
      </c>
      <c r="I1743" s="8634" t="s">
        <v>809</v>
      </c>
    </row>
    <row customHeight="1" ht="11.25">
      <c r="A1744" s="8634" t="s">
        <v>2182</v>
      </c>
      <c r="B1744" s="8634" t="s">
        <v>14</v>
      </c>
      <c r="C1744" s="8634" t="s">
        <v>5976</v>
      </c>
      <c r="D1744" s="8634" t="s">
        <v>5977</v>
      </c>
      <c r="E1744" s="8634" t="s">
        <v>5978</v>
      </c>
      <c r="F1744" s="8634" t="s">
        <v>2411</v>
      </c>
      <c r="G1744" s="8634" t="s">
        <v>5979</v>
      </c>
      <c r="H1744" s="8634" t="s">
        <v>24</v>
      </c>
      <c r="I1744" s="8634" t="s">
        <v>809</v>
      </c>
    </row>
    <row customHeight="1" ht="11.25">
      <c r="A1745" s="8634" t="s">
        <v>2182</v>
      </c>
      <c r="B1745" s="8634" t="s">
        <v>14</v>
      </c>
      <c r="C1745" s="8634" t="s">
        <v>5980</v>
      </c>
      <c r="D1745" s="8634" t="s">
        <v>5981</v>
      </c>
      <c r="E1745" s="8634" t="s">
        <v>5982</v>
      </c>
      <c r="F1745" s="8634" t="s">
        <v>3278</v>
      </c>
      <c r="G1745" s="8634" t="s">
        <v>24</v>
      </c>
      <c r="H1745" s="8634" t="s">
        <v>2400</v>
      </c>
      <c r="I1745" s="8634" t="s">
        <v>809</v>
      </c>
    </row>
    <row customHeight="1" ht="11.25">
      <c r="A1746" s="8634" t="s">
        <v>2182</v>
      </c>
      <c r="B1746" s="8634" t="s">
        <v>14</v>
      </c>
      <c r="C1746" s="8634" t="s">
        <v>5986</v>
      </c>
      <c r="D1746" s="8634" t="s">
        <v>5987</v>
      </c>
      <c r="E1746" s="8634" t="s">
        <v>5988</v>
      </c>
      <c r="F1746" s="8634" t="s">
        <v>2447</v>
      </c>
      <c r="G1746" s="8634" t="s">
        <v>24</v>
      </c>
      <c r="H1746" s="8634" t="s">
        <v>24</v>
      </c>
      <c r="I1746" s="8634" t="s">
        <v>809</v>
      </c>
    </row>
    <row customHeight="1" ht="11.25">
      <c r="A1747" s="8634" t="s">
        <v>2182</v>
      </c>
      <c r="B1747" s="8634" t="s">
        <v>14</v>
      </c>
      <c r="C1747" s="8634" t="s">
        <v>5989</v>
      </c>
      <c r="D1747" s="8634" t="s">
        <v>5990</v>
      </c>
      <c r="E1747" s="8634" t="s">
        <v>5991</v>
      </c>
      <c r="F1747" s="8634" t="s">
        <v>2228</v>
      </c>
      <c r="G1747" s="8634" t="s">
        <v>24</v>
      </c>
      <c r="H1747" s="8634" t="s">
        <v>24</v>
      </c>
      <c r="I1747" s="8634" t="s">
        <v>809</v>
      </c>
    </row>
    <row customHeight="1" ht="11.25">
      <c r="A1748" s="8634" t="s">
        <v>2182</v>
      </c>
      <c r="B1748" s="8634" t="s">
        <v>14</v>
      </c>
      <c r="C1748" s="8634" t="s">
        <v>5992</v>
      </c>
      <c r="D1748" s="8634" t="s">
        <v>5993</v>
      </c>
      <c r="E1748" s="8634" t="s">
        <v>5994</v>
      </c>
      <c r="F1748" s="8634" t="s">
        <v>2344</v>
      </c>
      <c r="G1748" s="8634" t="s">
        <v>5995</v>
      </c>
      <c r="H1748" s="8634" t="s">
        <v>24</v>
      </c>
      <c r="I1748" s="8634" t="s">
        <v>809</v>
      </c>
    </row>
    <row customHeight="1" ht="11.25">
      <c r="A1749" s="8634" t="s">
        <v>2182</v>
      </c>
      <c r="B1749" s="8634" t="s">
        <v>14</v>
      </c>
      <c r="C1749" s="8634" t="s">
        <v>5996</v>
      </c>
      <c r="D1749" s="8634" t="s">
        <v>5997</v>
      </c>
      <c r="E1749" s="8634" t="s">
        <v>5998</v>
      </c>
      <c r="F1749" s="8634" t="s">
        <v>2626</v>
      </c>
      <c r="G1749" s="8634" t="s">
        <v>24</v>
      </c>
      <c r="H1749" s="8634" t="s">
        <v>24</v>
      </c>
      <c r="I1749" s="8634" t="s">
        <v>809</v>
      </c>
    </row>
    <row customHeight="1" ht="11.25">
      <c r="A1750" s="8634" t="s">
        <v>2182</v>
      </c>
      <c r="B1750" s="8634" t="s">
        <v>14</v>
      </c>
      <c r="C1750" s="8634" t="s">
        <v>5999</v>
      </c>
      <c r="D1750" s="8634" t="s">
        <v>6000</v>
      </c>
      <c r="E1750" s="8634" t="s">
        <v>6001</v>
      </c>
      <c r="F1750" s="8634" t="s">
        <v>2233</v>
      </c>
      <c r="G1750" s="8634" t="s">
        <v>24</v>
      </c>
      <c r="H1750" s="8634" t="s">
        <v>24</v>
      </c>
      <c r="I1750" s="8634" t="s">
        <v>809</v>
      </c>
    </row>
    <row customHeight="1" ht="11.25">
      <c r="A1751" s="8634" t="s">
        <v>2182</v>
      </c>
      <c r="B1751" s="8634" t="s">
        <v>14</v>
      </c>
      <c r="C1751" s="8634" t="s">
        <v>6002</v>
      </c>
      <c r="D1751" s="8634" t="s">
        <v>6003</v>
      </c>
      <c r="E1751" s="8634" t="s">
        <v>6004</v>
      </c>
      <c r="F1751" s="8634" t="s">
        <v>2213</v>
      </c>
      <c r="G1751" s="8634" t="s">
        <v>24</v>
      </c>
      <c r="H1751" s="8634" t="s">
        <v>24</v>
      </c>
      <c r="I1751" s="8634" t="s">
        <v>809</v>
      </c>
    </row>
    <row customHeight="1" ht="11.25">
      <c r="A1752" s="8634" t="s">
        <v>2182</v>
      </c>
      <c r="B1752" s="8634" t="s">
        <v>14</v>
      </c>
      <c r="C1752" s="8634" t="s">
        <v>6005</v>
      </c>
      <c r="D1752" s="8634" t="s">
        <v>6006</v>
      </c>
      <c r="E1752" s="8634" t="s">
        <v>6007</v>
      </c>
      <c r="F1752" s="8634" t="s">
        <v>2339</v>
      </c>
      <c r="G1752" s="8634" t="s">
        <v>24</v>
      </c>
      <c r="H1752" s="8634" t="s">
        <v>24</v>
      </c>
      <c r="I1752" s="8634" t="s">
        <v>809</v>
      </c>
    </row>
    <row customHeight="1" ht="11.25">
      <c r="A1753" s="8634" t="s">
        <v>2182</v>
      </c>
      <c r="B1753" s="8634" t="s">
        <v>14</v>
      </c>
      <c r="C1753" s="8634" t="s">
        <v>6008</v>
      </c>
      <c r="D1753" s="8634" t="s">
        <v>6009</v>
      </c>
      <c r="E1753" s="8634" t="s">
        <v>6010</v>
      </c>
      <c r="F1753" s="8634" t="s">
        <v>2890</v>
      </c>
      <c r="G1753" s="8634" t="s">
        <v>24</v>
      </c>
      <c r="H1753" s="8634" t="s">
        <v>24</v>
      </c>
      <c r="I1753" s="8634" t="s">
        <v>809</v>
      </c>
    </row>
    <row customHeight="1" ht="11.25">
      <c r="A1754" s="8634" t="s">
        <v>2182</v>
      </c>
      <c r="B1754" s="8634" t="s">
        <v>14</v>
      </c>
      <c r="C1754" s="8634" t="s">
        <v>6030</v>
      </c>
      <c r="D1754" s="8634" t="s">
        <v>6031</v>
      </c>
      <c r="E1754" s="8634" t="s">
        <v>6032</v>
      </c>
      <c r="F1754" s="8634" t="s">
        <v>2213</v>
      </c>
      <c r="G1754" s="8634" t="s">
        <v>24</v>
      </c>
      <c r="H1754" s="8634" t="s">
        <v>24</v>
      </c>
      <c r="I1754" s="8634" t="s">
        <v>809</v>
      </c>
    </row>
    <row customHeight="1" ht="11.25">
      <c r="A1755" s="8634" t="s">
        <v>2182</v>
      </c>
      <c r="B1755" s="8634" t="s">
        <v>14</v>
      </c>
      <c r="C1755" s="8634" t="s">
        <v>6043</v>
      </c>
      <c r="D1755" s="8634" t="s">
        <v>6044</v>
      </c>
      <c r="E1755" s="8634" t="s">
        <v>6045</v>
      </c>
      <c r="F1755" s="8634" t="s">
        <v>2233</v>
      </c>
      <c r="G1755" s="8634" t="s">
        <v>24</v>
      </c>
      <c r="H1755" s="8634" t="s">
        <v>2187</v>
      </c>
      <c r="I1755" s="8634" t="s">
        <v>809</v>
      </c>
    </row>
    <row customHeight="1" ht="11.25">
      <c r="A1756" s="8634" t="s">
        <v>2182</v>
      </c>
      <c r="B1756" s="8634" t="s">
        <v>14</v>
      </c>
      <c r="C1756" s="8634" t="s">
        <v>6049</v>
      </c>
      <c r="D1756" s="8634" t="s">
        <v>6050</v>
      </c>
      <c r="E1756" s="8634" t="s">
        <v>6051</v>
      </c>
      <c r="F1756" s="8634" t="s">
        <v>2218</v>
      </c>
      <c r="G1756" s="8634" t="s">
        <v>24</v>
      </c>
      <c r="H1756" s="8634" t="s">
        <v>2187</v>
      </c>
      <c r="I1756" s="8634" t="s">
        <v>809</v>
      </c>
    </row>
    <row customHeight="1" ht="11.25">
      <c r="A1757" s="8634" t="s">
        <v>2182</v>
      </c>
      <c r="B1757" s="8634" t="s">
        <v>14</v>
      </c>
      <c r="C1757" s="8634" t="s">
        <v>6074</v>
      </c>
      <c r="D1757" s="8634" t="s">
        <v>6075</v>
      </c>
      <c r="E1757" s="8634" t="s">
        <v>6076</v>
      </c>
      <c r="F1757" s="8634" t="s">
        <v>2411</v>
      </c>
      <c r="G1757" s="8634" t="s">
        <v>24</v>
      </c>
      <c r="H1757" s="8634" t="s">
        <v>24</v>
      </c>
      <c r="I1757" s="8634" t="s">
        <v>809</v>
      </c>
    </row>
    <row customHeight="1" ht="11.25">
      <c r="A1758" s="8634" t="s">
        <v>2182</v>
      </c>
      <c r="B1758" s="8634" t="s">
        <v>14</v>
      </c>
      <c r="C1758" s="8634" t="s">
        <v>6077</v>
      </c>
      <c r="D1758" s="8634" t="s">
        <v>6078</v>
      </c>
      <c r="E1758" s="8634" t="s">
        <v>6079</v>
      </c>
      <c r="F1758" s="8634" t="s">
        <v>4352</v>
      </c>
      <c r="G1758" s="8634" t="s">
        <v>24</v>
      </c>
      <c r="H1758" s="8634" t="s">
        <v>2870</v>
      </c>
      <c r="I1758" s="8634" t="s">
        <v>809</v>
      </c>
    </row>
    <row customHeight="1" ht="11.25">
      <c r="A1759" s="8634" t="s">
        <v>2182</v>
      </c>
      <c r="B1759" s="8634" t="s">
        <v>14</v>
      </c>
      <c r="C1759" s="8634" t="s">
        <v>6080</v>
      </c>
      <c r="D1759" s="8634" t="s">
        <v>6081</v>
      </c>
      <c r="E1759" s="8634" t="s">
        <v>6072</v>
      </c>
      <c r="F1759" s="8634" t="s">
        <v>6082</v>
      </c>
      <c r="G1759" s="8634" t="s">
        <v>24</v>
      </c>
      <c r="H1759" s="8634" t="s">
        <v>24</v>
      </c>
      <c r="I1759" s="8634" t="s">
        <v>809</v>
      </c>
    </row>
    <row customHeight="1" ht="11.25">
      <c r="A1760" s="8634" t="s">
        <v>2182</v>
      </c>
      <c r="B1760" s="8634" t="s">
        <v>14</v>
      </c>
      <c r="C1760" s="8634" t="s">
        <v>6089</v>
      </c>
      <c r="D1760" s="8634" t="s">
        <v>6090</v>
      </c>
      <c r="E1760" s="8634" t="s">
        <v>6091</v>
      </c>
      <c r="F1760" s="8634" t="s">
        <v>2318</v>
      </c>
      <c r="G1760" s="8634" t="s">
        <v>6092</v>
      </c>
      <c r="H1760" s="8634" t="s">
        <v>24</v>
      </c>
      <c r="I1760" s="8634" t="s">
        <v>809</v>
      </c>
    </row>
    <row customHeight="1" ht="11.25">
      <c r="A1761" s="8634" t="s">
        <v>2182</v>
      </c>
      <c r="B1761" s="8634" t="s">
        <v>14</v>
      </c>
      <c r="C1761" s="8634" t="s">
        <v>6093</v>
      </c>
      <c r="D1761" s="8634" t="s">
        <v>6094</v>
      </c>
      <c r="E1761" s="8634" t="s">
        <v>6095</v>
      </c>
      <c r="F1761" s="8634" t="s">
        <v>2438</v>
      </c>
      <c r="G1761" s="8634" t="s">
        <v>24</v>
      </c>
      <c r="H1761" s="8634" t="s">
        <v>6096</v>
      </c>
      <c r="I1761" s="8634" t="s">
        <v>809</v>
      </c>
    </row>
    <row customHeight="1" ht="11.25">
      <c r="A1762" s="8634" t="s">
        <v>2182</v>
      </c>
      <c r="B1762" s="8634" t="s">
        <v>14</v>
      </c>
      <c r="C1762" s="8634" t="s">
        <v>6393</v>
      </c>
      <c r="D1762" s="8634" t="s">
        <v>6394</v>
      </c>
      <c r="E1762" s="8634" t="s">
        <v>3648</v>
      </c>
      <c r="F1762" s="8634" t="s">
        <v>6395</v>
      </c>
      <c r="G1762" s="8634" t="s">
        <v>24</v>
      </c>
      <c r="H1762" s="8634" t="s">
        <v>6396</v>
      </c>
      <c r="I1762" s="8634" t="s">
        <v>809</v>
      </c>
    </row>
    <row customHeight="1" ht="11.25">
      <c r="A1763" s="8634" t="s">
        <v>2182</v>
      </c>
      <c r="B1763" s="8634" t="s">
        <v>14</v>
      </c>
      <c r="C1763" s="8634" t="s">
        <v>6103</v>
      </c>
      <c r="D1763" s="8634" t="s">
        <v>6104</v>
      </c>
      <c r="E1763" s="8634" t="s">
        <v>6105</v>
      </c>
      <c r="F1763" s="8634" t="s">
        <v>2948</v>
      </c>
      <c r="G1763" s="8634" t="s">
        <v>24</v>
      </c>
      <c r="H1763" s="8634" t="s">
        <v>6106</v>
      </c>
      <c r="I1763" s="8634" t="s">
        <v>809</v>
      </c>
    </row>
    <row customHeight="1" ht="11.25">
      <c r="A1764" s="8634" t="s">
        <v>2182</v>
      </c>
      <c r="B1764" s="8634" t="s">
        <v>14</v>
      </c>
      <c r="C1764" s="8634" t="s">
        <v>6107</v>
      </c>
      <c r="D1764" s="8634" t="s">
        <v>6108</v>
      </c>
      <c r="E1764" s="8634" t="s">
        <v>6109</v>
      </c>
      <c r="F1764" s="8634" t="s">
        <v>6110</v>
      </c>
      <c r="G1764" s="8634" t="s">
        <v>24</v>
      </c>
      <c r="H1764" s="8634" t="s">
        <v>24</v>
      </c>
      <c r="I1764" s="8634" t="s">
        <v>809</v>
      </c>
    </row>
    <row customHeight="1" ht="11.25">
      <c r="A1765" s="8634" t="s">
        <v>2182</v>
      </c>
      <c r="B1765" s="8634" t="s">
        <v>14</v>
      </c>
      <c r="C1765" s="8634" t="s">
        <v>6114</v>
      </c>
      <c r="D1765" s="8634" t="s">
        <v>6115</v>
      </c>
      <c r="E1765" s="8634" t="s">
        <v>6116</v>
      </c>
      <c r="F1765" s="8634" t="s">
        <v>2322</v>
      </c>
      <c r="G1765" s="8634" t="s">
        <v>24</v>
      </c>
      <c r="H1765" s="8634" t="s">
        <v>24</v>
      </c>
      <c r="I1765" s="8634" t="s">
        <v>809</v>
      </c>
    </row>
    <row customHeight="1" ht="11.25">
      <c r="A1766" s="8634" t="s">
        <v>2182</v>
      </c>
      <c r="B1766" s="8634" t="s">
        <v>14</v>
      </c>
      <c r="C1766" s="8634" t="s">
        <v>6117</v>
      </c>
      <c r="D1766" s="8634" t="s">
        <v>6118</v>
      </c>
      <c r="E1766" s="8634" t="s">
        <v>6119</v>
      </c>
      <c r="F1766" s="8634" t="s">
        <v>2600</v>
      </c>
      <c r="G1766" s="8634" t="s">
        <v>6120</v>
      </c>
      <c r="H1766" s="8634" t="s">
        <v>24</v>
      </c>
      <c r="I1766" s="8634" t="s">
        <v>809</v>
      </c>
    </row>
    <row customHeight="1" ht="11.25">
      <c r="A1767" s="8634" t="s">
        <v>2182</v>
      </c>
      <c r="B1767" s="8634" t="s">
        <v>14</v>
      </c>
      <c r="C1767" s="8634" t="s">
        <v>6125</v>
      </c>
      <c r="D1767" s="8634" t="s">
        <v>6126</v>
      </c>
      <c r="E1767" s="8634" t="s">
        <v>6127</v>
      </c>
      <c r="F1767" s="8634" t="s">
        <v>2394</v>
      </c>
      <c r="G1767" s="8634" t="s">
        <v>24</v>
      </c>
      <c r="H1767" s="8634" t="s">
        <v>6128</v>
      </c>
      <c r="I1767" s="8634" t="s">
        <v>809</v>
      </c>
    </row>
    <row customHeight="1" ht="11.25">
      <c r="A1768" s="8634" t="s">
        <v>2182</v>
      </c>
      <c r="B1768" s="8634" t="s">
        <v>14</v>
      </c>
      <c r="C1768" s="8634" t="s">
        <v>6136</v>
      </c>
      <c r="D1768" s="8634" t="s">
        <v>6137</v>
      </c>
      <c r="E1768" s="8634" t="s">
        <v>6138</v>
      </c>
      <c r="F1768" s="8634" t="s">
        <v>2284</v>
      </c>
      <c r="G1768" s="8634" t="s">
        <v>24</v>
      </c>
      <c r="H1768" s="8634" t="s">
        <v>24</v>
      </c>
      <c r="I1768" s="8634" t="s">
        <v>809</v>
      </c>
    </row>
    <row customHeight="1" ht="11.25">
      <c r="A1769" s="8634" t="s">
        <v>2182</v>
      </c>
      <c r="B1769" s="8634" t="s">
        <v>14</v>
      </c>
      <c r="C1769" s="8634" t="s">
        <v>6139</v>
      </c>
      <c r="D1769" s="8634" t="s">
        <v>6140</v>
      </c>
      <c r="E1769" s="8634" t="s">
        <v>6141</v>
      </c>
      <c r="F1769" s="8634" t="s">
        <v>2600</v>
      </c>
      <c r="G1769" s="8634" t="s">
        <v>24</v>
      </c>
      <c r="H1769" s="8634" t="s">
        <v>24</v>
      </c>
      <c r="I1769" s="8634" t="s">
        <v>809</v>
      </c>
    </row>
    <row customHeight="1" ht="11.25">
      <c r="A1770" s="8634" t="s">
        <v>2182</v>
      </c>
      <c r="B1770" s="8634" t="s">
        <v>14</v>
      </c>
      <c r="C1770" s="8634" t="s">
        <v>6142</v>
      </c>
      <c r="D1770" s="8634" t="s">
        <v>6143</v>
      </c>
      <c r="E1770" s="8634" t="s">
        <v>6144</v>
      </c>
      <c r="F1770" s="8634" t="s">
        <v>2890</v>
      </c>
      <c r="G1770" s="8634" t="s">
        <v>24</v>
      </c>
      <c r="H1770" s="8634" t="s">
        <v>24</v>
      </c>
      <c r="I1770" s="8634" t="s">
        <v>809</v>
      </c>
    </row>
    <row customHeight="1" ht="11.25">
      <c r="A1771" s="8634" t="s">
        <v>2182</v>
      </c>
      <c r="B1771" s="8634" t="s">
        <v>14</v>
      </c>
      <c r="C1771" s="8634" t="s">
        <v>6145</v>
      </c>
      <c r="D1771" s="8634" t="s">
        <v>6146</v>
      </c>
      <c r="E1771" s="8634" t="s">
        <v>6147</v>
      </c>
      <c r="F1771" s="8634" t="s">
        <v>2411</v>
      </c>
      <c r="G1771" s="8634" t="s">
        <v>6148</v>
      </c>
      <c r="H1771" s="8634" t="s">
        <v>24</v>
      </c>
      <c r="I1771" s="8634" t="s">
        <v>809</v>
      </c>
    </row>
    <row customHeight="1" ht="11.25">
      <c r="A1772" s="8634" t="s">
        <v>2182</v>
      </c>
      <c r="B1772" s="8634" t="s">
        <v>14</v>
      </c>
      <c r="C1772" s="8634" t="s">
        <v>6153</v>
      </c>
      <c r="D1772" s="8634" t="s">
        <v>6154</v>
      </c>
      <c r="E1772" s="8634" t="s">
        <v>6155</v>
      </c>
      <c r="F1772" s="8634" t="s">
        <v>2233</v>
      </c>
      <c r="G1772" s="8634" t="s">
        <v>24</v>
      </c>
      <c r="H1772" s="8634" t="s">
        <v>24</v>
      </c>
      <c r="I1772" s="8634" t="s">
        <v>809</v>
      </c>
    </row>
    <row customHeight="1" ht="11.25">
      <c r="A1773" s="8634" t="s">
        <v>2182</v>
      </c>
      <c r="B1773" s="8634" t="s">
        <v>14</v>
      </c>
      <c r="C1773" s="8634" t="s">
        <v>6156</v>
      </c>
      <c r="D1773" s="8634" t="s">
        <v>6157</v>
      </c>
      <c r="E1773" s="8634" t="s">
        <v>6158</v>
      </c>
      <c r="F1773" s="8634" t="s">
        <v>2512</v>
      </c>
      <c r="G1773" s="8634" t="s">
        <v>24</v>
      </c>
      <c r="H1773" s="8634" t="s">
        <v>2187</v>
      </c>
      <c r="I1773" s="8634" t="s">
        <v>809</v>
      </c>
    </row>
    <row customHeight="1" ht="11.25">
      <c r="A1774" s="8634" t="s">
        <v>2182</v>
      </c>
      <c r="B1774" s="8634" t="s">
        <v>14</v>
      </c>
      <c r="C1774" s="8634" t="s">
        <v>6159</v>
      </c>
      <c r="D1774" s="8634" t="s">
        <v>6160</v>
      </c>
      <c r="E1774" s="8634" t="s">
        <v>6161</v>
      </c>
      <c r="F1774" s="8634" t="s">
        <v>2394</v>
      </c>
      <c r="G1774" s="8634" t="s">
        <v>24</v>
      </c>
      <c r="H1774" s="8634" t="s">
        <v>24</v>
      </c>
      <c r="I1774" s="8634" t="s">
        <v>809</v>
      </c>
    </row>
    <row customHeight="1" ht="11.25">
      <c r="A1775" s="8634" t="s">
        <v>2182</v>
      </c>
      <c r="B1775" s="8634" t="s">
        <v>14</v>
      </c>
      <c r="C1775" s="8634" t="s">
        <v>6162</v>
      </c>
      <c r="D1775" s="8634" t="s">
        <v>6163</v>
      </c>
      <c r="E1775" s="8634" t="s">
        <v>6164</v>
      </c>
      <c r="F1775" s="8634" t="s">
        <v>2344</v>
      </c>
      <c r="G1775" s="8634" t="s">
        <v>6165</v>
      </c>
      <c r="H1775" s="8634" t="s">
        <v>24</v>
      </c>
      <c r="I1775" s="8634" t="s">
        <v>809</v>
      </c>
    </row>
    <row customHeight="1" ht="11.25">
      <c r="A1776" s="8634" t="s">
        <v>2182</v>
      </c>
      <c r="B1776" s="8634" t="s">
        <v>14</v>
      </c>
      <c r="C1776" s="8634" t="s">
        <v>6166</v>
      </c>
      <c r="D1776" s="8634" t="s">
        <v>6167</v>
      </c>
      <c r="E1776" s="8634" t="s">
        <v>3871</v>
      </c>
      <c r="F1776" s="8634" t="s">
        <v>2772</v>
      </c>
      <c r="G1776" s="8634" t="s">
        <v>5875</v>
      </c>
      <c r="H1776" s="8634" t="s">
        <v>24</v>
      </c>
      <c r="I1776" s="8634" t="s">
        <v>809</v>
      </c>
    </row>
    <row customHeight="1" ht="11.25">
      <c r="A1777" s="8634" t="s">
        <v>2182</v>
      </c>
      <c r="B1777" s="8634" t="s">
        <v>14</v>
      </c>
      <c r="C1777" s="8634" t="s">
        <v>6168</v>
      </c>
      <c r="D1777" s="8634" t="s">
        <v>6169</v>
      </c>
      <c r="E1777" s="8634" t="s">
        <v>6170</v>
      </c>
      <c r="F1777" s="8634" t="s">
        <v>6171</v>
      </c>
      <c r="G1777" s="8634" t="s">
        <v>24</v>
      </c>
      <c r="H1777" s="8634" t="s">
        <v>2187</v>
      </c>
      <c r="I1777" s="8634" t="s">
        <v>809</v>
      </c>
    </row>
    <row customHeight="1" ht="11.25">
      <c r="A1778" s="8634" t="s">
        <v>2182</v>
      </c>
      <c r="B1778" s="8634" t="s">
        <v>14</v>
      </c>
      <c r="C1778" s="8634" t="s">
        <v>6172</v>
      </c>
      <c r="D1778" s="8634" t="s">
        <v>6169</v>
      </c>
      <c r="E1778" s="8634" t="s">
        <v>6170</v>
      </c>
      <c r="F1778" s="8634" t="s">
        <v>2318</v>
      </c>
      <c r="G1778" s="8634" t="s">
        <v>6173</v>
      </c>
      <c r="H1778" s="8634" t="s">
        <v>24</v>
      </c>
      <c r="I1778" s="8634" t="s">
        <v>809</v>
      </c>
    </row>
    <row customHeight="1" ht="11.25">
      <c r="A1779" s="8634" t="s">
        <v>2182</v>
      </c>
      <c r="B1779" s="8634" t="s">
        <v>14</v>
      </c>
      <c r="C1779" s="8634" t="s">
        <v>6186</v>
      </c>
      <c r="D1779" s="8634" t="s">
        <v>44</v>
      </c>
      <c r="E1779" s="8634" t="s">
        <v>47</v>
      </c>
      <c r="F1779" s="8634" t="s">
        <v>49</v>
      </c>
      <c r="G1779" s="8634" t="s">
        <v>6187</v>
      </c>
      <c r="H1779" s="8634" t="s">
        <v>24</v>
      </c>
      <c r="I1779" s="8634" t="s">
        <v>809</v>
      </c>
    </row>
    <row customHeight="1" ht="11.25">
      <c r="A1780" s="8634" t="s">
        <v>2182</v>
      </c>
      <c r="B1780" s="8634" t="s">
        <v>14</v>
      </c>
      <c r="C1780" s="8634" t="s">
        <v>6397</v>
      </c>
      <c r="D1780" s="8634" t="s">
        <v>6398</v>
      </c>
      <c r="E1780" s="8634" t="s">
        <v>5703</v>
      </c>
      <c r="F1780" s="8634" t="s">
        <v>6399</v>
      </c>
      <c r="G1780" s="8634" t="s">
        <v>24</v>
      </c>
      <c r="H1780" s="8634" t="s">
        <v>3222</v>
      </c>
      <c r="I1780" s="8634" t="s">
        <v>809</v>
      </c>
    </row>
    <row customHeight="1" ht="11.25">
      <c r="A1781" s="8634" t="s">
        <v>2182</v>
      </c>
      <c r="B1781" s="8634" t="s">
        <v>14</v>
      </c>
      <c r="C1781" s="8634" t="s">
        <v>6196</v>
      </c>
      <c r="D1781" s="8634" t="s">
        <v>6197</v>
      </c>
      <c r="E1781" s="8634" t="s">
        <v>6198</v>
      </c>
      <c r="F1781" s="8634" t="s">
        <v>6199</v>
      </c>
      <c r="G1781" s="8634" t="s">
        <v>6200</v>
      </c>
      <c r="H1781" s="8634" t="s">
        <v>24</v>
      </c>
      <c r="I1781" s="8634" t="s">
        <v>809</v>
      </c>
    </row>
    <row customHeight="1" ht="11.25">
      <c r="A1782" s="8634" t="s">
        <v>2182</v>
      </c>
      <c r="B1782" s="8634" t="s">
        <v>14</v>
      </c>
      <c r="C1782" s="8634" t="s">
        <v>6201</v>
      </c>
      <c r="D1782" s="8634" t="s">
        <v>6202</v>
      </c>
      <c r="E1782" s="8634" t="s">
        <v>6203</v>
      </c>
      <c r="F1782" s="8634" t="s">
        <v>6204</v>
      </c>
      <c r="G1782" s="8634" t="s">
        <v>6205</v>
      </c>
      <c r="H1782" s="8634" t="s">
        <v>24</v>
      </c>
      <c r="I1782" s="8634" t="s">
        <v>809</v>
      </c>
    </row>
    <row customHeight="1" ht="11.25">
      <c r="A1783" s="8634" t="s">
        <v>2182</v>
      </c>
      <c r="B1783" s="8634" t="s">
        <v>14</v>
      </c>
      <c r="C1783" s="8634" t="s">
        <v>6206</v>
      </c>
      <c r="D1783" s="8634" t="s">
        <v>6207</v>
      </c>
      <c r="E1783" s="8634" t="s">
        <v>3020</v>
      </c>
      <c r="F1783" s="8634" t="s">
        <v>6208</v>
      </c>
      <c r="G1783" s="8634" t="s">
        <v>6209</v>
      </c>
      <c r="H1783" s="8634" t="s">
        <v>2187</v>
      </c>
      <c r="I1783" s="8634" t="s">
        <v>809</v>
      </c>
    </row>
    <row customHeight="1" ht="11.25">
      <c r="A1784" s="8634" t="s">
        <v>2182</v>
      </c>
      <c r="B1784" s="8634" t="s">
        <v>14</v>
      </c>
      <c r="C1784" s="8634" t="s">
        <v>6215</v>
      </c>
      <c r="D1784" s="8634" t="s">
        <v>6216</v>
      </c>
      <c r="E1784" s="8634" t="s">
        <v>6217</v>
      </c>
      <c r="F1784" s="8634" t="s">
        <v>6218</v>
      </c>
      <c r="G1784" s="8634" t="s">
        <v>24</v>
      </c>
      <c r="H1784" s="8634" t="s">
        <v>24</v>
      </c>
      <c r="I1784" s="8634" t="s">
        <v>809</v>
      </c>
    </row>
    <row customHeight="1" ht="11.25">
      <c r="A1785" s="8634" t="s">
        <v>2182</v>
      </c>
      <c r="B1785" s="8634" t="s">
        <v>14</v>
      </c>
      <c r="C1785" s="8634" t="s">
        <v>6400</v>
      </c>
      <c r="D1785" s="8634" t="s">
        <v>6401</v>
      </c>
      <c r="E1785" s="8634" t="s">
        <v>2585</v>
      </c>
      <c r="F1785" s="8634" t="s">
        <v>6402</v>
      </c>
      <c r="G1785" s="8634" t="s">
        <v>24</v>
      </c>
      <c r="H1785" s="8634" t="s">
        <v>2187</v>
      </c>
      <c r="I1785" s="8634" t="s">
        <v>809</v>
      </c>
    </row>
    <row customHeight="1" ht="11.25">
      <c r="A1786" s="8634" t="s">
        <v>2182</v>
      </c>
      <c r="B1786" s="8634" t="s">
        <v>14</v>
      </c>
      <c r="C1786" s="8634" t="s">
        <v>6219</v>
      </c>
      <c r="D1786" s="8634" t="s">
        <v>6220</v>
      </c>
      <c r="E1786" s="8634" t="s">
        <v>6221</v>
      </c>
      <c r="F1786" s="8634" t="s">
        <v>2322</v>
      </c>
      <c r="G1786" s="8634" t="s">
        <v>24</v>
      </c>
      <c r="H1786" s="8634" t="s">
        <v>24</v>
      </c>
      <c r="I1786" s="8634" t="s">
        <v>809</v>
      </c>
    </row>
    <row customHeight="1" ht="11.25">
      <c r="A1787" s="8634" t="s">
        <v>2182</v>
      </c>
      <c r="B1787" s="8634" t="s">
        <v>14</v>
      </c>
      <c r="C1787" s="8634" t="s">
        <v>6222</v>
      </c>
      <c r="D1787" s="8634" t="s">
        <v>6223</v>
      </c>
      <c r="E1787" s="8634" t="s">
        <v>5171</v>
      </c>
      <c r="F1787" s="8634" t="s">
        <v>6224</v>
      </c>
      <c r="G1787" s="8634" t="s">
        <v>24</v>
      </c>
      <c r="H1787" s="8634" t="s">
        <v>24</v>
      </c>
      <c r="I1787" s="8634" t="s">
        <v>809</v>
      </c>
    </row>
    <row customHeight="1" ht="11.25">
      <c r="A1788" s="8634" t="s">
        <v>2182</v>
      </c>
      <c r="B1788" s="8634" t="s">
        <v>14</v>
      </c>
      <c r="C1788" s="8634" t="s">
        <v>6225</v>
      </c>
      <c r="D1788" s="8634" t="s">
        <v>6226</v>
      </c>
      <c r="E1788" s="8634" t="s">
        <v>5698</v>
      </c>
      <c r="F1788" s="8634" t="s">
        <v>6227</v>
      </c>
      <c r="G1788" s="8634" t="s">
        <v>24</v>
      </c>
      <c r="H1788" s="8634" t="s">
        <v>24</v>
      </c>
      <c r="I1788" s="8634" t="s">
        <v>809</v>
      </c>
    </row>
    <row customHeight="1" ht="11.25">
      <c r="A1789" s="8634" t="s">
        <v>2182</v>
      </c>
      <c r="B1789" s="8634" t="s">
        <v>14</v>
      </c>
      <c r="C1789" s="8634" t="s">
        <v>6236</v>
      </c>
      <c r="D1789" s="8634" t="s">
        <v>6237</v>
      </c>
      <c r="E1789" s="8634" t="s">
        <v>6238</v>
      </c>
      <c r="F1789" s="8634" t="s">
        <v>2721</v>
      </c>
      <c r="G1789" s="8634" t="s">
        <v>6239</v>
      </c>
      <c r="H1789" s="8634" t="s">
        <v>24</v>
      </c>
      <c r="I1789" s="8634" t="s">
        <v>809</v>
      </c>
    </row>
    <row customHeight="1" ht="11.25">
      <c r="A1790" s="8634" t="s">
        <v>2182</v>
      </c>
      <c r="B1790" s="8634" t="s">
        <v>14</v>
      </c>
      <c r="C1790" s="8634" t="s">
        <v>6240</v>
      </c>
      <c r="D1790" s="8634" t="s">
        <v>6241</v>
      </c>
      <c r="E1790" s="8634" t="s">
        <v>5171</v>
      </c>
      <c r="F1790" s="8634" t="s">
        <v>6242</v>
      </c>
      <c r="G1790" s="8634" t="s">
        <v>24</v>
      </c>
      <c r="H1790" s="8634" t="s">
        <v>24</v>
      </c>
      <c r="I1790" s="8634" t="s">
        <v>809</v>
      </c>
    </row>
    <row customHeight="1" ht="11.25">
      <c r="A1791" s="8634" t="s">
        <v>2182</v>
      </c>
      <c r="B1791" s="8634" t="s">
        <v>14</v>
      </c>
      <c r="C1791" s="8634" t="s">
        <v>6251</v>
      </c>
      <c r="D1791" s="8634" t="s">
        <v>6252</v>
      </c>
      <c r="E1791" s="8634" t="s">
        <v>5777</v>
      </c>
      <c r="F1791" s="8634" t="s">
        <v>6253</v>
      </c>
      <c r="G1791" s="8634" t="s">
        <v>24</v>
      </c>
      <c r="H1791" s="8634" t="s">
        <v>24</v>
      </c>
      <c r="I1791" s="8634" t="s">
        <v>809</v>
      </c>
    </row>
    <row customHeight="1" ht="11.25">
      <c r="A1792" s="8634" t="s">
        <v>2182</v>
      </c>
      <c r="B1792" s="8634" t="s">
        <v>14</v>
      </c>
      <c r="C1792" s="8634" t="s">
        <v>6254</v>
      </c>
      <c r="D1792" s="8634" t="s">
        <v>6255</v>
      </c>
      <c r="E1792" s="8634" t="s">
        <v>2325</v>
      </c>
      <c r="F1792" s="8634" t="s">
        <v>2688</v>
      </c>
      <c r="G1792" s="8634" t="s">
        <v>24</v>
      </c>
      <c r="H1792" s="8634" t="s">
        <v>24</v>
      </c>
      <c r="I1792" s="8634" t="s">
        <v>768</v>
      </c>
    </row>
    <row customHeight="1" ht="11.25">
      <c r="A1793" s="8634" t="s">
        <v>2182</v>
      </c>
      <c r="B1793" s="8634" t="s">
        <v>14</v>
      </c>
      <c r="C1793" s="8634" t="s">
        <v>6403</v>
      </c>
      <c r="D1793" s="8634" t="s">
        <v>6404</v>
      </c>
      <c r="E1793" s="8634" t="s">
        <v>6405</v>
      </c>
      <c r="F1793" s="8634" t="s">
        <v>2394</v>
      </c>
      <c r="G1793" s="8634" t="s">
        <v>24</v>
      </c>
      <c r="H1793" s="8634" t="s">
        <v>24</v>
      </c>
      <c r="I1793" s="8634" t="s">
        <v>768</v>
      </c>
    </row>
    <row customHeight="1" ht="11.25">
      <c r="A1794" s="8634" t="s">
        <v>2182</v>
      </c>
      <c r="B1794" s="8634" t="s">
        <v>14</v>
      </c>
      <c r="C1794" s="8634" t="s">
        <v>6406</v>
      </c>
      <c r="D1794" s="8634" t="s">
        <v>6407</v>
      </c>
      <c r="E1794" s="8634" t="s">
        <v>6408</v>
      </c>
      <c r="F1794" s="8634" t="s">
        <v>2832</v>
      </c>
      <c r="G1794" s="8634" t="s">
        <v>24</v>
      </c>
      <c r="H1794" s="8634" t="s">
        <v>24</v>
      </c>
      <c r="I1794" s="8634" t="s">
        <v>768</v>
      </c>
    </row>
    <row customHeight="1" ht="11.25">
      <c r="A1795" s="8634" t="s">
        <v>2182</v>
      </c>
      <c r="B1795" s="8634" t="s">
        <v>14</v>
      </c>
      <c r="C1795" s="8634" t="s">
        <v>6409</v>
      </c>
      <c r="D1795" s="8634" t="s">
        <v>6410</v>
      </c>
      <c r="E1795" s="8634" t="s">
        <v>6411</v>
      </c>
      <c r="F1795" s="8634" t="s">
        <v>2245</v>
      </c>
      <c r="G1795" s="8634" t="s">
        <v>24</v>
      </c>
      <c r="H1795" s="8634" t="s">
        <v>2773</v>
      </c>
      <c r="I1795" s="8634" t="s">
        <v>768</v>
      </c>
    </row>
    <row customHeight="1" ht="11.25">
      <c r="A1796" s="8634" t="s">
        <v>2182</v>
      </c>
      <c r="B1796" s="8634" t="s">
        <v>14</v>
      </c>
      <c r="C1796" s="8634" t="s">
        <v>6412</v>
      </c>
      <c r="D1796" s="8634" t="s">
        <v>6413</v>
      </c>
      <c r="E1796" s="8634" t="s">
        <v>6414</v>
      </c>
      <c r="F1796" s="8634" t="s">
        <v>2274</v>
      </c>
      <c r="G1796" s="8634" t="s">
        <v>6415</v>
      </c>
      <c r="H1796" s="8634" t="s">
        <v>3707</v>
      </c>
      <c r="I1796" s="8634" t="s">
        <v>768</v>
      </c>
    </row>
    <row customHeight="1" ht="11.25">
      <c r="A1797" s="8634" t="s">
        <v>2182</v>
      </c>
      <c r="B1797" s="8634" t="s">
        <v>14</v>
      </c>
      <c r="C1797" s="8634" t="s">
        <v>6416</v>
      </c>
      <c r="D1797" s="8634" t="s">
        <v>6417</v>
      </c>
      <c r="E1797" s="8634" t="s">
        <v>6418</v>
      </c>
      <c r="F1797" s="8634" t="s">
        <v>2284</v>
      </c>
      <c r="G1797" s="8634" t="s">
        <v>24</v>
      </c>
      <c r="H1797" s="8634" t="s">
        <v>6419</v>
      </c>
      <c r="I1797" s="8634" t="s">
        <v>768</v>
      </c>
    </row>
    <row customHeight="1" ht="11.25">
      <c r="A1798" s="8634" t="s">
        <v>2182</v>
      </c>
      <c r="B1798" s="8634" t="s">
        <v>14</v>
      </c>
      <c r="C1798" s="8634" t="s">
        <v>2220</v>
      </c>
      <c r="D1798" s="8634" t="s">
        <v>2221</v>
      </c>
      <c r="E1798" s="8634" t="s">
        <v>2222</v>
      </c>
      <c r="F1798" s="8634" t="s">
        <v>2223</v>
      </c>
      <c r="G1798" s="8634" t="s">
        <v>2224</v>
      </c>
      <c r="H1798" s="8634" t="s">
        <v>24</v>
      </c>
      <c r="I1798" s="8634" t="s">
        <v>768</v>
      </c>
    </row>
    <row customHeight="1" ht="11.25">
      <c r="A1799" s="8634" t="s">
        <v>2182</v>
      </c>
      <c r="B1799" s="8634" t="s">
        <v>14</v>
      </c>
      <c r="C1799" s="8634" t="s">
        <v>2225</v>
      </c>
      <c r="D1799" s="8634" t="s">
        <v>2226</v>
      </c>
      <c r="E1799" s="8634" t="s">
        <v>2227</v>
      </c>
      <c r="F1799" s="8634" t="s">
        <v>2228</v>
      </c>
      <c r="G1799" s="8634" t="s">
        <v>2229</v>
      </c>
      <c r="H1799" s="8634" t="s">
        <v>24</v>
      </c>
      <c r="I1799" s="8634" t="s">
        <v>768</v>
      </c>
    </row>
    <row customHeight="1" ht="11.25">
      <c r="A1800" s="8634" t="s">
        <v>2182</v>
      </c>
      <c r="B1800" s="8634" t="s">
        <v>14</v>
      </c>
      <c r="C1800" s="8634" t="s">
        <v>2239</v>
      </c>
      <c r="D1800" s="8634" t="s">
        <v>2240</v>
      </c>
      <c r="E1800" s="8634" t="s">
        <v>2241</v>
      </c>
      <c r="F1800" s="8634" t="s">
        <v>2213</v>
      </c>
      <c r="G1800" s="8634" t="s">
        <v>24</v>
      </c>
      <c r="H1800" s="8634" t="s">
        <v>24</v>
      </c>
      <c r="I1800" s="8634" t="s">
        <v>768</v>
      </c>
    </row>
    <row customHeight="1" ht="11.25">
      <c r="A1801" s="8634" t="s">
        <v>2182</v>
      </c>
      <c r="B1801" s="8634" t="s">
        <v>14</v>
      </c>
      <c r="C1801" s="8634" t="s">
        <v>6420</v>
      </c>
      <c r="D1801" s="8634" t="s">
        <v>6421</v>
      </c>
      <c r="E1801" s="8634" t="s">
        <v>6422</v>
      </c>
      <c r="F1801" s="8634" t="s">
        <v>2228</v>
      </c>
      <c r="G1801" s="8634" t="s">
        <v>6423</v>
      </c>
      <c r="H1801" s="8634" t="s">
        <v>24</v>
      </c>
      <c r="I1801" s="8634" t="s">
        <v>768</v>
      </c>
    </row>
    <row customHeight="1" ht="11.25">
      <c r="A1802" s="8634" t="s">
        <v>2182</v>
      </c>
      <c r="B1802" s="8634" t="s">
        <v>14</v>
      </c>
      <c r="C1802" s="8634" t="s">
        <v>2247</v>
      </c>
      <c r="D1802" s="8634" t="s">
        <v>2248</v>
      </c>
      <c r="E1802" s="8634" t="s">
        <v>2249</v>
      </c>
      <c r="F1802" s="8634" t="s">
        <v>2250</v>
      </c>
      <c r="G1802" s="8634" t="s">
        <v>2251</v>
      </c>
      <c r="H1802" s="8634" t="s">
        <v>2252</v>
      </c>
      <c r="I1802" s="8634" t="s">
        <v>768</v>
      </c>
    </row>
    <row customHeight="1" ht="11.25">
      <c r="A1803" s="8634" t="s">
        <v>2182</v>
      </c>
      <c r="B1803" s="8634" t="s">
        <v>14</v>
      </c>
      <c r="C1803" s="8634" t="s">
        <v>2253</v>
      </c>
      <c r="D1803" s="8634" t="s">
        <v>2254</v>
      </c>
      <c r="E1803" s="8634" t="s">
        <v>2255</v>
      </c>
      <c r="F1803" s="8634" t="s">
        <v>2228</v>
      </c>
      <c r="G1803" s="8634" t="s">
        <v>2256</v>
      </c>
      <c r="H1803" s="8634" t="s">
        <v>24</v>
      </c>
      <c r="I1803" s="8634" t="s">
        <v>768</v>
      </c>
    </row>
    <row customHeight="1" ht="11.25">
      <c r="A1804" s="8634" t="s">
        <v>2182</v>
      </c>
      <c r="B1804" s="8634" t="s">
        <v>14</v>
      </c>
      <c r="C1804" s="8634" t="s">
        <v>2257</v>
      </c>
      <c r="D1804" s="8634" t="s">
        <v>2258</v>
      </c>
      <c r="E1804" s="8634" t="s">
        <v>2259</v>
      </c>
      <c r="F1804" s="8634" t="s">
        <v>2218</v>
      </c>
      <c r="G1804" s="8634" t="s">
        <v>2260</v>
      </c>
      <c r="H1804" s="8634" t="s">
        <v>24</v>
      </c>
      <c r="I1804" s="8634" t="s">
        <v>768</v>
      </c>
    </row>
    <row customHeight="1" ht="11.25">
      <c r="A1805" s="8634" t="s">
        <v>2182</v>
      </c>
      <c r="B1805" s="8634" t="s">
        <v>14</v>
      </c>
      <c r="C1805" s="8634" t="s">
        <v>2261</v>
      </c>
      <c r="D1805" s="8634" t="s">
        <v>2262</v>
      </c>
      <c r="E1805" s="8634" t="s">
        <v>2263</v>
      </c>
      <c r="F1805" s="8634" t="s">
        <v>2264</v>
      </c>
      <c r="G1805" s="8634" t="s">
        <v>2265</v>
      </c>
      <c r="H1805" s="8634" t="s">
        <v>24</v>
      </c>
      <c r="I1805" s="8634" t="s">
        <v>768</v>
      </c>
    </row>
    <row customHeight="1" ht="11.25">
      <c r="A1806" s="8634" t="s">
        <v>2182</v>
      </c>
      <c r="B1806" s="8634" t="s">
        <v>14</v>
      </c>
      <c r="C1806" s="8634" t="s">
        <v>6424</v>
      </c>
      <c r="D1806" s="8634" t="s">
        <v>6425</v>
      </c>
      <c r="E1806" s="8634" t="s">
        <v>6426</v>
      </c>
      <c r="F1806" s="8634" t="s">
        <v>2284</v>
      </c>
      <c r="G1806" s="8634" t="s">
        <v>6427</v>
      </c>
      <c r="H1806" s="8634" t="s">
        <v>24</v>
      </c>
      <c r="I1806" s="8634" t="s">
        <v>768</v>
      </c>
    </row>
    <row customHeight="1" ht="11.25">
      <c r="A1807" s="8634" t="s">
        <v>2182</v>
      </c>
      <c r="B1807" s="8634" t="s">
        <v>14</v>
      </c>
      <c r="C1807" s="8634" t="s">
        <v>2266</v>
      </c>
      <c r="D1807" s="8634" t="s">
        <v>2267</v>
      </c>
      <c r="E1807" s="8634" t="s">
        <v>2268</v>
      </c>
      <c r="F1807" s="8634" t="s">
        <v>2269</v>
      </c>
      <c r="G1807" s="8634" t="s">
        <v>2270</v>
      </c>
      <c r="H1807" s="8634" t="s">
        <v>24</v>
      </c>
      <c r="I1807" s="8634" t="s">
        <v>768</v>
      </c>
    </row>
    <row customHeight="1" ht="11.25">
      <c r="A1808" s="8634" t="s">
        <v>2182</v>
      </c>
      <c r="B1808" s="8634" t="s">
        <v>14</v>
      </c>
      <c r="C1808" s="8634" t="s">
        <v>2276</v>
      </c>
      <c r="D1808" s="8634" t="s">
        <v>2277</v>
      </c>
      <c r="E1808" s="8634" t="s">
        <v>2278</v>
      </c>
      <c r="F1808" s="8634" t="s">
        <v>2279</v>
      </c>
      <c r="G1808" s="8634" t="s">
        <v>2280</v>
      </c>
      <c r="H1808" s="8634" t="s">
        <v>24</v>
      </c>
      <c r="I1808" s="8634" t="s">
        <v>768</v>
      </c>
    </row>
    <row customHeight="1" ht="11.25">
      <c r="A1809" s="8634" t="s">
        <v>2182</v>
      </c>
      <c r="B1809" s="8634" t="s">
        <v>14</v>
      </c>
      <c r="C1809" s="8634" t="s">
        <v>2286</v>
      </c>
      <c r="D1809" s="8634" t="s">
        <v>2287</v>
      </c>
      <c r="E1809" s="8634" t="s">
        <v>2288</v>
      </c>
      <c r="F1809" s="8634" t="s">
        <v>2218</v>
      </c>
      <c r="G1809" s="8634" t="s">
        <v>2289</v>
      </c>
      <c r="H1809" s="8634" t="s">
        <v>24</v>
      </c>
      <c r="I1809" s="8634" t="s">
        <v>768</v>
      </c>
    </row>
    <row customHeight="1" ht="11.25">
      <c r="A1810" s="8634" t="s">
        <v>2182</v>
      </c>
      <c r="B1810" s="8634" t="s">
        <v>14</v>
      </c>
      <c r="C1810" s="8634" t="s">
        <v>2290</v>
      </c>
      <c r="D1810" s="8634" t="s">
        <v>2291</v>
      </c>
      <c r="E1810" s="8634" t="s">
        <v>2292</v>
      </c>
      <c r="F1810" s="8634" t="s">
        <v>2293</v>
      </c>
      <c r="G1810" s="8634" t="s">
        <v>24</v>
      </c>
      <c r="H1810" s="8634" t="s">
        <v>24</v>
      </c>
      <c r="I1810" s="8634" t="s">
        <v>768</v>
      </c>
    </row>
    <row customHeight="1" ht="11.25">
      <c r="A1811" s="8634" t="s">
        <v>2182</v>
      </c>
      <c r="B1811" s="8634" t="s">
        <v>14</v>
      </c>
      <c r="C1811" s="8634" t="s">
        <v>6428</v>
      </c>
      <c r="D1811" s="8634" t="s">
        <v>6429</v>
      </c>
      <c r="E1811" s="8634" t="s">
        <v>6430</v>
      </c>
      <c r="F1811" s="8634" t="s">
        <v>2218</v>
      </c>
      <c r="G1811" s="8634" t="s">
        <v>6431</v>
      </c>
      <c r="H1811" s="8634" t="s">
        <v>24</v>
      </c>
      <c r="I1811" s="8634" t="s">
        <v>768</v>
      </c>
    </row>
    <row customHeight="1" ht="11.25">
      <c r="A1812" s="8634" t="s">
        <v>2182</v>
      </c>
      <c r="B1812" s="8634" t="s">
        <v>14</v>
      </c>
      <c r="C1812" s="8634" t="s">
        <v>6432</v>
      </c>
      <c r="D1812" s="8634" t="s">
        <v>6433</v>
      </c>
      <c r="E1812" s="8634" t="s">
        <v>6434</v>
      </c>
      <c r="F1812" s="8634" t="s">
        <v>2512</v>
      </c>
      <c r="G1812" s="8634" t="s">
        <v>6435</v>
      </c>
      <c r="H1812" s="8634" t="s">
        <v>24</v>
      </c>
      <c r="I1812" s="8634" t="s">
        <v>768</v>
      </c>
    </row>
    <row customHeight="1" ht="11.25">
      <c r="A1813" s="8634" t="s">
        <v>2182</v>
      </c>
      <c r="B1813" s="8634" t="s">
        <v>14</v>
      </c>
      <c r="C1813" s="8634" t="s">
        <v>6436</v>
      </c>
      <c r="D1813" s="8634" t="s">
        <v>6433</v>
      </c>
      <c r="E1813" s="8634" t="s">
        <v>6437</v>
      </c>
      <c r="F1813" s="8634" t="s">
        <v>2218</v>
      </c>
      <c r="G1813" s="8634" t="s">
        <v>6438</v>
      </c>
      <c r="H1813" s="8634" t="s">
        <v>24</v>
      </c>
      <c r="I1813" s="8634" t="s">
        <v>768</v>
      </c>
    </row>
    <row customHeight="1" ht="11.25">
      <c r="A1814" s="8634" t="s">
        <v>2182</v>
      </c>
      <c r="B1814" s="8634" t="s">
        <v>14</v>
      </c>
      <c r="C1814" s="8634" t="s">
        <v>6439</v>
      </c>
      <c r="D1814" s="8634" t="s">
        <v>6440</v>
      </c>
      <c r="E1814" s="8634" t="s">
        <v>6441</v>
      </c>
      <c r="F1814" s="8634" t="s">
        <v>2492</v>
      </c>
      <c r="G1814" s="8634" t="s">
        <v>24</v>
      </c>
      <c r="H1814" s="8634" t="s">
        <v>24</v>
      </c>
      <c r="I1814" s="8634" t="s">
        <v>768</v>
      </c>
    </row>
    <row customHeight="1" ht="11.25">
      <c r="A1815" s="8634" t="s">
        <v>2182</v>
      </c>
      <c r="B1815" s="8634" t="s">
        <v>14</v>
      </c>
      <c r="C1815" s="8634" t="s">
        <v>2297</v>
      </c>
      <c r="D1815" s="8634" t="s">
        <v>2298</v>
      </c>
      <c r="E1815" s="8634" t="s">
        <v>2299</v>
      </c>
      <c r="F1815" s="8634" t="s">
        <v>2300</v>
      </c>
      <c r="G1815" s="8634" t="s">
        <v>2301</v>
      </c>
      <c r="H1815" s="8634" t="s">
        <v>24</v>
      </c>
      <c r="I1815" s="8634" t="s">
        <v>768</v>
      </c>
    </row>
    <row customHeight="1" ht="11.25">
      <c r="A1816" s="8634" t="s">
        <v>2182</v>
      </c>
      <c r="B1816" s="8634" t="s">
        <v>14</v>
      </c>
      <c r="C1816" s="8634" t="s">
        <v>6442</v>
      </c>
      <c r="D1816" s="8634" t="s">
        <v>6443</v>
      </c>
      <c r="E1816" s="8634" t="s">
        <v>6418</v>
      </c>
      <c r="F1816" s="8634" t="s">
        <v>6444</v>
      </c>
      <c r="G1816" s="8634" t="s">
        <v>6445</v>
      </c>
      <c r="H1816" s="8634" t="s">
        <v>2187</v>
      </c>
      <c r="I1816" s="8634" t="s">
        <v>768</v>
      </c>
    </row>
    <row customHeight="1" ht="11.25">
      <c r="A1817" s="8634" t="s">
        <v>2182</v>
      </c>
      <c r="B1817" s="8634" t="s">
        <v>14</v>
      </c>
      <c r="C1817" s="8634" t="s">
        <v>6446</v>
      </c>
      <c r="D1817" s="8634" t="s">
        <v>6443</v>
      </c>
      <c r="E1817" s="8634" t="s">
        <v>6447</v>
      </c>
      <c r="F1817" s="8634" t="s">
        <v>6448</v>
      </c>
      <c r="G1817" s="8634" t="s">
        <v>24</v>
      </c>
      <c r="H1817" s="8634" t="s">
        <v>24</v>
      </c>
      <c r="I1817" s="8634" t="s">
        <v>768</v>
      </c>
    </row>
    <row customHeight="1" ht="11.25">
      <c r="A1818" s="8634" t="s">
        <v>2182</v>
      </c>
      <c r="B1818" s="8634" t="s">
        <v>14</v>
      </c>
      <c r="C1818" s="8634" t="s">
        <v>2315</v>
      </c>
      <c r="D1818" s="8634" t="s">
        <v>2316</v>
      </c>
      <c r="E1818" s="8634" t="s">
        <v>2317</v>
      </c>
      <c r="F1818" s="8634" t="s">
        <v>2318</v>
      </c>
      <c r="G1818" s="8634" t="s">
        <v>24</v>
      </c>
      <c r="H1818" s="8634" t="s">
        <v>24</v>
      </c>
      <c r="I1818" s="8634" t="s">
        <v>768</v>
      </c>
    </row>
    <row customHeight="1" ht="11.25">
      <c r="A1819" s="8634" t="s">
        <v>2182</v>
      </c>
      <c r="B1819" s="8634" t="s">
        <v>14</v>
      </c>
      <c r="C1819" s="8634" t="s">
        <v>2323</v>
      </c>
      <c r="D1819" s="8634" t="s">
        <v>2324</v>
      </c>
      <c r="E1819" s="8634" t="s">
        <v>2325</v>
      </c>
      <c r="F1819" s="8634" t="s">
        <v>2318</v>
      </c>
      <c r="G1819" s="8634" t="s">
        <v>2326</v>
      </c>
      <c r="H1819" s="8634" t="s">
        <v>24</v>
      </c>
      <c r="I1819" s="8634" t="s">
        <v>768</v>
      </c>
    </row>
    <row customHeight="1" ht="11.25">
      <c r="A1820" s="8634" t="s">
        <v>2182</v>
      </c>
      <c r="B1820" s="8634" t="s">
        <v>14</v>
      </c>
      <c r="C1820" s="8634" t="s">
        <v>6449</v>
      </c>
      <c r="D1820" s="8634" t="s">
        <v>6450</v>
      </c>
      <c r="E1820" s="8634" t="s">
        <v>6451</v>
      </c>
      <c r="F1820" s="8634" t="s">
        <v>2213</v>
      </c>
      <c r="G1820" s="8634" t="s">
        <v>24</v>
      </c>
      <c r="H1820" s="8634" t="s">
        <v>24</v>
      </c>
      <c r="I1820" s="8634" t="s">
        <v>768</v>
      </c>
    </row>
    <row customHeight="1" ht="11.25">
      <c r="A1821" s="8634" t="s">
        <v>2182</v>
      </c>
      <c r="B1821" s="8634" t="s">
        <v>14</v>
      </c>
      <c r="C1821" s="8634" t="s">
        <v>2327</v>
      </c>
      <c r="D1821" s="8634" t="s">
        <v>2328</v>
      </c>
      <c r="E1821" s="8634" t="s">
        <v>2329</v>
      </c>
      <c r="F1821" s="8634" t="s">
        <v>2330</v>
      </c>
      <c r="G1821" s="8634" t="s">
        <v>24</v>
      </c>
      <c r="H1821" s="8634" t="s">
        <v>24</v>
      </c>
      <c r="I1821" s="8634" t="s">
        <v>768</v>
      </c>
    </row>
    <row customHeight="1" ht="11.25">
      <c r="A1822" s="8634" t="s">
        <v>2182</v>
      </c>
      <c r="B1822" s="8634" t="s">
        <v>14</v>
      </c>
      <c r="C1822" s="8634" t="s">
        <v>2331</v>
      </c>
      <c r="D1822" s="8634" t="s">
        <v>2332</v>
      </c>
      <c r="E1822" s="8634" t="s">
        <v>2333</v>
      </c>
      <c r="F1822" s="8634" t="s">
        <v>2334</v>
      </c>
      <c r="G1822" s="8634" t="s">
        <v>2335</v>
      </c>
      <c r="H1822" s="8634" t="s">
        <v>24</v>
      </c>
      <c r="I1822" s="8634" t="s">
        <v>768</v>
      </c>
    </row>
    <row customHeight="1" ht="11.25">
      <c r="A1823" s="8634" t="s">
        <v>2182</v>
      </c>
      <c r="B1823" s="8634" t="s">
        <v>14</v>
      </c>
      <c r="C1823" s="8634" t="s">
        <v>2351</v>
      </c>
      <c r="D1823" s="8634" t="s">
        <v>2352</v>
      </c>
      <c r="E1823" s="8634" t="s">
        <v>2353</v>
      </c>
      <c r="F1823" s="8634" t="s">
        <v>2354</v>
      </c>
      <c r="G1823" s="8634" t="s">
        <v>2355</v>
      </c>
      <c r="H1823" s="8634" t="s">
        <v>24</v>
      </c>
      <c r="I1823" s="8634" t="s">
        <v>768</v>
      </c>
    </row>
    <row customHeight="1" ht="11.25">
      <c r="A1824" s="8634" t="s">
        <v>2182</v>
      </c>
      <c r="B1824" s="8634" t="s">
        <v>14</v>
      </c>
      <c r="C1824" s="8634" t="s">
        <v>6452</v>
      </c>
      <c r="D1824" s="8634" t="s">
        <v>6453</v>
      </c>
      <c r="E1824" s="8634" t="s">
        <v>6454</v>
      </c>
      <c r="F1824" s="8634" t="s">
        <v>2213</v>
      </c>
      <c r="G1824" s="8634" t="s">
        <v>6455</v>
      </c>
      <c r="H1824" s="8634" t="s">
        <v>24</v>
      </c>
      <c r="I1824" s="8634" t="s">
        <v>768</v>
      </c>
    </row>
    <row customHeight="1" ht="11.25">
      <c r="A1825" s="8634" t="s">
        <v>2182</v>
      </c>
      <c r="B1825" s="8634" t="s">
        <v>14</v>
      </c>
      <c r="C1825" s="8634" t="s">
        <v>2356</v>
      </c>
      <c r="D1825" s="8634" t="s">
        <v>2357</v>
      </c>
      <c r="E1825" s="8634" t="s">
        <v>2358</v>
      </c>
      <c r="F1825" s="8634" t="s">
        <v>2213</v>
      </c>
      <c r="G1825" s="8634" t="s">
        <v>2359</v>
      </c>
      <c r="H1825" s="8634" t="s">
        <v>24</v>
      </c>
      <c r="I1825" s="8634" t="s">
        <v>768</v>
      </c>
    </row>
    <row customHeight="1" ht="11.25">
      <c r="A1826" s="8634" t="s">
        <v>2182</v>
      </c>
      <c r="B1826" s="8634" t="s">
        <v>14</v>
      </c>
      <c r="C1826" s="8634" t="s">
        <v>6456</v>
      </c>
      <c r="D1826" s="8634" t="s">
        <v>6457</v>
      </c>
      <c r="E1826" s="8634" t="s">
        <v>6458</v>
      </c>
      <c r="F1826" s="8634" t="s">
        <v>2512</v>
      </c>
      <c r="G1826" s="8634" t="s">
        <v>6459</v>
      </c>
      <c r="H1826" s="8634" t="s">
        <v>24</v>
      </c>
      <c r="I1826" s="8634" t="s">
        <v>768</v>
      </c>
    </row>
    <row customHeight="1" ht="11.25">
      <c r="A1827" s="8634" t="s">
        <v>2182</v>
      </c>
      <c r="B1827" s="8634" t="s">
        <v>14</v>
      </c>
      <c r="C1827" s="8634" t="s">
        <v>6460</v>
      </c>
      <c r="D1827" s="8634" t="s">
        <v>6461</v>
      </c>
      <c r="E1827" s="8634" t="s">
        <v>6462</v>
      </c>
      <c r="F1827" s="8634" t="s">
        <v>3200</v>
      </c>
      <c r="G1827" s="8634" t="s">
        <v>24</v>
      </c>
      <c r="H1827" s="8634" t="s">
        <v>24</v>
      </c>
      <c r="I1827" s="8634" t="s">
        <v>768</v>
      </c>
    </row>
    <row customHeight="1" ht="11.25">
      <c r="A1828" s="8634" t="s">
        <v>2182</v>
      </c>
      <c r="B1828" s="8634" t="s">
        <v>14</v>
      </c>
      <c r="C1828" s="8634" t="s">
        <v>6463</v>
      </c>
      <c r="D1828" s="8634" t="s">
        <v>6464</v>
      </c>
      <c r="E1828" s="8634" t="s">
        <v>6465</v>
      </c>
      <c r="F1828" s="8634" t="s">
        <v>6180</v>
      </c>
      <c r="G1828" s="8634" t="s">
        <v>24</v>
      </c>
      <c r="H1828" s="8634" t="s">
        <v>24</v>
      </c>
      <c r="I1828" s="8634" t="s">
        <v>768</v>
      </c>
    </row>
    <row customHeight="1" ht="11.25">
      <c r="A1829" s="8634" t="s">
        <v>2182</v>
      </c>
      <c r="B1829" s="8634" t="s">
        <v>14</v>
      </c>
      <c r="C1829" s="8634" t="s">
        <v>2386</v>
      </c>
      <c r="D1829" s="8634" t="s">
        <v>2387</v>
      </c>
      <c r="E1829" s="8634" t="s">
        <v>2388</v>
      </c>
      <c r="F1829" s="8634" t="s">
        <v>2389</v>
      </c>
      <c r="G1829" s="8634" t="s">
        <v>2390</v>
      </c>
      <c r="H1829" s="8634" t="s">
        <v>24</v>
      </c>
      <c r="I1829" s="8634" t="s">
        <v>768</v>
      </c>
    </row>
    <row customHeight="1" ht="11.25">
      <c r="A1830" s="8634" t="s">
        <v>2182</v>
      </c>
      <c r="B1830" s="8634" t="s">
        <v>14</v>
      </c>
      <c r="C1830" s="8634" t="s">
        <v>2391</v>
      </c>
      <c r="D1830" s="8634" t="s">
        <v>2392</v>
      </c>
      <c r="E1830" s="8634" t="s">
        <v>2393</v>
      </c>
      <c r="F1830" s="8634" t="s">
        <v>2394</v>
      </c>
      <c r="G1830" s="8634" t="s">
        <v>24</v>
      </c>
      <c r="H1830" s="8634" t="s">
        <v>24</v>
      </c>
      <c r="I1830" s="8634" t="s">
        <v>768</v>
      </c>
    </row>
    <row customHeight="1" ht="11.25">
      <c r="A1831" s="8634" t="s">
        <v>2182</v>
      </c>
      <c r="B1831" s="8634" t="s">
        <v>14</v>
      </c>
      <c r="C1831" s="8634" t="s">
        <v>6466</v>
      </c>
      <c r="D1831" s="8634" t="s">
        <v>6467</v>
      </c>
      <c r="E1831" s="8634" t="s">
        <v>6468</v>
      </c>
      <c r="F1831" s="8634" t="s">
        <v>2512</v>
      </c>
      <c r="G1831" s="8634" t="s">
        <v>6469</v>
      </c>
      <c r="H1831" s="8634" t="s">
        <v>24</v>
      </c>
      <c r="I1831" s="8634" t="s">
        <v>768</v>
      </c>
    </row>
    <row customHeight="1" ht="11.25">
      <c r="A1832" s="8634" t="s">
        <v>2182</v>
      </c>
      <c r="B1832" s="8634" t="s">
        <v>14</v>
      </c>
      <c r="C1832" s="8634" t="s">
        <v>2395</v>
      </c>
      <c r="D1832" s="8634" t="s">
        <v>2396</v>
      </c>
      <c r="E1832" s="8634" t="s">
        <v>2397</v>
      </c>
      <c r="F1832" s="8634" t="s">
        <v>2398</v>
      </c>
      <c r="G1832" s="8634" t="s">
        <v>2399</v>
      </c>
      <c r="H1832" s="8634" t="s">
        <v>2400</v>
      </c>
      <c r="I1832" s="8634" t="s">
        <v>768</v>
      </c>
    </row>
    <row customHeight="1" ht="11.25">
      <c r="A1833" s="8634" t="s">
        <v>2182</v>
      </c>
      <c r="B1833" s="8634" t="s">
        <v>14</v>
      </c>
      <c r="C1833" s="8634" t="s">
        <v>2401</v>
      </c>
      <c r="D1833" s="8634" t="s">
        <v>2402</v>
      </c>
      <c r="E1833" s="8634" t="s">
        <v>2403</v>
      </c>
      <c r="F1833" s="8634" t="s">
        <v>2404</v>
      </c>
      <c r="G1833" s="8634" t="s">
        <v>24</v>
      </c>
      <c r="H1833" s="8634" t="s">
        <v>24</v>
      </c>
      <c r="I1833" s="8634" t="s">
        <v>768</v>
      </c>
    </row>
    <row customHeight="1" ht="11.25">
      <c r="A1834" s="8634" t="s">
        <v>2182</v>
      </c>
      <c r="B1834" s="8634" t="s">
        <v>14</v>
      </c>
      <c r="C1834" s="8634" t="s">
        <v>6470</v>
      </c>
      <c r="D1834" s="8634" t="s">
        <v>6471</v>
      </c>
      <c r="E1834" s="8634" t="s">
        <v>6472</v>
      </c>
      <c r="F1834" s="8634" t="s">
        <v>2218</v>
      </c>
      <c r="G1834" s="8634" t="s">
        <v>6473</v>
      </c>
      <c r="H1834" s="8634" t="s">
        <v>24</v>
      </c>
      <c r="I1834" s="8634" t="s">
        <v>768</v>
      </c>
    </row>
    <row customHeight="1" ht="11.25">
      <c r="A1835" s="8634" t="s">
        <v>2182</v>
      </c>
      <c r="B1835" s="8634" t="s">
        <v>14</v>
      </c>
      <c r="C1835" s="8634" t="s">
        <v>2417</v>
      </c>
      <c r="D1835" s="8634" t="s">
        <v>2418</v>
      </c>
      <c r="E1835" s="8634" t="s">
        <v>2419</v>
      </c>
      <c r="F1835" s="8634" t="s">
        <v>2228</v>
      </c>
      <c r="G1835" s="8634" t="s">
        <v>2420</v>
      </c>
      <c r="H1835" s="8634" t="s">
        <v>24</v>
      </c>
      <c r="I1835" s="8634" t="s">
        <v>768</v>
      </c>
    </row>
    <row customHeight="1" ht="11.25">
      <c r="A1836" s="8634" t="s">
        <v>2182</v>
      </c>
      <c r="B1836" s="8634" t="s">
        <v>14</v>
      </c>
      <c r="C1836" s="8634" t="s">
        <v>6474</v>
      </c>
      <c r="D1836" s="8634" t="s">
        <v>6475</v>
      </c>
      <c r="E1836" s="8634" t="s">
        <v>6476</v>
      </c>
      <c r="F1836" s="8634" t="s">
        <v>6477</v>
      </c>
      <c r="G1836" s="8634" t="s">
        <v>6478</v>
      </c>
      <c r="H1836" s="8634" t="s">
        <v>24</v>
      </c>
      <c r="I1836" s="8634" t="s">
        <v>768</v>
      </c>
    </row>
    <row customHeight="1" ht="11.25">
      <c r="A1837" s="8634" t="s">
        <v>2182</v>
      </c>
      <c r="B1837" s="8634" t="s">
        <v>14</v>
      </c>
      <c r="C1837" s="8634" t="s">
        <v>6479</v>
      </c>
      <c r="D1837" s="8634" t="s">
        <v>6480</v>
      </c>
      <c r="E1837" s="8634" t="s">
        <v>6481</v>
      </c>
      <c r="F1837" s="8634" t="s">
        <v>2398</v>
      </c>
      <c r="G1837" s="8634" t="s">
        <v>2427</v>
      </c>
      <c r="H1837" s="8634" t="s">
        <v>24</v>
      </c>
      <c r="I1837" s="8634" t="s">
        <v>768</v>
      </c>
    </row>
    <row customHeight="1" ht="11.25">
      <c r="A1838" s="8634" t="s">
        <v>2182</v>
      </c>
      <c r="B1838" s="8634" t="s">
        <v>14</v>
      </c>
      <c r="C1838" s="8634" t="s">
        <v>2428</v>
      </c>
      <c r="D1838" s="8634" t="s">
        <v>2429</v>
      </c>
      <c r="E1838" s="8634" t="s">
        <v>2430</v>
      </c>
      <c r="F1838" s="8634" t="s">
        <v>2394</v>
      </c>
      <c r="G1838" s="8634" t="s">
        <v>24</v>
      </c>
      <c r="H1838" s="8634" t="s">
        <v>24</v>
      </c>
      <c r="I1838" s="8634" t="s">
        <v>768</v>
      </c>
    </row>
    <row customHeight="1" ht="11.25">
      <c r="A1839" s="8634" t="s">
        <v>2182</v>
      </c>
      <c r="B1839" s="8634" t="s">
        <v>14</v>
      </c>
      <c r="C1839" s="8634" t="s">
        <v>2431</v>
      </c>
      <c r="D1839" s="8634" t="s">
        <v>2432</v>
      </c>
      <c r="E1839" s="8634" t="s">
        <v>2433</v>
      </c>
      <c r="F1839" s="8634" t="s">
        <v>2269</v>
      </c>
      <c r="G1839" s="8634" t="s">
        <v>2434</v>
      </c>
      <c r="H1839" s="8634" t="s">
        <v>24</v>
      </c>
      <c r="I1839" s="8634" t="s">
        <v>768</v>
      </c>
    </row>
    <row customHeight="1" ht="11.25">
      <c r="A1840" s="8634" t="s">
        <v>2182</v>
      </c>
      <c r="B1840" s="8634" t="s">
        <v>14</v>
      </c>
      <c r="C1840" s="8634" t="s">
        <v>2440</v>
      </c>
      <c r="D1840" s="8634" t="s">
        <v>2441</v>
      </c>
      <c r="E1840" s="8634" t="s">
        <v>2442</v>
      </c>
      <c r="F1840" s="8634" t="s">
        <v>2186</v>
      </c>
      <c r="G1840" s="8634" t="s">
        <v>2443</v>
      </c>
      <c r="H1840" s="8634" t="s">
        <v>24</v>
      </c>
      <c r="I1840" s="8634" t="s">
        <v>768</v>
      </c>
    </row>
    <row customHeight="1" ht="11.25">
      <c r="A1841" s="8634" t="s">
        <v>2182</v>
      </c>
      <c r="B1841" s="8634" t="s">
        <v>14</v>
      </c>
      <c r="C1841" s="8634" t="s">
        <v>2444</v>
      </c>
      <c r="D1841" s="8634" t="s">
        <v>2445</v>
      </c>
      <c r="E1841" s="8634" t="s">
        <v>2446</v>
      </c>
      <c r="F1841" s="8634" t="s">
        <v>2447</v>
      </c>
      <c r="G1841" s="8634" t="s">
        <v>2448</v>
      </c>
      <c r="H1841" s="8634" t="s">
        <v>24</v>
      </c>
      <c r="I1841" s="8634" t="s">
        <v>768</v>
      </c>
    </row>
    <row customHeight="1" ht="11.25">
      <c r="A1842" s="8634" t="s">
        <v>2182</v>
      </c>
      <c r="B1842" s="8634" t="s">
        <v>14</v>
      </c>
      <c r="C1842" s="8634" t="s">
        <v>2449</v>
      </c>
      <c r="D1842" s="8634" t="s">
        <v>2450</v>
      </c>
      <c r="E1842" s="8634" t="s">
        <v>2451</v>
      </c>
      <c r="F1842" s="8634" t="s">
        <v>2452</v>
      </c>
      <c r="G1842" s="8634" t="s">
        <v>24</v>
      </c>
      <c r="H1842" s="8634" t="s">
        <v>24</v>
      </c>
      <c r="I1842" s="8634" t="s">
        <v>768</v>
      </c>
    </row>
    <row customHeight="1" ht="11.25">
      <c r="A1843" s="8634" t="s">
        <v>2182</v>
      </c>
      <c r="B1843" s="8634" t="s">
        <v>14</v>
      </c>
      <c r="C1843" s="8634" t="s">
        <v>2453</v>
      </c>
      <c r="D1843" s="8634" t="s">
        <v>2454</v>
      </c>
      <c r="E1843" s="8634" t="s">
        <v>2455</v>
      </c>
      <c r="F1843" s="8634" t="s">
        <v>2398</v>
      </c>
      <c r="G1843" s="8634" t="s">
        <v>2456</v>
      </c>
      <c r="H1843" s="8634" t="s">
        <v>24</v>
      </c>
      <c r="I1843" s="8634" t="s">
        <v>768</v>
      </c>
    </row>
    <row customHeight="1" ht="11.25">
      <c r="A1844" s="8634" t="s">
        <v>2182</v>
      </c>
      <c r="B1844" s="8634" t="s">
        <v>14</v>
      </c>
      <c r="C1844" s="8634" t="s">
        <v>2462</v>
      </c>
      <c r="D1844" s="8634" t="s">
        <v>2463</v>
      </c>
      <c r="E1844" s="8634" t="s">
        <v>2464</v>
      </c>
      <c r="F1844" s="8634" t="s">
        <v>2438</v>
      </c>
      <c r="G1844" s="8634" t="s">
        <v>2465</v>
      </c>
      <c r="H1844" s="8634" t="s">
        <v>24</v>
      </c>
      <c r="I1844" s="8634" t="s">
        <v>768</v>
      </c>
    </row>
    <row customHeight="1" ht="11.25">
      <c r="A1845" s="8634" t="s">
        <v>2182</v>
      </c>
      <c r="B1845" s="8634" t="s">
        <v>14</v>
      </c>
      <c r="C1845" s="8634" t="s">
        <v>2466</v>
      </c>
      <c r="D1845" s="8634" t="s">
        <v>2467</v>
      </c>
      <c r="E1845" s="8634" t="s">
        <v>2468</v>
      </c>
      <c r="F1845" s="8634" t="s">
        <v>2469</v>
      </c>
      <c r="G1845" s="8634" t="s">
        <v>24</v>
      </c>
      <c r="H1845" s="8634" t="s">
        <v>24</v>
      </c>
      <c r="I1845" s="8634" t="s">
        <v>768</v>
      </c>
    </row>
    <row customHeight="1" ht="11.25">
      <c r="A1846" s="8634" t="s">
        <v>2182</v>
      </c>
      <c r="B1846" s="8634" t="s">
        <v>14</v>
      </c>
      <c r="C1846" s="8634" t="s">
        <v>2474</v>
      </c>
      <c r="D1846" s="8634" t="s">
        <v>2475</v>
      </c>
      <c r="E1846" s="8634" t="s">
        <v>2476</v>
      </c>
      <c r="F1846" s="8634" t="s">
        <v>2477</v>
      </c>
      <c r="G1846" s="8634" t="s">
        <v>2478</v>
      </c>
      <c r="H1846" s="8634" t="s">
        <v>24</v>
      </c>
      <c r="I1846" s="8634" t="s">
        <v>768</v>
      </c>
    </row>
    <row customHeight="1" ht="11.25">
      <c r="A1847" s="8634" t="s">
        <v>2182</v>
      </c>
      <c r="B1847" s="8634" t="s">
        <v>14</v>
      </c>
      <c r="C1847" s="8634" t="s">
        <v>6482</v>
      </c>
      <c r="D1847" s="8634" t="s">
        <v>6483</v>
      </c>
      <c r="E1847" s="8634" t="s">
        <v>6484</v>
      </c>
      <c r="F1847" s="8634" t="s">
        <v>3295</v>
      </c>
      <c r="G1847" s="8634" t="s">
        <v>24</v>
      </c>
      <c r="H1847" s="8634" t="s">
        <v>24</v>
      </c>
      <c r="I1847" s="8634" t="s">
        <v>768</v>
      </c>
    </row>
    <row customHeight="1" ht="11.25">
      <c r="A1848" s="8634" t="s">
        <v>2182</v>
      </c>
      <c r="B1848" s="8634" t="s">
        <v>14</v>
      </c>
      <c r="C1848" s="8634" t="s">
        <v>2479</v>
      </c>
      <c r="D1848" s="8634" t="s">
        <v>2480</v>
      </c>
      <c r="E1848" s="8634" t="s">
        <v>2481</v>
      </c>
      <c r="F1848" s="8634" t="s">
        <v>2233</v>
      </c>
      <c r="G1848" s="8634" t="s">
        <v>2482</v>
      </c>
      <c r="H1848" s="8634" t="s">
        <v>24</v>
      </c>
      <c r="I1848" s="8634" t="s">
        <v>768</v>
      </c>
    </row>
    <row customHeight="1" ht="11.25">
      <c r="A1849" s="8634" t="s">
        <v>2182</v>
      </c>
      <c r="B1849" s="8634" t="s">
        <v>14</v>
      </c>
      <c r="C1849" s="8634" t="s">
        <v>2483</v>
      </c>
      <c r="D1849" s="8634" t="s">
        <v>2484</v>
      </c>
      <c r="E1849" s="8634" t="s">
        <v>2485</v>
      </c>
      <c r="F1849" s="8634" t="s">
        <v>2186</v>
      </c>
      <c r="G1849" s="8634" t="s">
        <v>2486</v>
      </c>
      <c r="H1849" s="8634" t="s">
        <v>24</v>
      </c>
      <c r="I1849" s="8634" t="s">
        <v>768</v>
      </c>
    </row>
    <row customHeight="1" ht="11.25">
      <c r="A1850" s="8634" t="s">
        <v>2182</v>
      </c>
      <c r="B1850" s="8634" t="s">
        <v>14</v>
      </c>
      <c r="C1850" s="8634" t="s">
        <v>2487</v>
      </c>
      <c r="D1850" s="8634" t="s">
        <v>2488</v>
      </c>
      <c r="E1850" s="8634" t="s">
        <v>2199</v>
      </c>
      <c r="F1850" s="8634" t="s">
        <v>2269</v>
      </c>
      <c r="G1850" s="8634" t="s">
        <v>2201</v>
      </c>
      <c r="H1850" s="8634" t="s">
        <v>24</v>
      </c>
      <c r="I1850" s="8634" t="s">
        <v>768</v>
      </c>
    </row>
    <row customHeight="1" ht="11.25">
      <c r="A1851" s="8634" t="s">
        <v>2182</v>
      </c>
      <c r="B1851" s="8634" t="s">
        <v>14</v>
      </c>
      <c r="C1851" s="8634" t="s">
        <v>6485</v>
      </c>
      <c r="D1851" s="8634" t="s">
        <v>6486</v>
      </c>
      <c r="E1851" s="8634" t="s">
        <v>6487</v>
      </c>
      <c r="F1851" s="8634" t="s">
        <v>2334</v>
      </c>
      <c r="G1851" s="8634" t="s">
        <v>6488</v>
      </c>
      <c r="H1851" s="8634" t="s">
        <v>24</v>
      </c>
      <c r="I1851" s="8634" t="s">
        <v>768</v>
      </c>
    </row>
    <row customHeight="1" ht="11.25">
      <c r="A1852" s="8634" t="s">
        <v>2182</v>
      </c>
      <c r="B1852" s="8634" t="s">
        <v>14</v>
      </c>
      <c r="C1852" s="8634" t="s">
        <v>2514</v>
      </c>
      <c r="D1852" s="8634" t="s">
        <v>2515</v>
      </c>
      <c r="E1852" s="8634" t="s">
        <v>2516</v>
      </c>
      <c r="F1852" s="8634" t="s">
        <v>2411</v>
      </c>
      <c r="G1852" s="8634" t="s">
        <v>2517</v>
      </c>
      <c r="H1852" s="8634" t="s">
        <v>24</v>
      </c>
      <c r="I1852" s="8634" t="s">
        <v>768</v>
      </c>
    </row>
    <row customHeight="1" ht="11.25">
      <c r="A1853" s="8634" t="s">
        <v>2182</v>
      </c>
      <c r="B1853" s="8634" t="s">
        <v>14</v>
      </c>
      <c r="C1853" s="8634" t="s">
        <v>2528</v>
      </c>
      <c r="D1853" s="8634" t="s">
        <v>2529</v>
      </c>
      <c r="E1853" s="8634" t="s">
        <v>2530</v>
      </c>
      <c r="F1853" s="8634" t="s">
        <v>2218</v>
      </c>
      <c r="G1853" s="8634" t="s">
        <v>2531</v>
      </c>
      <c r="H1853" s="8634" t="s">
        <v>24</v>
      </c>
      <c r="I1853" s="8634" t="s">
        <v>768</v>
      </c>
    </row>
    <row customHeight="1" ht="11.25">
      <c r="A1854" s="8634" t="s">
        <v>2182</v>
      </c>
      <c r="B1854" s="8634" t="s">
        <v>14</v>
      </c>
      <c r="C1854" s="8634" t="s">
        <v>6489</v>
      </c>
      <c r="D1854" s="8634" t="s">
        <v>6490</v>
      </c>
      <c r="E1854" s="8634" t="s">
        <v>6491</v>
      </c>
      <c r="F1854" s="8634" t="s">
        <v>2322</v>
      </c>
      <c r="G1854" s="8634" t="s">
        <v>6492</v>
      </c>
      <c r="H1854" s="8634" t="s">
        <v>6493</v>
      </c>
      <c r="I1854" s="8634" t="s">
        <v>768</v>
      </c>
    </row>
    <row customHeight="1" ht="11.25">
      <c r="A1855" s="8634" t="s">
        <v>2182</v>
      </c>
      <c r="B1855" s="8634" t="s">
        <v>14</v>
      </c>
      <c r="C1855" s="8634" t="s">
        <v>6494</v>
      </c>
      <c r="D1855" s="8634" t="s">
        <v>6495</v>
      </c>
      <c r="E1855" s="8634" t="s">
        <v>6496</v>
      </c>
      <c r="F1855" s="8634" t="s">
        <v>2688</v>
      </c>
      <c r="G1855" s="8634" t="s">
        <v>6497</v>
      </c>
      <c r="H1855" s="8634" t="s">
        <v>6498</v>
      </c>
      <c r="I1855" s="8634" t="s">
        <v>768</v>
      </c>
    </row>
    <row customHeight="1" ht="11.25">
      <c r="A1856" s="8634" t="s">
        <v>2182</v>
      </c>
      <c r="B1856" s="8634" t="s">
        <v>14</v>
      </c>
      <c r="C1856" s="8634" t="s">
        <v>2546</v>
      </c>
      <c r="D1856" s="8634" t="s">
        <v>2547</v>
      </c>
      <c r="E1856" s="8634" t="s">
        <v>2548</v>
      </c>
      <c r="F1856" s="8634" t="s">
        <v>2549</v>
      </c>
      <c r="G1856" s="8634" t="s">
        <v>2550</v>
      </c>
      <c r="H1856" s="8634" t="s">
        <v>24</v>
      </c>
      <c r="I1856" s="8634" t="s">
        <v>768</v>
      </c>
    </row>
    <row customHeight="1" ht="11.25">
      <c r="A1857" s="8634" t="s">
        <v>2182</v>
      </c>
      <c r="B1857" s="8634" t="s">
        <v>14</v>
      </c>
      <c r="C1857" s="8634" t="s">
        <v>6256</v>
      </c>
      <c r="D1857" s="8634" t="s">
        <v>6257</v>
      </c>
      <c r="E1857" s="8634" t="s">
        <v>6258</v>
      </c>
      <c r="F1857" s="8634" t="s">
        <v>2330</v>
      </c>
      <c r="G1857" s="8634" t="s">
        <v>3982</v>
      </c>
      <c r="H1857" s="8634" t="s">
        <v>24</v>
      </c>
      <c r="I1857" s="8634" t="s">
        <v>768</v>
      </c>
    </row>
    <row customHeight="1" ht="11.25">
      <c r="A1858" s="8634" t="s">
        <v>2182</v>
      </c>
      <c r="B1858" s="8634" t="s">
        <v>14</v>
      </c>
      <c r="C1858" s="8634" t="s">
        <v>6499</v>
      </c>
      <c r="D1858" s="8634" t="s">
        <v>6500</v>
      </c>
      <c r="E1858" s="8634" t="s">
        <v>6501</v>
      </c>
      <c r="F1858" s="8634" t="s">
        <v>2595</v>
      </c>
      <c r="G1858" s="8634" t="s">
        <v>4923</v>
      </c>
      <c r="H1858" s="8634" t="s">
        <v>24</v>
      </c>
      <c r="I1858" s="8634" t="s">
        <v>768</v>
      </c>
    </row>
    <row customHeight="1" ht="11.25">
      <c r="A1859" s="8634" t="s">
        <v>2182</v>
      </c>
      <c r="B1859" s="8634" t="s">
        <v>14</v>
      </c>
      <c r="C1859" s="8634" t="s">
        <v>2556</v>
      </c>
      <c r="D1859" s="8634" t="s">
        <v>2557</v>
      </c>
      <c r="E1859" s="8634" t="s">
        <v>2558</v>
      </c>
      <c r="F1859" s="8634" t="s">
        <v>2213</v>
      </c>
      <c r="G1859" s="8634" t="s">
        <v>2559</v>
      </c>
      <c r="H1859" s="8634" t="s">
        <v>24</v>
      </c>
      <c r="I1859" s="8634" t="s">
        <v>768</v>
      </c>
    </row>
    <row customHeight="1" ht="11.25">
      <c r="A1860" s="8634" t="s">
        <v>2182</v>
      </c>
      <c r="B1860" s="8634" t="s">
        <v>14</v>
      </c>
      <c r="C1860" s="8634" t="s">
        <v>6502</v>
      </c>
      <c r="D1860" s="8634" t="s">
        <v>6503</v>
      </c>
      <c r="E1860" s="8634" t="s">
        <v>6504</v>
      </c>
      <c r="F1860" s="8634" t="s">
        <v>2213</v>
      </c>
      <c r="G1860" s="8634" t="s">
        <v>6505</v>
      </c>
      <c r="H1860" s="8634" t="s">
        <v>24</v>
      </c>
      <c r="I1860" s="8634" t="s">
        <v>768</v>
      </c>
    </row>
    <row customHeight="1" ht="11.25">
      <c r="A1861" s="8634" t="s">
        <v>2182</v>
      </c>
      <c r="B1861" s="8634" t="s">
        <v>14</v>
      </c>
      <c r="C1861" s="8634" t="s">
        <v>2560</v>
      </c>
      <c r="D1861" s="8634" t="s">
        <v>2561</v>
      </c>
      <c r="E1861" s="8634" t="s">
        <v>2562</v>
      </c>
      <c r="F1861" s="8634" t="s">
        <v>2563</v>
      </c>
      <c r="G1861" s="8634" t="s">
        <v>24</v>
      </c>
      <c r="H1861" s="8634" t="s">
        <v>24</v>
      </c>
      <c r="I1861" s="8634" t="s">
        <v>768</v>
      </c>
    </row>
    <row customHeight="1" ht="11.25">
      <c r="A1862" s="8634" t="s">
        <v>2182</v>
      </c>
      <c r="B1862" s="8634" t="s">
        <v>14</v>
      </c>
      <c r="C1862" s="8634" t="s">
        <v>2568</v>
      </c>
      <c r="D1862" s="8634" t="s">
        <v>2569</v>
      </c>
      <c r="E1862" s="8634" t="s">
        <v>2570</v>
      </c>
      <c r="F1862" s="8634" t="s">
        <v>2213</v>
      </c>
      <c r="G1862" s="8634" t="s">
        <v>2571</v>
      </c>
      <c r="H1862" s="8634" t="s">
        <v>24</v>
      </c>
      <c r="I1862" s="8634" t="s">
        <v>768</v>
      </c>
    </row>
    <row customHeight="1" ht="11.25">
      <c r="A1863" s="8634" t="s">
        <v>2182</v>
      </c>
      <c r="B1863" s="8634" t="s">
        <v>14</v>
      </c>
      <c r="C1863" s="8634" t="s">
        <v>2588</v>
      </c>
      <c r="D1863" s="8634" t="s">
        <v>2589</v>
      </c>
      <c r="E1863" s="8634" t="s">
        <v>2590</v>
      </c>
      <c r="F1863" s="8634" t="s">
        <v>2563</v>
      </c>
      <c r="G1863" s="8634" t="s">
        <v>2591</v>
      </c>
      <c r="H1863" s="8634" t="s">
        <v>24</v>
      </c>
      <c r="I1863" s="8634" t="s">
        <v>768</v>
      </c>
    </row>
    <row customHeight="1" ht="11.25">
      <c r="A1864" s="8634" t="s">
        <v>2182</v>
      </c>
      <c r="B1864" s="8634" t="s">
        <v>14</v>
      </c>
      <c r="C1864" s="8634" t="s">
        <v>6506</v>
      </c>
      <c r="D1864" s="8634" t="s">
        <v>6507</v>
      </c>
      <c r="E1864" s="8634" t="s">
        <v>6508</v>
      </c>
      <c r="F1864" s="8634" t="s">
        <v>2563</v>
      </c>
      <c r="G1864" s="8634" t="s">
        <v>6509</v>
      </c>
      <c r="H1864" s="8634" t="s">
        <v>24</v>
      </c>
      <c r="I1864" s="8634" t="s">
        <v>768</v>
      </c>
    </row>
    <row customHeight="1" ht="11.25">
      <c r="A1865" s="8634" t="s">
        <v>2182</v>
      </c>
      <c r="B1865" s="8634" t="s">
        <v>14</v>
      </c>
      <c r="C1865" s="8634" t="s">
        <v>2597</v>
      </c>
      <c r="D1865" s="8634" t="s">
        <v>2598</v>
      </c>
      <c r="E1865" s="8634" t="s">
        <v>2599</v>
      </c>
      <c r="F1865" s="8634" t="s">
        <v>2600</v>
      </c>
      <c r="G1865" s="8634" t="s">
        <v>2601</v>
      </c>
      <c r="H1865" s="8634" t="s">
        <v>24</v>
      </c>
      <c r="I1865" s="8634" t="s">
        <v>768</v>
      </c>
    </row>
    <row customHeight="1" ht="11.25">
      <c r="A1866" s="8634" t="s">
        <v>2182</v>
      </c>
      <c r="B1866" s="8634" t="s">
        <v>14</v>
      </c>
      <c r="C1866" s="8634" t="s">
        <v>2602</v>
      </c>
      <c r="D1866" s="8634" t="s">
        <v>2603</v>
      </c>
      <c r="E1866" s="8634" t="s">
        <v>2604</v>
      </c>
      <c r="F1866" s="8634" t="s">
        <v>2339</v>
      </c>
      <c r="G1866" s="8634" t="s">
        <v>2605</v>
      </c>
      <c r="H1866" s="8634" t="s">
        <v>24</v>
      </c>
      <c r="I1866" s="8634" t="s">
        <v>768</v>
      </c>
    </row>
    <row customHeight="1" ht="11.25">
      <c r="A1867" s="8634" t="s">
        <v>2182</v>
      </c>
      <c r="B1867" s="8634" t="s">
        <v>14</v>
      </c>
      <c r="C1867" s="8634" t="s">
        <v>2606</v>
      </c>
      <c r="D1867" s="8634" t="s">
        <v>2607</v>
      </c>
      <c r="E1867" s="8634" t="s">
        <v>2608</v>
      </c>
      <c r="F1867" s="8634" t="s">
        <v>2334</v>
      </c>
      <c r="G1867" s="8634" t="s">
        <v>2609</v>
      </c>
      <c r="H1867" s="8634" t="s">
        <v>24</v>
      </c>
      <c r="I1867" s="8634" t="s">
        <v>768</v>
      </c>
    </row>
    <row customHeight="1" ht="11.25">
      <c r="A1868" s="8634" t="s">
        <v>2182</v>
      </c>
      <c r="B1868" s="8634" t="s">
        <v>14</v>
      </c>
      <c r="C1868" s="8634" t="s">
        <v>6510</v>
      </c>
      <c r="D1868" s="8634" t="s">
        <v>6511</v>
      </c>
      <c r="E1868" s="8634" t="s">
        <v>6512</v>
      </c>
      <c r="F1868" s="8634" t="s">
        <v>6513</v>
      </c>
      <c r="G1868" s="8634" t="s">
        <v>6514</v>
      </c>
      <c r="H1868" s="8634" t="s">
        <v>6515</v>
      </c>
      <c r="I1868" s="8634" t="s">
        <v>768</v>
      </c>
    </row>
    <row customHeight="1" ht="11.25">
      <c r="A1869" s="8634" t="s">
        <v>2182</v>
      </c>
      <c r="B1869" s="8634" t="s">
        <v>14</v>
      </c>
      <c r="C1869" s="8634" t="s">
        <v>6516</v>
      </c>
      <c r="D1869" s="8634" t="s">
        <v>6517</v>
      </c>
      <c r="E1869" s="8634" t="s">
        <v>6518</v>
      </c>
      <c r="F1869" s="8634" t="s">
        <v>2213</v>
      </c>
      <c r="G1869" s="8634" t="s">
        <v>6519</v>
      </c>
      <c r="H1869" s="8634" t="s">
        <v>24</v>
      </c>
      <c r="I1869" s="8634" t="s">
        <v>768</v>
      </c>
    </row>
    <row customHeight="1" ht="11.25">
      <c r="A1870" s="8634" t="s">
        <v>2182</v>
      </c>
      <c r="B1870" s="8634" t="s">
        <v>14</v>
      </c>
      <c r="C1870" s="8634" t="s">
        <v>2615</v>
      </c>
      <c r="D1870" s="8634" t="s">
        <v>2616</v>
      </c>
      <c r="E1870" s="8634" t="s">
        <v>2617</v>
      </c>
      <c r="F1870" s="8634" t="s">
        <v>2334</v>
      </c>
      <c r="G1870" s="8634" t="s">
        <v>2618</v>
      </c>
      <c r="H1870" s="8634" t="s">
        <v>24</v>
      </c>
      <c r="I1870" s="8634" t="s">
        <v>768</v>
      </c>
    </row>
    <row customHeight="1" ht="11.25">
      <c r="A1871" s="8634" t="s">
        <v>2182</v>
      </c>
      <c r="B1871" s="8634" t="s">
        <v>14</v>
      </c>
      <c r="C1871" s="8634" t="s">
        <v>2619</v>
      </c>
      <c r="D1871" s="8634" t="s">
        <v>2620</v>
      </c>
      <c r="E1871" s="8634" t="s">
        <v>2621</v>
      </c>
      <c r="F1871" s="8634" t="s">
        <v>2213</v>
      </c>
      <c r="G1871" s="8634" t="s">
        <v>2622</v>
      </c>
      <c r="H1871" s="8634" t="s">
        <v>24</v>
      </c>
      <c r="I1871" s="8634" t="s">
        <v>768</v>
      </c>
    </row>
    <row customHeight="1" ht="11.25">
      <c r="A1872" s="8634" t="s">
        <v>2182</v>
      </c>
      <c r="B1872" s="8634" t="s">
        <v>14</v>
      </c>
      <c r="C1872" s="8634" t="s">
        <v>2623</v>
      </c>
      <c r="D1872" s="8634" t="s">
        <v>2624</v>
      </c>
      <c r="E1872" s="8634" t="s">
        <v>2625</v>
      </c>
      <c r="F1872" s="8634" t="s">
        <v>2626</v>
      </c>
      <c r="G1872" s="8634" t="s">
        <v>24</v>
      </c>
      <c r="H1872" s="8634" t="s">
        <v>24</v>
      </c>
      <c r="I1872" s="8634" t="s">
        <v>768</v>
      </c>
    </row>
    <row customHeight="1" ht="11.25">
      <c r="A1873" s="8634" t="s">
        <v>2182</v>
      </c>
      <c r="B1873" s="8634" t="s">
        <v>14</v>
      </c>
      <c r="C1873" s="8634" t="s">
        <v>2635</v>
      </c>
      <c r="D1873" s="8634" t="s">
        <v>2636</v>
      </c>
      <c r="E1873" s="8634" t="s">
        <v>2637</v>
      </c>
      <c r="F1873" s="8634" t="s">
        <v>2512</v>
      </c>
      <c r="G1873" s="8634" t="s">
        <v>2638</v>
      </c>
      <c r="H1873" s="8634" t="s">
        <v>2187</v>
      </c>
      <c r="I1873" s="8634" t="s">
        <v>768</v>
      </c>
    </row>
    <row customHeight="1" ht="11.25">
      <c r="A1874" s="8634" t="s">
        <v>2182</v>
      </c>
      <c r="B1874" s="8634" t="s">
        <v>14</v>
      </c>
      <c r="C1874" s="8634" t="s">
        <v>6520</v>
      </c>
      <c r="D1874" s="8634" t="s">
        <v>6521</v>
      </c>
      <c r="E1874" s="8634" t="s">
        <v>6522</v>
      </c>
      <c r="F1874" s="8634" t="s">
        <v>2322</v>
      </c>
      <c r="G1874" s="8634" t="s">
        <v>6523</v>
      </c>
      <c r="H1874" s="8634" t="s">
        <v>24</v>
      </c>
      <c r="I1874" s="8634" t="s">
        <v>768</v>
      </c>
    </row>
    <row customHeight="1" ht="11.25">
      <c r="A1875" s="8634" t="s">
        <v>2182</v>
      </c>
      <c r="B1875" s="8634" t="s">
        <v>14</v>
      </c>
      <c r="C1875" s="8634" t="s">
        <v>6524</v>
      </c>
      <c r="D1875" s="8634" t="s">
        <v>6525</v>
      </c>
      <c r="E1875" s="8634" t="s">
        <v>6526</v>
      </c>
      <c r="F1875" s="8634" t="s">
        <v>2213</v>
      </c>
      <c r="G1875" s="8634" t="s">
        <v>6527</v>
      </c>
      <c r="H1875" s="8634" t="s">
        <v>24</v>
      </c>
      <c r="I1875" s="8634" t="s">
        <v>768</v>
      </c>
    </row>
    <row customHeight="1" ht="11.25">
      <c r="A1876" s="8634" t="s">
        <v>2182</v>
      </c>
      <c r="B1876" s="8634" t="s">
        <v>14</v>
      </c>
      <c r="C1876" s="8634" t="s">
        <v>2652</v>
      </c>
      <c r="D1876" s="8634" t="s">
        <v>2653</v>
      </c>
      <c r="E1876" s="8634" t="s">
        <v>2654</v>
      </c>
      <c r="F1876" s="8634" t="s">
        <v>2223</v>
      </c>
      <c r="G1876" s="8634" t="s">
        <v>2655</v>
      </c>
      <c r="H1876" s="8634" t="s">
        <v>24</v>
      </c>
      <c r="I1876" s="8634" t="s">
        <v>768</v>
      </c>
    </row>
    <row customHeight="1" ht="11.25">
      <c r="A1877" s="8634" t="s">
        <v>2182</v>
      </c>
      <c r="B1877" s="8634" t="s">
        <v>14</v>
      </c>
      <c r="C1877" s="8634" t="s">
        <v>2660</v>
      </c>
      <c r="D1877" s="8634" t="s">
        <v>2661</v>
      </c>
      <c r="E1877" s="8634" t="s">
        <v>2662</v>
      </c>
      <c r="F1877" s="8634" t="s">
        <v>2600</v>
      </c>
      <c r="G1877" s="8634" t="s">
        <v>2663</v>
      </c>
      <c r="H1877" s="8634" t="s">
        <v>24</v>
      </c>
      <c r="I1877" s="8634" t="s">
        <v>768</v>
      </c>
    </row>
    <row customHeight="1" ht="11.25">
      <c r="A1878" s="8634" t="s">
        <v>2182</v>
      </c>
      <c r="B1878" s="8634" t="s">
        <v>14</v>
      </c>
      <c r="C1878" s="8634" t="s">
        <v>2664</v>
      </c>
      <c r="D1878" s="8634" t="s">
        <v>2665</v>
      </c>
      <c r="E1878" s="8634" t="s">
        <v>2666</v>
      </c>
      <c r="F1878" s="8634" t="s">
        <v>2512</v>
      </c>
      <c r="G1878" s="8634" t="s">
        <v>2667</v>
      </c>
      <c r="H1878" s="8634" t="s">
        <v>24</v>
      </c>
      <c r="I1878" s="8634" t="s">
        <v>768</v>
      </c>
    </row>
    <row customHeight="1" ht="11.25">
      <c r="A1879" s="8634" t="s">
        <v>2182</v>
      </c>
      <c r="B1879" s="8634" t="s">
        <v>14</v>
      </c>
      <c r="C1879" s="8634" t="s">
        <v>2673</v>
      </c>
      <c r="D1879" s="8634" t="s">
        <v>2674</v>
      </c>
      <c r="E1879" s="8634" t="s">
        <v>2675</v>
      </c>
      <c r="F1879" s="8634" t="s">
        <v>2218</v>
      </c>
      <c r="G1879" s="8634" t="s">
        <v>2676</v>
      </c>
      <c r="H1879" s="8634" t="s">
        <v>24</v>
      </c>
      <c r="I1879" s="8634" t="s">
        <v>768</v>
      </c>
    </row>
    <row customHeight="1" ht="11.25">
      <c r="A1880" s="8634" t="s">
        <v>2182</v>
      </c>
      <c r="B1880" s="8634" t="s">
        <v>14</v>
      </c>
      <c r="C1880" s="8634" t="s">
        <v>2677</v>
      </c>
      <c r="D1880" s="8634" t="s">
        <v>2678</v>
      </c>
      <c r="E1880" s="8634" t="s">
        <v>2679</v>
      </c>
      <c r="F1880" s="8634" t="s">
        <v>2563</v>
      </c>
      <c r="G1880" s="8634" t="s">
        <v>2680</v>
      </c>
      <c r="H1880" s="8634" t="s">
        <v>2681</v>
      </c>
      <c r="I1880" s="8634" t="s">
        <v>768</v>
      </c>
    </row>
    <row customHeight="1" ht="11.25">
      <c r="A1881" s="8634" t="s">
        <v>2182</v>
      </c>
      <c r="B1881" s="8634" t="s">
        <v>14</v>
      </c>
      <c r="C1881" s="8634" t="s">
        <v>6528</v>
      </c>
      <c r="D1881" s="8634" t="s">
        <v>6529</v>
      </c>
      <c r="E1881" s="8634" t="s">
        <v>6530</v>
      </c>
      <c r="F1881" s="8634" t="s">
        <v>2398</v>
      </c>
      <c r="G1881" s="8634" t="s">
        <v>6531</v>
      </c>
      <c r="H1881" s="8634" t="s">
        <v>24</v>
      </c>
      <c r="I1881" s="8634" t="s">
        <v>768</v>
      </c>
    </row>
    <row customHeight="1" ht="11.25">
      <c r="A1882" s="8634" t="s">
        <v>2182</v>
      </c>
      <c r="B1882" s="8634" t="s">
        <v>14</v>
      </c>
      <c r="C1882" s="8634" t="s">
        <v>6532</v>
      </c>
      <c r="D1882" s="8634" t="s">
        <v>6533</v>
      </c>
      <c r="E1882" s="8634" t="s">
        <v>6534</v>
      </c>
      <c r="F1882" s="8634" t="s">
        <v>2398</v>
      </c>
      <c r="G1882" s="8634" t="s">
        <v>6535</v>
      </c>
      <c r="H1882" s="8634" t="s">
        <v>6536</v>
      </c>
      <c r="I1882" s="8634" t="s">
        <v>768</v>
      </c>
    </row>
    <row customHeight="1" ht="11.25">
      <c r="A1883" s="8634" t="s">
        <v>2182</v>
      </c>
      <c r="B1883" s="8634" t="s">
        <v>14</v>
      </c>
      <c r="C1883" s="8634" t="s">
        <v>6537</v>
      </c>
      <c r="D1883" s="8634" t="s">
        <v>6538</v>
      </c>
      <c r="E1883" s="8634" t="s">
        <v>6539</v>
      </c>
      <c r="F1883" s="8634" t="s">
        <v>2964</v>
      </c>
      <c r="G1883" s="8634" t="s">
        <v>24</v>
      </c>
      <c r="H1883" s="8634" t="s">
        <v>24</v>
      </c>
      <c r="I1883" s="8634" t="s">
        <v>768</v>
      </c>
    </row>
    <row customHeight="1" ht="11.25">
      <c r="A1884" s="8634" t="s">
        <v>2182</v>
      </c>
      <c r="B1884" s="8634" t="s">
        <v>14</v>
      </c>
      <c r="C1884" s="8634" t="s">
        <v>6540</v>
      </c>
      <c r="D1884" s="8634" t="s">
        <v>6541</v>
      </c>
      <c r="E1884" s="8634" t="s">
        <v>6542</v>
      </c>
      <c r="F1884" s="8634" t="s">
        <v>2334</v>
      </c>
      <c r="G1884" s="8634" t="s">
        <v>24</v>
      </c>
      <c r="H1884" s="8634" t="s">
        <v>24</v>
      </c>
      <c r="I1884" s="8634" t="s">
        <v>768</v>
      </c>
    </row>
    <row customHeight="1" ht="11.25">
      <c r="A1885" s="8634" t="s">
        <v>2182</v>
      </c>
      <c r="B1885" s="8634" t="s">
        <v>14</v>
      </c>
      <c r="C1885" s="8634" t="s">
        <v>6543</v>
      </c>
      <c r="D1885" s="8634" t="s">
        <v>6544</v>
      </c>
      <c r="E1885" s="8634" t="s">
        <v>6545</v>
      </c>
      <c r="F1885" s="8634" t="s">
        <v>3212</v>
      </c>
      <c r="G1885" s="8634" t="s">
        <v>24</v>
      </c>
      <c r="H1885" s="8634" t="s">
        <v>2400</v>
      </c>
      <c r="I1885" s="8634" t="s">
        <v>768</v>
      </c>
    </row>
    <row customHeight="1" ht="11.25">
      <c r="A1886" s="8634" t="s">
        <v>2182</v>
      </c>
      <c r="B1886" s="8634" t="s">
        <v>14</v>
      </c>
      <c r="C1886" s="8634" t="s">
        <v>2693</v>
      </c>
      <c r="D1886" s="8634" t="s">
        <v>2694</v>
      </c>
      <c r="E1886" s="8634" t="s">
        <v>2695</v>
      </c>
      <c r="F1886" s="8634" t="s">
        <v>2696</v>
      </c>
      <c r="G1886" s="8634" t="s">
        <v>2555</v>
      </c>
      <c r="H1886" s="8634" t="s">
        <v>2697</v>
      </c>
      <c r="I1886" s="8634" t="s">
        <v>768</v>
      </c>
    </row>
    <row customHeight="1" ht="11.25">
      <c r="A1887" s="8634" t="s">
        <v>2182</v>
      </c>
      <c r="B1887" s="8634" t="s">
        <v>14</v>
      </c>
      <c r="C1887" s="8634" t="s">
        <v>2698</v>
      </c>
      <c r="D1887" s="8634" t="s">
        <v>2699</v>
      </c>
      <c r="E1887" s="8634" t="s">
        <v>2700</v>
      </c>
      <c r="F1887" s="8634" t="s">
        <v>2563</v>
      </c>
      <c r="G1887" s="8634" t="s">
        <v>2701</v>
      </c>
      <c r="H1887" s="8634" t="s">
        <v>24</v>
      </c>
      <c r="I1887" s="8634" t="s">
        <v>768</v>
      </c>
    </row>
    <row customHeight="1" ht="11.25">
      <c r="A1888" s="8634" t="s">
        <v>2182</v>
      </c>
      <c r="B1888" s="8634" t="s">
        <v>14</v>
      </c>
      <c r="C1888" s="8634" t="s">
        <v>2702</v>
      </c>
      <c r="D1888" s="8634" t="s">
        <v>2703</v>
      </c>
      <c r="E1888" s="8634" t="s">
        <v>2704</v>
      </c>
      <c r="F1888" s="8634" t="s">
        <v>2705</v>
      </c>
      <c r="G1888" s="8634" t="s">
        <v>2706</v>
      </c>
      <c r="H1888" s="8634" t="s">
        <v>24</v>
      </c>
      <c r="I1888" s="8634" t="s">
        <v>768</v>
      </c>
    </row>
    <row customHeight="1" ht="11.25">
      <c r="A1889" s="8634" t="s">
        <v>2182</v>
      </c>
      <c r="B1889" s="8634" t="s">
        <v>14</v>
      </c>
      <c r="C1889" s="8634" t="s">
        <v>2707</v>
      </c>
      <c r="D1889" s="8634" t="s">
        <v>2708</v>
      </c>
      <c r="E1889" s="8634" t="s">
        <v>2709</v>
      </c>
      <c r="F1889" s="8634" t="s">
        <v>2330</v>
      </c>
      <c r="G1889" s="8634" t="s">
        <v>2710</v>
      </c>
      <c r="H1889" s="8634" t="s">
        <v>24</v>
      </c>
      <c r="I1889" s="8634" t="s">
        <v>768</v>
      </c>
    </row>
    <row customHeight="1" ht="11.25">
      <c r="A1890" s="8634" t="s">
        <v>2182</v>
      </c>
      <c r="B1890" s="8634" t="s">
        <v>14</v>
      </c>
      <c r="C1890" s="8634" t="s">
        <v>2711</v>
      </c>
      <c r="D1890" s="8634" t="s">
        <v>2712</v>
      </c>
      <c r="E1890" s="8634" t="s">
        <v>2713</v>
      </c>
      <c r="F1890" s="8634" t="s">
        <v>2213</v>
      </c>
      <c r="G1890" s="8634" t="s">
        <v>2714</v>
      </c>
      <c r="H1890" s="8634" t="s">
        <v>24</v>
      </c>
      <c r="I1890" s="8634" t="s">
        <v>768</v>
      </c>
    </row>
    <row customHeight="1" ht="11.25">
      <c r="A1891" s="8634" t="s">
        <v>2182</v>
      </c>
      <c r="B1891" s="8634" t="s">
        <v>14</v>
      </c>
      <c r="C1891" s="8634" t="s">
        <v>6546</v>
      </c>
      <c r="D1891" s="8634" t="s">
        <v>6547</v>
      </c>
      <c r="E1891" s="8634" t="s">
        <v>6548</v>
      </c>
      <c r="F1891" s="8634" t="s">
        <v>2269</v>
      </c>
      <c r="G1891" s="8634" t="s">
        <v>24</v>
      </c>
      <c r="H1891" s="8634" t="s">
        <v>24</v>
      </c>
      <c r="I1891" s="8634" t="s">
        <v>768</v>
      </c>
    </row>
    <row customHeight="1" ht="11.25">
      <c r="A1892" s="8634" t="s">
        <v>2182</v>
      </c>
      <c r="B1892" s="8634" t="s">
        <v>14</v>
      </c>
      <c r="C1892" s="8634" t="s">
        <v>6263</v>
      </c>
      <c r="D1892" s="8634" t="s">
        <v>6264</v>
      </c>
      <c r="E1892" s="8634" t="s">
        <v>6265</v>
      </c>
      <c r="F1892" s="8634" t="s">
        <v>2721</v>
      </c>
      <c r="G1892" s="8634" t="s">
        <v>6266</v>
      </c>
      <c r="H1892" s="8634" t="s">
        <v>24</v>
      </c>
      <c r="I1892" s="8634" t="s">
        <v>768</v>
      </c>
    </row>
    <row customHeight="1" ht="11.25">
      <c r="A1893" s="8634" t="s">
        <v>2182</v>
      </c>
      <c r="B1893" s="8634" t="s">
        <v>14</v>
      </c>
      <c r="C1893" s="8634" t="s">
        <v>6549</v>
      </c>
      <c r="D1893" s="8634" t="s">
        <v>6550</v>
      </c>
      <c r="E1893" s="8634" t="s">
        <v>6551</v>
      </c>
      <c r="F1893" s="8634" t="s">
        <v>2213</v>
      </c>
      <c r="G1893" s="8634" t="s">
        <v>6552</v>
      </c>
      <c r="H1893" s="8634" t="s">
        <v>24</v>
      </c>
      <c r="I1893" s="8634" t="s">
        <v>768</v>
      </c>
    </row>
    <row customHeight="1" ht="11.25">
      <c r="A1894" s="8634" t="s">
        <v>2182</v>
      </c>
      <c r="B1894" s="8634" t="s">
        <v>14</v>
      </c>
      <c r="C1894" s="8634" t="s">
        <v>2728</v>
      </c>
      <c r="D1894" s="8634" t="s">
        <v>2729</v>
      </c>
      <c r="E1894" s="8634" t="s">
        <v>2730</v>
      </c>
      <c r="F1894" s="8634" t="s">
        <v>2600</v>
      </c>
      <c r="G1894" s="8634" t="s">
        <v>2731</v>
      </c>
      <c r="H1894" s="8634" t="s">
        <v>24</v>
      </c>
      <c r="I1894" s="8634" t="s">
        <v>768</v>
      </c>
    </row>
    <row customHeight="1" ht="11.25">
      <c r="A1895" s="8634" t="s">
        <v>2182</v>
      </c>
      <c r="B1895" s="8634" t="s">
        <v>14</v>
      </c>
      <c r="C1895" s="8634" t="s">
        <v>6553</v>
      </c>
      <c r="D1895" s="8634" t="s">
        <v>6554</v>
      </c>
      <c r="E1895" s="8634" t="s">
        <v>6555</v>
      </c>
      <c r="F1895" s="8634" t="s">
        <v>2228</v>
      </c>
      <c r="G1895" s="8634" t="s">
        <v>24</v>
      </c>
      <c r="H1895" s="8634" t="s">
        <v>2773</v>
      </c>
      <c r="I1895" s="8634" t="s">
        <v>768</v>
      </c>
    </row>
    <row customHeight="1" ht="11.25">
      <c r="A1896" s="8634" t="s">
        <v>2182</v>
      </c>
      <c r="B1896" s="8634" t="s">
        <v>14</v>
      </c>
      <c r="C1896" s="8634" t="s">
        <v>2739</v>
      </c>
      <c r="D1896" s="8634" t="s">
        <v>2740</v>
      </c>
      <c r="E1896" s="8634" t="s">
        <v>2741</v>
      </c>
      <c r="F1896" s="8634" t="s">
        <v>2742</v>
      </c>
      <c r="G1896" s="8634" t="s">
        <v>2743</v>
      </c>
      <c r="H1896" s="8634" t="s">
        <v>24</v>
      </c>
      <c r="I1896" s="8634" t="s">
        <v>768</v>
      </c>
    </row>
    <row customHeight="1" ht="11.25">
      <c r="A1897" s="8634" t="s">
        <v>2182</v>
      </c>
      <c r="B1897" s="8634" t="s">
        <v>14</v>
      </c>
      <c r="C1897" s="8634" t="s">
        <v>6556</v>
      </c>
      <c r="D1897" s="8634" t="s">
        <v>6557</v>
      </c>
      <c r="E1897" s="8634" t="s">
        <v>6558</v>
      </c>
      <c r="F1897" s="8634" t="s">
        <v>2218</v>
      </c>
      <c r="G1897" s="8634" t="s">
        <v>24</v>
      </c>
      <c r="H1897" s="8634" t="s">
        <v>2773</v>
      </c>
      <c r="I1897" s="8634" t="s">
        <v>768</v>
      </c>
    </row>
    <row customHeight="1" ht="11.25">
      <c r="A1898" s="8634" t="s">
        <v>2182</v>
      </c>
      <c r="B1898" s="8634" t="s">
        <v>14</v>
      </c>
      <c r="C1898" s="8634" t="s">
        <v>6559</v>
      </c>
      <c r="D1898" s="8634" t="s">
        <v>6560</v>
      </c>
      <c r="E1898" s="8634" t="s">
        <v>6561</v>
      </c>
      <c r="F1898" s="8634" t="s">
        <v>6562</v>
      </c>
      <c r="G1898" s="8634" t="s">
        <v>6563</v>
      </c>
      <c r="H1898" s="8634" t="s">
        <v>2870</v>
      </c>
      <c r="I1898" s="8634" t="s">
        <v>768</v>
      </c>
    </row>
    <row customHeight="1" ht="11.25">
      <c r="A1899" s="8634" t="s">
        <v>2182</v>
      </c>
      <c r="B1899" s="8634" t="s">
        <v>14</v>
      </c>
      <c r="C1899" s="8634" t="s">
        <v>6564</v>
      </c>
      <c r="D1899" s="8634" t="s">
        <v>6565</v>
      </c>
      <c r="E1899" s="8634" t="s">
        <v>5698</v>
      </c>
      <c r="F1899" s="8634" t="s">
        <v>5584</v>
      </c>
      <c r="G1899" s="8634" t="s">
        <v>6566</v>
      </c>
      <c r="H1899" s="8634" t="s">
        <v>24</v>
      </c>
      <c r="I1899" s="8634" t="s">
        <v>768</v>
      </c>
    </row>
    <row customHeight="1" ht="11.25">
      <c r="A1900" s="8634" t="s">
        <v>2182</v>
      </c>
      <c r="B1900" s="8634" t="s">
        <v>14</v>
      </c>
      <c r="C1900" s="8634" t="s">
        <v>2757</v>
      </c>
      <c r="D1900" s="8634" t="s">
        <v>2758</v>
      </c>
      <c r="E1900" s="8634" t="s">
        <v>2759</v>
      </c>
      <c r="F1900" s="8634" t="s">
        <v>2264</v>
      </c>
      <c r="G1900" s="8634" t="s">
        <v>24</v>
      </c>
      <c r="H1900" s="8634" t="s">
        <v>2187</v>
      </c>
      <c r="I1900" s="8634" t="s">
        <v>768</v>
      </c>
    </row>
    <row customHeight="1" ht="11.25">
      <c r="A1901" s="8634" t="s">
        <v>2182</v>
      </c>
      <c r="B1901" s="8634" t="s">
        <v>14</v>
      </c>
      <c r="C1901" s="8634" t="s">
        <v>6567</v>
      </c>
      <c r="D1901" s="8634" t="s">
        <v>6568</v>
      </c>
      <c r="E1901" s="8634" t="s">
        <v>6569</v>
      </c>
      <c r="F1901" s="8634" t="s">
        <v>2213</v>
      </c>
      <c r="G1901" s="8634" t="s">
        <v>24</v>
      </c>
      <c r="H1901" s="8634" t="s">
        <v>2773</v>
      </c>
      <c r="I1901" s="8634" t="s">
        <v>768</v>
      </c>
    </row>
    <row customHeight="1" ht="11.25">
      <c r="A1902" s="8634" t="s">
        <v>2182</v>
      </c>
      <c r="B1902" s="8634" t="s">
        <v>14</v>
      </c>
      <c r="C1902" s="8634" t="s">
        <v>6271</v>
      </c>
      <c r="D1902" s="8634" t="s">
        <v>6272</v>
      </c>
      <c r="E1902" s="8634" t="s">
        <v>6273</v>
      </c>
      <c r="F1902" s="8634" t="s">
        <v>2447</v>
      </c>
      <c r="G1902" s="8634" t="s">
        <v>24</v>
      </c>
      <c r="H1902" s="8634" t="s">
        <v>2187</v>
      </c>
      <c r="I1902" s="8634" t="s">
        <v>768</v>
      </c>
    </row>
    <row customHeight="1" ht="11.25">
      <c r="A1903" s="8634" t="s">
        <v>2182</v>
      </c>
      <c r="B1903" s="8634" t="s">
        <v>14</v>
      </c>
      <c r="C1903" s="8634" t="s">
        <v>6570</v>
      </c>
      <c r="D1903" s="8634" t="s">
        <v>6571</v>
      </c>
      <c r="E1903" s="8634" t="s">
        <v>6572</v>
      </c>
      <c r="F1903" s="8634" t="s">
        <v>2339</v>
      </c>
      <c r="G1903" s="8634" t="s">
        <v>24</v>
      </c>
      <c r="H1903" s="8634" t="s">
        <v>2773</v>
      </c>
      <c r="I1903" s="8634" t="s">
        <v>768</v>
      </c>
    </row>
    <row customHeight="1" ht="11.25">
      <c r="A1904" s="8634" t="s">
        <v>2182</v>
      </c>
      <c r="B1904" s="8634" t="s">
        <v>14</v>
      </c>
      <c r="C1904" s="8634" t="s">
        <v>6573</v>
      </c>
      <c r="D1904" s="8634" t="s">
        <v>6574</v>
      </c>
      <c r="E1904" s="8634" t="s">
        <v>6575</v>
      </c>
      <c r="F1904" s="8634" t="s">
        <v>6253</v>
      </c>
      <c r="G1904" s="8634" t="s">
        <v>6576</v>
      </c>
      <c r="H1904" s="8634" t="s">
        <v>6577</v>
      </c>
      <c r="I1904" s="8634" t="s">
        <v>768</v>
      </c>
    </row>
    <row customHeight="1" ht="11.25">
      <c r="A1905" s="8634" t="s">
        <v>2182</v>
      </c>
      <c r="B1905" s="8634" t="s">
        <v>14</v>
      </c>
      <c r="C1905" s="8634" t="s">
        <v>6578</v>
      </c>
      <c r="D1905" s="8634" t="s">
        <v>6579</v>
      </c>
      <c r="E1905" s="8634" t="s">
        <v>6580</v>
      </c>
      <c r="F1905" s="8634" t="s">
        <v>6581</v>
      </c>
      <c r="G1905" s="8634" t="s">
        <v>24</v>
      </c>
      <c r="H1905" s="8634" t="s">
        <v>6582</v>
      </c>
      <c r="I1905" s="8634" t="s">
        <v>768</v>
      </c>
    </row>
    <row customHeight="1" ht="11.25">
      <c r="A1906" s="8634" t="s">
        <v>2182</v>
      </c>
      <c r="B1906" s="8634" t="s">
        <v>14</v>
      </c>
      <c r="C1906" s="8634" t="s">
        <v>6583</v>
      </c>
      <c r="D1906" s="8634" t="s">
        <v>6584</v>
      </c>
      <c r="E1906" s="8634" t="s">
        <v>6585</v>
      </c>
      <c r="F1906" s="8634" t="s">
        <v>6586</v>
      </c>
      <c r="G1906" s="8634" t="s">
        <v>24</v>
      </c>
      <c r="H1906" s="8634" t="s">
        <v>24</v>
      </c>
      <c r="I1906" s="8634" t="s">
        <v>768</v>
      </c>
    </row>
    <row customHeight="1" ht="11.25">
      <c r="A1907" s="8634" t="s">
        <v>2182</v>
      </c>
      <c r="B1907" s="8634" t="s">
        <v>14</v>
      </c>
      <c r="C1907" s="8634" t="s">
        <v>2793</v>
      </c>
      <c r="D1907" s="8634" t="s">
        <v>2794</v>
      </c>
      <c r="E1907" s="8634" t="s">
        <v>2795</v>
      </c>
      <c r="F1907" s="8634" t="s">
        <v>2512</v>
      </c>
      <c r="G1907" s="8634" t="s">
        <v>2796</v>
      </c>
      <c r="H1907" s="8634" t="s">
        <v>24</v>
      </c>
      <c r="I1907" s="8634" t="s">
        <v>768</v>
      </c>
    </row>
    <row customHeight="1" ht="11.25">
      <c r="A1908" s="8634" t="s">
        <v>2182</v>
      </c>
      <c r="B1908" s="8634" t="s">
        <v>14</v>
      </c>
      <c r="C1908" s="8634" t="s">
        <v>2816</v>
      </c>
      <c r="D1908" s="8634" t="s">
        <v>2817</v>
      </c>
      <c r="E1908" s="8634" t="s">
        <v>2818</v>
      </c>
      <c r="F1908" s="8634" t="s">
        <v>2460</v>
      </c>
      <c r="G1908" s="8634" t="s">
        <v>2819</v>
      </c>
      <c r="H1908" s="8634" t="s">
        <v>24</v>
      </c>
      <c r="I1908" s="8634" t="s">
        <v>768</v>
      </c>
    </row>
    <row customHeight="1" ht="11.25">
      <c r="A1909" s="8634" t="s">
        <v>2182</v>
      </c>
      <c r="B1909" s="8634" t="s">
        <v>14</v>
      </c>
      <c r="C1909" s="8634" t="s">
        <v>2829</v>
      </c>
      <c r="D1909" s="8634" t="s">
        <v>2830</v>
      </c>
      <c r="E1909" s="8634" t="s">
        <v>2831</v>
      </c>
      <c r="F1909" s="8634" t="s">
        <v>2832</v>
      </c>
      <c r="G1909" s="8634" t="s">
        <v>2833</v>
      </c>
      <c r="H1909" s="8634" t="s">
        <v>2834</v>
      </c>
      <c r="I1909" s="8634" t="s">
        <v>768</v>
      </c>
    </row>
    <row customHeight="1" ht="11.25">
      <c r="A1910" s="8634" t="s">
        <v>2182</v>
      </c>
      <c r="B1910" s="8634" t="s">
        <v>14</v>
      </c>
      <c r="C1910" s="8634" t="s">
        <v>2839</v>
      </c>
      <c r="D1910" s="8634" t="s">
        <v>2840</v>
      </c>
      <c r="E1910" s="8634" t="s">
        <v>2841</v>
      </c>
      <c r="F1910" s="8634" t="s">
        <v>2349</v>
      </c>
      <c r="G1910" s="8634" t="s">
        <v>24</v>
      </c>
      <c r="H1910" s="8634" t="s">
        <v>2842</v>
      </c>
      <c r="I1910" s="8634" t="s">
        <v>768</v>
      </c>
    </row>
    <row customHeight="1" ht="11.25">
      <c r="A1911" s="8634" t="s">
        <v>2182</v>
      </c>
      <c r="B1911" s="8634" t="s">
        <v>14</v>
      </c>
      <c r="C1911" s="8634" t="s">
        <v>2843</v>
      </c>
      <c r="D1911" s="8634" t="s">
        <v>2844</v>
      </c>
      <c r="E1911" s="8634" t="s">
        <v>2845</v>
      </c>
      <c r="F1911" s="8634" t="s">
        <v>2300</v>
      </c>
      <c r="G1911" s="8634" t="s">
        <v>2846</v>
      </c>
      <c r="H1911" s="8634" t="s">
        <v>24</v>
      </c>
      <c r="I1911" s="8634" t="s">
        <v>768</v>
      </c>
    </row>
    <row customHeight="1" ht="11.25">
      <c r="A1912" s="8634" t="s">
        <v>2182</v>
      </c>
      <c r="B1912" s="8634" t="s">
        <v>14</v>
      </c>
      <c r="C1912" s="8634" t="s">
        <v>2847</v>
      </c>
      <c r="D1912" s="8634" t="s">
        <v>2848</v>
      </c>
      <c r="E1912" s="8634" t="s">
        <v>2849</v>
      </c>
      <c r="F1912" s="8634" t="s">
        <v>2460</v>
      </c>
      <c r="G1912" s="8634" t="s">
        <v>2850</v>
      </c>
      <c r="H1912" s="8634" t="s">
        <v>24</v>
      </c>
      <c r="I1912" s="8634" t="s">
        <v>768</v>
      </c>
    </row>
    <row customHeight="1" ht="11.25">
      <c r="A1913" s="8634" t="s">
        <v>2182</v>
      </c>
      <c r="B1913" s="8634" t="s">
        <v>14</v>
      </c>
      <c r="C1913" s="8634" t="s">
        <v>2851</v>
      </c>
      <c r="D1913" s="8634" t="s">
        <v>2852</v>
      </c>
      <c r="E1913" s="8634" t="s">
        <v>2853</v>
      </c>
      <c r="F1913" s="8634" t="s">
        <v>2854</v>
      </c>
      <c r="G1913" s="8634" t="s">
        <v>24</v>
      </c>
      <c r="H1913" s="8634" t="s">
        <v>24</v>
      </c>
      <c r="I1913" s="8634" t="s">
        <v>768</v>
      </c>
    </row>
    <row customHeight="1" ht="11.25">
      <c r="A1914" s="8634" t="s">
        <v>2182</v>
      </c>
      <c r="B1914" s="8634" t="s">
        <v>14</v>
      </c>
      <c r="C1914" s="8634" t="s">
        <v>2855</v>
      </c>
      <c r="D1914" s="8634" t="s">
        <v>2856</v>
      </c>
      <c r="E1914" s="8634" t="s">
        <v>2857</v>
      </c>
      <c r="F1914" s="8634" t="s">
        <v>2721</v>
      </c>
      <c r="G1914" s="8634" t="s">
        <v>2858</v>
      </c>
      <c r="H1914" s="8634" t="s">
        <v>2187</v>
      </c>
      <c r="I1914" s="8634" t="s">
        <v>768</v>
      </c>
    </row>
    <row customHeight="1" ht="11.25">
      <c r="A1915" s="8634" t="s">
        <v>2182</v>
      </c>
      <c r="B1915" s="8634" t="s">
        <v>14</v>
      </c>
      <c r="C1915" s="8634" t="s">
        <v>2859</v>
      </c>
      <c r="D1915" s="8634" t="s">
        <v>2856</v>
      </c>
      <c r="E1915" s="8634" t="s">
        <v>2860</v>
      </c>
      <c r="F1915" s="8634" t="s">
        <v>2721</v>
      </c>
      <c r="G1915" s="8634" t="s">
        <v>2861</v>
      </c>
      <c r="H1915" s="8634" t="s">
        <v>24</v>
      </c>
      <c r="I1915" s="8634" t="s">
        <v>768</v>
      </c>
    </row>
    <row customHeight="1" ht="11.25">
      <c r="A1916" s="8634" t="s">
        <v>2182</v>
      </c>
      <c r="B1916" s="8634" t="s">
        <v>14</v>
      </c>
      <c r="C1916" s="8634" t="s">
        <v>2867</v>
      </c>
      <c r="D1916" s="8634" t="s">
        <v>2868</v>
      </c>
      <c r="E1916" s="8634" t="s">
        <v>2869</v>
      </c>
      <c r="F1916" s="8634" t="s">
        <v>2854</v>
      </c>
      <c r="G1916" s="8634" t="s">
        <v>24</v>
      </c>
      <c r="H1916" s="8634" t="s">
        <v>2870</v>
      </c>
      <c r="I1916" s="8634" t="s">
        <v>768</v>
      </c>
    </row>
    <row customHeight="1" ht="11.25">
      <c r="A1917" s="8634" t="s">
        <v>2182</v>
      </c>
      <c r="B1917" s="8634" t="s">
        <v>14</v>
      </c>
      <c r="C1917" s="8634" t="s">
        <v>2871</v>
      </c>
      <c r="D1917" s="8634" t="s">
        <v>2872</v>
      </c>
      <c r="E1917" s="8634" t="s">
        <v>2873</v>
      </c>
      <c r="F1917" s="8634" t="s">
        <v>2389</v>
      </c>
      <c r="G1917" s="8634" t="s">
        <v>2874</v>
      </c>
      <c r="H1917" s="8634" t="s">
        <v>24</v>
      </c>
      <c r="I1917" s="8634" t="s">
        <v>768</v>
      </c>
    </row>
    <row customHeight="1" ht="11.25">
      <c r="A1918" s="8634" t="s">
        <v>2182</v>
      </c>
      <c r="B1918" s="8634" t="s">
        <v>14</v>
      </c>
      <c r="C1918" s="8634" t="s">
        <v>2883</v>
      </c>
      <c r="D1918" s="8634" t="s">
        <v>2884</v>
      </c>
      <c r="E1918" s="8634" t="s">
        <v>2885</v>
      </c>
      <c r="F1918" s="8634" t="s">
        <v>2349</v>
      </c>
      <c r="G1918" s="8634" t="s">
        <v>2886</v>
      </c>
      <c r="H1918" s="8634" t="s">
        <v>24</v>
      </c>
      <c r="I1918" s="8634" t="s">
        <v>768</v>
      </c>
    </row>
    <row customHeight="1" ht="11.25">
      <c r="A1919" s="8634" t="s">
        <v>2182</v>
      </c>
      <c r="B1919" s="8634" t="s">
        <v>14</v>
      </c>
      <c r="C1919" s="8634" t="s">
        <v>2887</v>
      </c>
      <c r="D1919" s="8634" t="s">
        <v>2888</v>
      </c>
      <c r="E1919" s="8634" t="s">
        <v>2889</v>
      </c>
      <c r="F1919" s="8634" t="s">
        <v>2890</v>
      </c>
      <c r="G1919" s="8634" t="s">
        <v>2891</v>
      </c>
      <c r="H1919" s="8634" t="s">
        <v>24</v>
      </c>
      <c r="I1919" s="8634" t="s">
        <v>768</v>
      </c>
    </row>
    <row customHeight="1" ht="11.25">
      <c r="A1920" s="8634" t="s">
        <v>2182</v>
      </c>
      <c r="B1920" s="8634" t="s">
        <v>14</v>
      </c>
      <c r="C1920" s="8634" t="s">
        <v>6587</v>
      </c>
      <c r="D1920" s="8634" t="s">
        <v>6588</v>
      </c>
      <c r="E1920" s="8634" t="s">
        <v>6589</v>
      </c>
      <c r="F1920" s="8634" t="s">
        <v>2349</v>
      </c>
      <c r="G1920" s="8634" t="s">
        <v>24</v>
      </c>
      <c r="H1920" s="8634" t="s">
        <v>6590</v>
      </c>
      <c r="I1920" s="8634" t="s">
        <v>768</v>
      </c>
    </row>
    <row customHeight="1" ht="11.25">
      <c r="A1921" s="8634" t="s">
        <v>2182</v>
      </c>
      <c r="B1921" s="8634" t="s">
        <v>14</v>
      </c>
      <c r="C1921" s="8634" t="s">
        <v>2900</v>
      </c>
      <c r="D1921" s="8634" t="s">
        <v>2901</v>
      </c>
      <c r="E1921" s="8634" t="s">
        <v>2902</v>
      </c>
      <c r="F1921" s="8634" t="s">
        <v>2626</v>
      </c>
      <c r="G1921" s="8634" t="s">
        <v>2903</v>
      </c>
      <c r="H1921" s="8634" t="s">
        <v>24</v>
      </c>
      <c r="I1921" s="8634" t="s">
        <v>768</v>
      </c>
    </row>
    <row customHeight="1" ht="11.25">
      <c r="A1922" s="8634" t="s">
        <v>2182</v>
      </c>
      <c r="B1922" s="8634" t="s">
        <v>14</v>
      </c>
      <c r="C1922" s="8634" t="s">
        <v>6591</v>
      </c>
      <c r="D1922" s="8634" t="s">
        <v>6592</v>
      </c>
      <c r="E1922" s="8634" t="s">
        <v>6593</v>
      </c>
      <c r="F1922" s="8634" t="s">
        <v>2339</v>
      </c>
      <c r="G1922" s="8634" t="s">
        <v>24</v>
      </c>
      <c r="H1922" s="8634" t="s">
        <v>24</v>
      </c>
      <c r="I1922" s="8634" t="s">
        <v>768</v>
      </c>
    </row>
    <row customHeight="1" ht="11.25">
      <c r="A1923" s="8634" t="s">
        <v>2182</v>
      </c>
      <c r="B1923" s="8634" t="s">
        <v>14</v>
      </c>
      <c r="C1923" s="8634" t="s">
        <v>2908</v>
      </c>
      <c r="D1923" s="8634" t="s">
        <v>2909</v>
      </c>
      <c r="E1923" s="8634" t="s">
        <v>2910</v>
      </c>
      <c r="F1923" s="8634" t="s">
        <v>2705</v>
      </c>
      <c r="G1923" s="8634" t="s">
        <v>24</v>
      </c>
      <c r="H1923" s="8634" t="s">
        <v>24</v>
      </c>
      <c r="I1923" s="8634" t="s">
        <v>768</v>
      </c>
    </row>
    <row customHeight="1" ht="11.25">
      <c r="A1924" s="8634" t="s">
        <v>2182</v>
      </c>
      <c r="B1924" s="8634" t="s">
        <v>14</v>
      </c>
      <c r="C1924" s="8634" t="s">
        <v>2911</v>
      </c>
      <c r="D1924" s="8634" t="s">
        <v>2912</v>
      </c>
      <c r="E1924" s="8634" t="s">
        <v>2913</v>
      </c>
      <c r="F1924" s="8634" t="s">
        <v>2626</v>
      </c>
      <c r="G1924" s="8634" t="s">
        <v>2914</v>
      </c>
      <c r="H1924" s="8634" t="s">
        <v>2915</v>
      </c>
      <c r="I1924" s="8634" t="s">
        <v>768</v>
      </c>
    </row>
    <row customHeight="1" ht="11.25">
      <c r="A1925" s="8634" t="s">
        <v>2182</v>
      </c>
      <c r="B1925" s="8634" t="s">
        <v>14</v>
      </c>
      <c r="C1925" s="8634" t="s">
        <v>2916</v>
      </c>
      <c r="D1925" s="8634" t="s">
        <v>2917</v>
      </c>
      <c r="E1925" s="8634" t="s">
        <v>2898</v>
      </c>
      <c r="F1925" s="8634" t="s">
        <v>2567</v>
      </c>
      <c r="G1925" s="8634" t="s">
        <v>2918</v>
      </c>
      <c r="H1925" s="8634" t="s">
        <v>24</v>
      </c>
      <c r="I1925" s="8634" t="s">
        <v>768</v>
      </c>
    </row>
    <row customHeight="1" ht="11.25">
      <c r="A1926" s="8634" t="s">
        <v>2182</v>
      </c>
      <c r="B1926" s="8634" t="s">
        <v>14</v>
      </c>
      <c r="C1926" s="8634" t="s">
        <v>6594</v>
      </c>
      <c r="D1926" s="8634" t="s">
        <v>6595</v>
      </c>
      <c r="E1926" s="8634" t="s">
        <v>6596</v>
      </c>
      <c r="F1926" s="8634" t="s">
        <v>2245</v>
      </c>
      <c r="G1926" s="8634" t="s">
        <v>24</v>
      </c>
      <c r="H1926" s="8634" t="s">
        <v>24</v>
      </c>
      <c r="I1926" s="8634" t="s">
        <v>768</v>
      </c>
    </row>
    <row customHeight="1" ht="11.25">
      <c r="A1927" s="8634" t="s">
        <v>2182</v>
      </c>
      <c r="B1927" s="8634" t="s">
        <v>14</v>
      </c>
      <c r="C1927" s="8634" t="s">
        <v>2919</v>
      </c>
      <c r="D1927" s="8634" t="s">
        <v>2920</v>
      </c>
      <c r="E1927" s="8634" t="s">
        <v>2921</v>
      </c>
      <c r="F1927" s="8634" t="s">
        <v>2626</v>
      </c>
      <c r="G1927" s="8634" t="s">
        <v>2922</v>
      </c>
      <c r="H1927" s="8634" t="s">
        <v>24</v>
      </c>
      <c r="I1927" s="8634" t="s">
        <v>768</v>
      </c>
    </row>
    <row customHeight="1" ht="11.25">
      <c r="A1928" s="8634" t="s">
        <v>2182</v>
      </c>
      <c r="B1928" s="8634" t="s">
        <v>14</v>
      </c>
      <c r="C1928" s="8634" t="s">
        <v>2923</v>
      </c>
      <c r="D1928" s="8634" t="s">
        <v>2924</v>
      </c>
      <c r="E1928" s="8634" t="s">
        <v>2925</v>
      </c>
      <c r="F1928" s="8634" t="s">
        <v>2344</v>
      </c>
      <c r="G1928" s="8634" t="s">
        <v>2926</v>
      </c>
      <c r="H1928" s="8634" t="s">
        <v>24</v>
      </c>
      <c r="I1928" s="8634" t="s">
        <v>768</v>
      </c>
    </row>
    <row customHeight="1" ht="11.25">
      <c r="A1929" s="8634" t="s">
        <v>2182</v>
      </c>
      <c r="B1929" s="8634" t="s">
        <v>14</v>
      </c>
      <c r="C1929" s="8634" t="s">
        <v>2927</v>
      </c>
      <c r="D1929" s="8634" t="s">
        <v>2928</v>
      </c>
      <c r="E1929" s="8634" t="s">
        <v>2929</v>
      </c>
      <c r="F1929" s="8634" t="s">
        <v>2394</v>
      </c>
      <c r="G1929" s="8634" t="s">
        <v>24</v>
      </c>
      <c r="H1929" s="8634" t="s">
        <v>24</v>
      </c>
      <c r="I1929" s="8634" t="s">
        <v>768</v>
      </c>
    </row>
    <row customHeight="1" ht="11.25">
      <c r="A1930" s="8634" t="s">
        <v>2182</v>
      </c>
      <c r="B1930" s="8634" t="s">
        <v>14</v>
      </c>
      <c r="C1930" s="8634" t="s">
        <v>6274</v>
      </c>
      <c r="D1930" s="8634" t="s">
        <v>6275</v>
      </c>
      <c r="E1930" s="8634" t="s">
        <v>6276</v>
      </c>
      <c r="F1930" s="8634" t="s">
        <v>2213</v>
      </c>
      <c r="G1930" s="8634" t="s">
        <v>6277</v>
      </c>
      <c r="H1930" s="8634" t="s">
        <v>6278</v>
      </c>
      <c r="I1930" s="8634" t="s">
        <v>768</v>
      </c>
    </row>
    <row customHeight="1" ht="11.25">
      <c r="A1931" s="8634" t="s">
        <v>2182</v>
      </c>
      <c r="B1931" s="8634" t="s">
        <v>14</v>
      </c>
      <c r="C1931" s="8634" t="s">
        <v>2933</v>
      </c>
      <c r="D1931" s="8634" t="s">
        <v>2934</v>
      </c>
      <c r="E1931" s="8634" t="s">
        <v>2935</v>
      </c>
      <c r="F1931" s="8634" t="s">
        <v>2354</v>
      </c>
      <c r="G1931" s="8634" t="s">
        <v>2936</v>
      </c>
      <c r="H1931" s="8634" t="s">
        <v>2937</v>
      </c>
      <c r="I1931" s="8634" t="s">
        <v>768</v>
      </c>
    </row>
    <row customHeight="1" ht="11.25">
      <c r="A1932" s="8634" t="s">
        <v>2182</v>
      </c>
      <c r="B1932" s="8634" t="s">
        <v>14</v>
      </c>
      <c r="C1932" s="8634" t="s">
        <v>2938</v>
      </c>
      <c r="D1932" s="8634" t="s">
        <v>2939</v>
      </c>
      <c r="E1932" s="8634" t="s">
        <v>2940</v>
      </c>
      <c r="F1932" s="8634" t="s">
        <v>2218</v>
      </c>
      <c r="G1932" s="8634" t="s">
        <v>24</v>
      </c>
      <c r="H1932" s="8634" t="s">
        <v>24</v>
      </c>
      <c r="I1932" s="8634" t="s">
        <v>768</v>
      </c>
    </row>
    <row customHeight="1" ht="11.25">
      <c r="A1933" s="8634" t="s">
        <v>2182</v>
      </c>
      <c r="B1933" s="8634" t="s">
        <v>14</v>
      </c>
      <c r="C1933" s="8634" t="s">
        <v>6597</v>
      </c>
      <c r="D1933" s="8634" t="s">
        <v>6598</v>
      </c>
      <c r="E1933" s="8634" t="s">
        <v>6599</v>
      </c>
      <c r="F1933" s="8634" t="s">
        <v>4570</v>
      </c>
      <c r="G1933" s="8634" t="s">
        <v>24</v>
      </c>
      <c r="H1933" s="8634" t="s">
        <v>24</v>
      </c>
      <c r="I1933" s="8634" t="s">
        <v>768</v>
      </c>
    </row>
    <row customHeight="1" ht="11.25">
      <c r="A1934" s="8634" t="s">
        <v>2182</v>
      </c>
      <c r="B1934" s="8634" t="s">
        <v>14</v>
      </c>
      <c r="C1934" s="8634" t="s">
        <v>2941</v>
      </c>
      <c r="D1934" s="8634" t="s">
        <v>2942</v>
      </c>
      <c r="E1934" s="8634" t="s">
        <v>2943</v>
      </c>
      <c r="F1934" s="8634" t="s">
        <v>2890</v>
      </c>
      <c r="G1934" s="8634" t="s">
        <v>2944</v>
      </c>
      <c r="H1934" s="8634" t="s">
        <v>24</v>
      </c>
      <c r="I1934" s="8634" t="s">
        <v>768</v>
      </c>
    </row>
    <row customHeight="1" ht="11.25">
      <c r="A1935" s="8634" t="s">
        <v>2182</v>
      </c>
      <c r="B1935" s="8634" t="s">
        <v>14</v>
      </c>
      <c r="C1935" s="8634" t="s">
        <v>6600</v>
      </c>
      <c r="D1935" s="8634" t="s">
        <v>6601</v>
      </c>
      <c r="E1935" s="8634" t="s">
        <v>6602</v>
      </c>
      <c r="F1935" s="8634" t="s">
        <v>2563</v>
      </c>
      <c r="G1935" s="8634" t="s">
        <v>6603</v>
      </c>
      <c r="H1935" s="8634" t="s">
        <v>24</v>
      </c>
      <c r="I1935" s="8634" t="s">
        <v>768</v>
      </c>
    </row>
    <row customHeight="1" ht="11.25">
      <c r="A1936" s="8634" t="s">
        <v>2182</v>
      </c>
      <c r="B1936" s="8634" t="s">
        <v>14</v>
      </c>
      <c r="C1936" s="8634" t="s">
        <v>2945</v>
      </c>
      <c r="D1936" s="8634" t="s">
        <v>2946</v>
      </c>
      <c r="E1936" s="8634" t="s">
        <v>2947</v>
      </c>
      <c r="F1936" s="8634" t="s">
        <v>2948</v>
      </c>
      <c r="G1936" s="8634" t="s">
        <v>2949</v>
      </c>
      <c r="H1936" s="8634" t="s">
        <v>2187</v>
      </c>
      <c r="I1936" s="8634" t="s">
        <v>768</v>
      </c>
    </row>
    <row customHeight="1" ht="11.25">
      <c r="A1937" s="8634" t="s">
        <v>2182</v>
      </c>
      <c r="B1937" s="8634" t="s">
        <v>14</v>
      </c>
      <c r="C1937" s="8634" t="s">
        <v>6604</v>
      </c>
      <c r="D1937" s="8634" t="s">
        <v>6605</v>
      </c>
      <c r="E1937" s="8634" t="s">
        <v>6606</v>
      </c>
      <c r="F1937" s="8634" t="s">
        <v>2322</v>
      </c>
      <c r="G1937" s="8634" t="s">
        <v>24</v>
      </c>
      <c r="H1937" s="8634" t="s">
        <v>24</v>
      </c>
      <c r="I1937" s="8634" t="s">
        <v>768</v>
      </c>
    </row>
    <row customHeight="1" ht="11.25">
      <c r="A1938" s="8634" t="s">
        <v>2182</v>
      </c>
      <c r="B1938" s="8634" t="s">
        <v>14</v>
      </c>
      <c r="C1938" s="8634" t="s">
        <v>6607</v>
      </c>
      <c r="D1938" s="8634" t="s">
        <v>6608</v>
      </c>
      <c r="E1938" s="8634" t="s">
        <v>6609</v>
      </c>
      <c r="F1938" s="8634" t="s">
        <v>2492</v>
      </c>
      <c r="G1938" s="8634" t="s">
        <v>6610</v>
      </c>
      <c r="H1938" s="8634" t="s">
        <v>2697</v>
      </c>
      <c r="I1938" s="8634" t="s">
        <v>768</v>
      </c>
    </row>
    <row customHeight="1" ht="11.25">
      <c r="A1939" s="8634" t="s">
        <v>2182</v>
      </c>
      <c r="B1939" s="8634" t="s">
        <v>14</v>
      </c>
      <c r="C1939" s="8634" t="s">
        <v>6611</v>
      </c>
      <c r="D1939" s="8634" t="s">
        <v>6612</v>
      </c>
      <c r="E1939" s="8634" t="s">
        <v>6613</v>
      </c>
      <c r="F1939" s="8634" t="s">
        <v>3332</v>
      </c>
      <c r="G1939" s="8634" t="s">
        <v>6614</v>
      </c>
      <c r="H1939" s="8634" t="s">
        <v>6615</v>
      </c>
      <c r="I1939" s="8634" t="s">
        <v>768</v>
      </c>
    </row>
    <row customHeight="1" ht="11.25">
      <c r="A1940" s="8634" t="s">
        <v>2182</v>
      </c>
      <c r="B1940" s="8634" t="s">
        <v>14</v>
      </c>
      <c r="C1940" s="8634" t="s">
        <v>6616</v>
      </c>
      <c r="D1940" s="8634" t="s">
        <v>6617</v>
      </c>
      <c r="E1940" s="8634" t="s">
        <v>6618</v>
      </c>
      <c r="F1940" s="8634" t="s">
        <v>2354</v>
      </c>
      <c r="G1940" s="8634" t="s">
        <v>6619</v>
      </c>
      <c r="H1940" s="8634" t="s">
        <v>24</v>
      </c>
      <c r="I1940" s="8634" t="s">
        <v>768</v>
      </c>
    </row>
    <row customHeight="1" ht="11.25">
      <c r="A1941" s="8634" t="s">
        <v>2182</v>
      </c>
      <c r="B1941" s="8634" t="s">
        <v>14</v>
      </c>
      <c r="C1941" s="8634" t="s">
        <v>2954</v>
      </c>
      <c r="D1941" s="8634" t="s">
        <v>2955</v>
      </c>
      <c r="E1941" s="8634" t="s">
        <v>2956</v>
      </c>
      <c r="F1941" s="8634" t="s">
        <v>2339</v>
      </c>
      <c r="G1941" s="8634" t="s">
        <v>2345</v>
      </c>
      <c r="H1941" s="8634" t="s">
        <v>24</v>
      </c>
      <c r="I1941" s="8634" t="s">
        <v>768</v>
      </c>
    </row>
    <row customHeight="1" ht="11.25">
      <c r="A1942" s="8634" t="s">
        <v>2182</v>
      </c>
      <c r="B1942" s="8634" t="s">
        <v>14</v>
      </c>
      <c r="C1942" s="8634" t="s">
        <v>2957</v>
      </c>
      <c r="D1942" s="8634" t="s">
        <v>2958</v>
      </c>
      <c r="E1942" s="8634" t="s">
        <v>2959</v>
      </c>
      <c r="F1942" s="8634" t="s">
        <v>2721</v>
      </c>
      <c r="G1942" s="8634" t="s">
        <v>2960</v>
      </c>
      <c r="H1942" s="8634" t="s">
        <v>2187</v>
      </c>
      <c r="I1942" s="8634" t="s">
        <v>768</v>
      </c>
    </row>
    <row customHeight="1" ht="11.25">
      <c r="A1943" s="8634" t="s">
        <v>2182</v>
      </c>
      <c r="B1943" s="8634" t="s">
        <v>14</v>
      </c>
      <c r="C1943" s="8634" t="s">
        <v>6620</v>
      </c>
      <c r="D1943" s="8634" t="s">
        <v>6621</v>
      </c>
      <c r="E1943" s="8634" t="s">
        <v>6622</v>
      </c>
      <c r="F1943" s="8634" t="s">
        <v>2349</v>
      </c>
      <c r="G1943" s="8634" t="s">
        <v>6623</v>
      </c>
      <c r="H1943" s="8634" t="s">
        <v>6590</v>
      </c>
      <c r="I1943" s="8634" t="s">
        <v>768</v>
      </c>
    </row>
    <row customHeight="1" ht="11.25">
      <c r="A1944" s="8634" t="s">
        <v>2182</v>
      </c>
      <c r="B1944" s="8634" t="s">
        <v>14</v>
      </c>
      <c r="C1944" s="8634" t="s">
        <v>2961</v>
      </c>
      <c r="D1944" s="8634" t="s">
        <v>2962</v>
      </c>
      <c r="E1944" s="8634" t="s">
        <v>2963</v>
      </c>
      <c r="F1944" s="8634" t="s">
        <v>2964</v>
      </c>
      <c r="G1944" s="8634" t="s">
        <v>2965</v>
      </c>
      <c r="H1944" s="8634" t="s">
        <v>24</v>
      </c>
      <c r="I1944" s="8634" t="s">
        <v>768</v>
      </c>
    </row>
    <row customHeight="1" ht="11.25">
      <c r="A1945" s="8634" t="s">
        <v>2182</v>
      </c>
      <c r="B1945" s="8634" t="s">
        <v>14</v>
      </c>
      <c r="C1945" s="8634" t="s">
        <v>2966</v>
      </c>
      <c r="D1945" s="8634" t="s">
        <v>2967</v>
      </c>
      <c r="E1945" s="8634" t="s">
        <v>2968</v>
      </c>
      <c r="F1945" s="8634" t="s">
        <v>2411</v>
      </c>
      <c r="G1945" s="8634" t="s">
        <v>24</v>
      </c>
      <c r="H1945" s="8634" t="s">
        <v>24</v>
      </c>
      <c r="I1945" s="8634" t="s">
        <v>768</v>
      </c>
    </row>
    <row customHeight="1" ht="11.25">
      <c r="A1946" s="8634" t="s">
        <v>2182</v>
      </c>
      <c r="B1946" s="8634" t="s">
        <v>14</v>
      </c>
      <c r="C1946" s="8634" t="s">
        <v>2973</v>
      </c>
      <c r="D1946" s="8634" t="s">
        <v>2974</v>
      </c>
      <c r="E1946" s="8634" t="s">
        <v>2975</v>
      </c>
      <c r="F1946" s="8634" t="s">
        <v>2976</v>
      </c>
      <c r="G1946" s="8634" t="s">
        <v>2977</v>
      </c>
      <c r="H1946" s="8634" t="s">
        <v>24</v>
      </c>
      <c r="I1946" s="8634" t="s">
        <v>768</v>
      </c>
    </row>
    <row customHeight="1" ht="11.25">
      <c r="A1947" s="8634" t="s">
        <v>2182</v>
      </c>
      <c r="B1947" s="8634" t="s">
        <v>14</v>
      </c>
      <c r="C1947" s="8634" t="s">
        <v>2978</v>
      </c>
      <c r="D1947" s="8634" t="s">
        <v>2979</v>
      </c>
      <c r="E1947" s="8634" t="s">
        <v>2980</v>
      </c>
      <c r="F1947" s="8634" t="s">
        <v>2354</v>
      </c>
      <c r="G1947" s="8634" t="s">
        <v>24</v>
      </c>
      <c r="H1947" s="8634" t="s">
        <v>2981</v>
      </c>
      <c r="I1947" s="8634" t="s">
        <v>768</v>
      </c>
    </row>
    <row customHeight="1" ht="11.25">
      <c r="A1948" s="8634" t="s">
        <v>2182</v>
      </c>
      <c r="B1948" s="8634" t="s">
        <v>14</v>
      </c>
      <c r="C1948" s="8634" t="s">
        <v>2990</v>
      </c>
      <c r="D1948" s="8634" t="s">
        <v>2991</v>
      </c>
      <c r="E1948" s="8634" t="s">
        <v>2992</v>
      </c>
      <c r="F1948" s="8634" t="s">
        <v>2322</v>
      </c>
      <c r="G1948" s="8634" t="s">
        <v>24</v>
      </c>
      <c r="H1948" s="8634" t="s">
        <v>2993</v>
      </c>
      <c r="I1948" s="8634" t="s">
        <v>768</v>
      </c>
    </row>
    <row customHeight="1" ht="11.25">
      <c r="A1949" s="8634" t="s">
        <v>2182</v>
      </c>
      <c r="B1949" s="8634" t="s">
        <v>14</v>
      </c>
      <c r="C1949" s="8634" t="s">
        <v>6624</v>
      </c>
      <c r="D1949" s="8634" t="s">
        <v>6625</v>
      </c>
      <c r="E1949" s="8634" t="s">
        <v>3006</v>
      </c>
      <c r="F1949" s="8634" t="s">
        <v>6626</v>
      </c>
      <c r="G1949" s="8634" t="s">
        <v>24</v>
      </c>
      <c r="H1949" s="8634" t="s">
        <v>2773</v>
      </c>
      <c r="I1949" s="8634" t="s">
        <v>768</v>
      </c>
    </row>
    <row customHeight="1" ht="11.25">
      <c r="A1950" s="8634" t="s">
        <v>2182</v>
      </c>
      <c r="B1950" s="8634" t="s">
        <v>14</v>
      </c>
      <c r="C1950" s="8634" t="s">
        <v>2997</v>
      </c>
      <c r="D1950" s="8634" t="s">
        <v>2998</v>
      </c>
      <c r="E1950" s="8634" t="s">
        <v>2999</v>
      </c>
      <c r="F1950" s="8634" t="s">
        <v>2322</v>
      </c>
      <c r="G1950" s="8634" t="s">
        <v>24</v>
      </c>
      <c r="H1950" s="8634" t="s">
        <v>3000</v>
      </c>
      <c r="I1950" s="8634" t="s">
        <v>768</v>
      </c>
    </row>
    <row customHeight="1" ht="11.25">
      <c r="A1951" s="8634" t="s">
        <v>2182</v>
      </c>
      <c r="B1951" s="8634" t="s">
        <v>14</v>
      </c>
      <c r="C1951" s="8634" t="s">
        <v>6627</v>
      </c>
      <c r="D1951" s="8634" t="s">
        <v>6628</v>
      </c>
      <c r="E1951" s="8634" t="s">
        <v>6629</v>
      </c>
      <c r="F1951" s="8634" t="s">
        <v>2213</v>
      </c>
      <c r="G1951" s="8634" t="s">
        <v>24</v>
      </c>
      <c r="H1951" s="8634" t="s">
        <v>2993</v>
      </c>
      <c r="I1951" s="8634" t="s">
        <v>768</v>
      </c>
    </row>
    <row customHeight="1" ht="11.25">
      <c r="A1952" s="8634" t="s">
        <v>2182</v>
      </c>
      <c r="B1952" s="8634" t="s">
        <v>14</v>
      </c>
      <c r="C1952" s="8634" t="s">
        <v>6630</v>
      </c>
      <c r="D1952" s="8634" t="s">
        <v>6631</v>
      </c>
      <c r="E1952" s="8634" t="s">
        <v>6250</v>
      </c>
      <c r="F1952" s="8634" t="s">
        <v>6039</v>
      </c>
      <c r="G1952" s="8634" t="s">
        <v>24</v>
      </c>
      <c r="H1952" s="8634" t="s">
        <v>24</v>
      </c>
      <c r="I1952" s="8634" t="s">
        <v>768</v>
      </c>
    </row>
    <row customHeight="1" ht="11.25">
      <c r="A1953" s="8634" t="s">
        <v>2182</v>
      </c>
      <c r="B1953" s="8634" t="s">
        <v>14</v>
      </c>
      <c r="C1953" s="8634" t="s">
        <v>6632</v>
      </c>
      <c r="D1953" s="8634" t="s">
        <v>6633</v>
      </c>
      <c r="E1953" s="8634" t="s">
        <v>6634</v>
      </c>
      <c r="F1953" s="8634" t="s">
        <v>6635</v>
      </c>
      <c r="G1953" s="8634" t="s">
        <v>24</v>
      </c>
      <c r="H1953" s="8634" t="s">
        <v>24</v>
      </c>
      <c r="I1953" s="8634" t="s">
        <v>768</v>
      </c>
    </row>
    <row customHeight="1" ht="11.25">
      <c r="A1954" s="8634" t="s">
        <v>2182</v>
      </c>
      <c r="B1954" s="8634" t="s">
        <v>14</v>
      </c>
      <c r="C1954" s="8634" t="s">
        <v>3008</v>
      </c>
      <c r="D1954" s="8634" t="s">
        <v>3009</v>
      </c>
      <c r="E1954" s="8634" t="s">
        <v>3010</v>
      </c>
      <c r="F1954" s="8634" t="s">
        <v>3011</v>
      </c>
      <c r="G1954" s="8634" t="s">
        <v>3012</v>
      </c>
      <c r="H1954" s="8634" t="s">
        <v>24</v>
      </c>
      <c r="I1954" s="8634" t="s">
        <v>768</v>
      </c>
    </row>
    <row customHeight="1" ht="11.25">
      <c r="A1955" s="8634" t="s">
        <v>2182</v>
      </c>
      <c r="B1955" s="8634" t="s">
        <v>14</v>
      </c>
      <c r="C1955" s="8634" t="s">
        <v>3018</v>
      </c>
      <c r="D1955" s="8634" t="s">
        <v>3019</v>
      </c>
      <c r="E1955" s="8634" t="s">
        <v>3020</v>
      </c>
      <c r="F1955" s="8634" t="s">
        <v>2389</v>
      </c>
      <c r="G1955" s="8634" t="s">
        <v>3021</v>
      </c>
      <c r="H1955" s="8634" t="s">
        <v>24</v>
      </c>
      <c r="I1955" s="8634" t="s">
        <v>768</v>
      </c>
    </row>
    <row customHeight="1" ht="11.25">
      <c r="A1956" s="8634" t="s">
        <v>2182</v>
      </c>
      <c r="B1956" s="8634" t="s">
        <v>14</v>
      </c>
      <c r="C1956" s="8634" t="s">
        <v>3022</v>
      </c>
      <c r="D1956" s="8634" t="s">
        <v>3023</v>
      </c>
      <c r="E1956" s="8634" t="s">
        <v>3024</v>
      </c>
      <c r="F1956" s="8634" t="s">
        <v>2854</v>
      </c>
      <c r="G1956" s="8634" t="s">
        <v>3025</v>
      </c>
      <c r="H1956" s="8634" t="s">
        <v>24</v>
      </c>
      <c r="I1956" s="8634" t="s">
        <v>768</v>
      </c>
    </row>
    <row customHeight="1" ht="11.25">
      <c r="A1957" s="8634" t="s">
        <v>2182</v>
      </c>
      <c r="B1957" s="8634" t="s">
        <v>14</v>
      </c>
      <c r="C1957" s="8634" t="s">
        <v>6636</v>
      </c>
      <c r="D1957" s="8634" t="s">
        <v>6637</v>
      </c>
      <c r="E1957" s="8634" t="s">
        <v>6638</v>
      </c>
      <c r="F1957" s="8634" t="s">
        <v>2477</v>
      </c>
      <c r="G1957" s="8634" t="s">
        <v>24</v>
      </c>
      <c r="H1957" s="8634" t="s">
        <v>24</v>
      </c>
      <c r="I1957" s="8634" t="s">
        <v>768</v>
      </c>
    </row>
    <row customHeight="1" ht="11.25">
      <c r="A1958" s="8634" t="s">
        <v>2182</v>
      </c>
      <c r="B1958" s="8634" t="s">
        <v>14</v>
      </c>
      <c r="C1958" s="8634" t="s">
        <v>3026</v>
      </c>
      <c r="D1958" s="8634" t="s">
        <v>3027</v>
      </c>
      <c r="E1958" s="8634" t="s">
        <v>2746</v>
      </c>
      <c r="F1958" s="8634" t="s">
        <v>3028</v>
      </c>
      <c r="G1958" s="8634" t="s">
        <v>24</v>
      </c>
      <c r="H1958" s="8634" t="s">
        <v>24</v>
      </c>
      <c r="I1958" s="8634" t="s">
        <v>768</v>
      </c>
    </row>
    <row customHeight="1" ht="11.25">
      <c r="A1959" s="8634" t="s">
        <v>2182</v>
      </c>
      <c r="B1959" s="8634" t="s">
        <v>14</v>
      </c>
      <c r="C1959" s="8634" t="s">
        <v>3029</v>
      </c>
      <c r="D1959" s="8634" t="s">
        <v>3030</v>
      </c>
      <c r="E1959" s="8634" t="s">
        <v>3031</v>
      </c>
      <c r="F1959" s="8634" t="s">
        <v>2344</v>
      </c>
      <c r="G1959" s="8634" t="s">
        <v>3032</v>
      </c>
      <c r="H1959" s="8634" t="s">
        <v>24</v>
      </c>
      <c r="I1959" s="8634" t="s">
        <v>768</v>
      </c>
    </row>
    <row customHeight="1" ht="11.25">
      <c r="A1960" s="8634" t="s">
        <v>2182</v>
      </c>
      <c r="B1960" s="8634" t="s">
        <v>14</v>
      </c>
      <c r="C1960" s="8634" t="s">
        <v>3033</v>
      </c>
      <c r="D1960" s="8634" t="s">
        <v>3034</v>
      </c>
      <c r="E1960" s="8634" t="s">
        <v>3035</v>
      </c>
      <c r="F1960" s="8634" t="s">
        <v>2398</v>
      </c>
      <c r="G1960" s="8634" t="s">
        <v>3036</v>
      </c>
      <c r="H1960" s="8634" t="s">
        <v>24</v>
      </c>
      <c r="I1960" s="8634" t="s">
        <v>768</v>
      </c>
    </row>
    <row customHeight="1" ht="11.25">
      <c r="A1961" s="8634" t="s">
        <v>2182</v>
      </c>
      <c r="B1961" s="8634" t="s">
        <v>14</v>
      </c>
      <c r="C1961" s="8634" t="s">
        <v>6639</v>
      </c>
      <c r="D1961" s="8634" t="s">
        <v>6640</v>
      </c>
      <c r="E1961" s="8634" t="s">
        <v>6641</v>
      </c>
      <c r="F1961" s="8634" t="s">
        <v>2218</v>
      </c>
      <c r="G1961" s="8634" t="s">
        <v>6642</v>
      </c>
      <c r="H1961" s="8634" t="s">
        <v>6643</v>
      </c>
      <c r="I1961" s="8634" t="s">
        <v>768</v>
      </c>
    </row>
    <row customHeight="1" ht="11.25">
      <c r="A1962" s="8634" t="s">
        <v>2182</v>
      </c>
      <c r="B1962" s="8634" t="s">
        <v>14</v>
      </c>
      <c r="C1962" s="8634" t="s">
        <v>6644</v>
      </c>
      <c r="D1962" s="8634" t="s">
        <v>6645</v>
      </c>
      <c r="E1962" s="8634" t="s">
        <v>6646</v>
      </c>
      <c r="F1962" s="8634" t="s">
        <v>2411</v>
      </c>
      <c r="G1962" s="8634" t="s">
        <v>24</v>
      </c>
      <c r="H1962" s="8634" t="s">
        <v>24</v>
      </c>
      <c r="I1962" s="8634" t="s">
        <v>768</v>
      </c>
    </row>
    <row customHeight="1" ht="11.25">
      <c r="A1963" s="8634" t="s">
        <v>2182</v>
      </c>
      <c r="B1963" s="8634" t="s">
        <v>14</v>
      </c>
      <c r="C1963" s="8634" t="s">
        <v>6279</v>
      </c>
      <c r="D1963" s="8634" t="s">
        <v>6280</v>
      </c>
      <c r="E1963" s="8634" t="s">
        <v>6281</v>
      </c>
      <c r="F1963" s="8634" t="s">
        <v>2334</v>
      </c>
      <c r="G1963" s="8634" t="s">
        <v>24</v>
      </c>
      <c r="H1963" s="8634" t="s">
        <v>2187</v>
      </c>
      <c r="I1963" s="8634" t="s">
        <v>768</v>
      </c>
    </row>
    <row customHeight="1" ht="11.25">
      <c r="A1964" s="8634" t="s">
        <v>2182</v>
      </c>
      <c r="B1964" s="8634" t="s">
        <v>14</v>
      </c>
      <c r="C1964" s="8634" t="s">
        <v>6647</v>
      </c>
      <c r="D1964" s="8634" t="s">
        <v>6648</v>
      </c>
      <c r="E1964" s="8634" t="s">
        <v>6649</v>
      </c>
      <c r="F1964" s="8634" t="s">
        <v>2228</v>
      </c>
      <c r="G1964" s="8634" t="s">
        <v>6650</v>
      </c>
      <c r="H1964" s="8634" t="s">
        <v>24</v>
      </c>
      <c r="I1964" s="8634" t="s">
        <v>768</v>
      </c>
    </row>
    <row customHeight="1" ht="11.25">
      <c r="A1965" s="8634" t="s">
        <v>2182</v>
      </c>
      <c r="B1965" s="8634" t="s">
        <v>14</v>
      </c>
      <c r="C1965" s="8634" t="s">
        <v>6282</v>
      </c>
      <c r="D1965" s="8634" t="s">
        <v>6283</v>
      </c>
      <c r="E1965" s="8634" t="s">
        <v>6284</v>
      </c>
      <c r="F1965" s="8634" t="s">
        <v>2334</v>
      </c>
      <c r="G1965" s="8634" t="s">
        <v>6285</v>
      </c>
      <c r="H1965" s="8634" t="s">
        <v>2187</v>
      </c>
      <c r="I1965" s="8634" t="s">
        <v>768</v>
      </c>
    </row>
    <row customHeight="1" ht="11.25">
      <c r="A1966" s="8634" t="s">
        <v>2182</v>
      </c>
      <c r="B1966" s="8634" t="s">
        <v>14</v>
      </c>
      <c r="C1966" s="8634" t="s">
        <v>6651</v>
      </c>
      <c r="D1966" s="8634" t="s">
        <v>6652</v>
      </c>
      <c r="E1966" s="8634" t="s">
        <v>2185</v>
      </c>
      <c r="F1966" s="8634" t="s">
        <v>5723</v>
      </c>
      <c r="G1966" s="8634" t="s">
        <v>24</v>
      </c>
      <c r="H1966" s="8634" t="s">
        <v>2773</v>
      </c>
      <c r="I1966" s="8634" t="s">
        <v>768</v>
      </c>
    </row>
    <row customHeight="1" ht="11.25">
      <c r="A1967" s="8634" t="s">
        <v>2182</v>
      </c>
      <c r="B1967" s="8634" t="s">
        <v>14</v>
      </c>
      <c r="C1967" s="8634" t="s">
        <v>3037</v>
      </c>
      <c r="D1967" s="8634" t="s">
        <v>3038</v>
      </c>
      <c r="E1967" s="8634" t="s">
        <v>3039</v>
      </c>
      <c r="F1967" s="8634" t="s">
        <v>3040</v>
      </c>
      <c r="G1967" s="8634" t="s">
        <v>3041</v>
      </c>
      <c r="H1967" s="8634" t="s">
        <v>24</v>
      </c>
      <c r="I1967" s="8634" t="s">
        <v>768</v>
      </c>
    </row>
    <row customHeight="1" ht="11.25">
      <c r="A1968" s="8634" t="s">
        <v>2182</v>
      </c>
      <c r="B1968" s="8634" t="s">
        <v>14</v>
      </c>
      <c r="C1968" s="8634" t="s">
        <v>6653</v>
      </c>
      <c r="D1968" s="8634" t="s">
        <v>6654</v>
      </c>
      <c r="E1968" s="8634" t="s">
        <v>6655</v>
      </c>
      <c r="F1968" s="8634" t="s">
        <v>2394</v>
      </c>
      <c r="G1968" s="8634" t="s">
        <v>24</v>
      </c>
      <c r="H1968" s="8634" t="s">
        <v>24</v>
      </c>
      <c r="I1968" s="8634" t="s">
        <v>768</v>
      </c>
    </row>
    <row customHeight="1" ht="11.25">
      <c r="A1969" s="8634" t="s">
        <v>2182</v>
      </c>
      <c r="B1969" s="8634" t="s">
        <v>14</v>
      </c>
      <c r="C1969" s="8634" t="s">
        <v>6286</v>
      </c>
      <c r="D1969" s="8634" t="s">
        <v>6287</v>
      </c>
      <c r="E1969" s="8634" t="s">
        <v>6288</v>
      </c>
      <c r="F1969" s="8634" t="s">
        <v>2349</v>
      </c>
      <c r="G1969" s="8634" t="s">
        <v>24</v>
      </c>
      <c r="H1969" s="8634" t="s">
        <v>2187</v>
      </c>
      <c r="I1969" s="8634" t="s">
        <v>768</v>
      </c>
    </row>
    <row customHeight="1" ht="11.25">
      <c r="A1970" s="8634" t="s">
        <v>2182</v>
      </c>
      <c r="B1970" s="8634" t="s">
        <v>14</v>
      </c>
      <c r="C1970" s="8634" t="s">
        <v>6656</v>
      </c>
      <c r="D1970" s="8634" t="s">
        <v>6657</v>
      </c>
      <c r="E1970" s="8634" t="s">
        <v>6658</v>
      </c>
      <c r="F1970" s="8634" t="s">
        <v>2492</v>
      </c>
      <c r="G1970" s="8634" t="s">
        <v>24</v>
      </c>
      <c r="H1970" s="8634" t="s">
        <v>24</v>
      </c>
      <c r="I1970" s="8634" t="s">
        <v>768</v>
      </c>
    </row>
    <row customHeight="1" ht="11.25">
      <c r="A1971" s="8634" t="s">
        <v>2182</v>
      </c>
      <c r="B1971" s="8634" t="s">
        <v>14</v>
      </c>
      <c r="C1971" s="8634" t="s">
        <v>3055</v>
      </c>
      <c r="D1971" s="8634" t="s">
        <v>3056</v>
      </c>
      <c r="E1971" s="8634" t="s">
        <v>3057</v>
      </c>
      <c r="F1971" s="8634" t="s">
        <v>2394</v>
      </c>
      <c r="G1971" s="8634" t="s">
        <v>24</v>
      </c>
      <c r="H1971" s="8634" t="s">
        <v>24</v>
      </c>
      <c r="I1971" s="8634" t="s">
        <v>768</v>
      </c>
    </row>
    <row customHeight="1" ht="11.25">
      <c r="A1972" s="8634" t="s">
        <v>2182</v>
      </c>
      <c r="B1972" s="8634" t="s">
        <v>14</v>
      </c>
      <c r="C1972" s="8634" t="s">
        <v>6659</v>
      </c>
      <c r="D1972" s="8634" t="s">
        <v>6660</v>
      </c>
      <c r="E1972" s="8634" t="s">
        <v>6661</v>
      </c>
      <c r="F1972" s="8634" t="s">
        <v>2284</v>
      </c>
      <c r="G1972" s="8634" t="s">
        <v>6662</v>
      </c>
      <c r="H1972" s="8634" t="s">
        <v>24</v>
      </c>
      <c r="I1972" s="8634" t="s">
        <v>768</v>
      </c>
    </row>
    <row customHeight="1" ht="11.25">
      <c r="A1973" s="8634" t="s">
        <v>2182</v>
      </c>
      <c r="B1973" s="8634" t="s">
        <v>14</v>
      </c>
      <c r="C1973" s="8634" t="s">
        <v>6663</v>
      </c>
      <c r="D1973" s="8634" t="s">
        <v>6664</v>
      </c>
      <c r="E1973" s="8634" t="s">
        <v>6665</v>
      </c>
      <c r="F1973" s="8634" t="s">
        <v>3437</v>
      </c>
      <c r="G1973" s="8634" t="s">
        <v>6666</v>
      </c>
      <c r="H1973" s="8634" t="s">
        <v>24</v>
      </c>
      <c r="I1973" s="8634" t="s">
        <v>768</v>
      </c>
    </row>
    <row customHeight="1" ht="11.25">
      <c r="A1974" s="8634" t="s">
        <v>2182</v>
      </c>
      <c r="B1974" s="8634" t="s">
        <v>14</v>
      </c>
      <c r="C1974" s="8634" t="s">
        <v>3071</v>
      </c>
      <c r="D1974" s="8634" t="s">
        <v>3072</v>
      </c>
      <c r="E1974" s="8634" t="s">
        <v>3073</v>
      </c>
      <c r="F1974" s="8634" t="s">
        <v>2250</v>
      </c>
      <c r="G1974" s="8634" t="s">
        <v>24</v>
      </c>
      <c r="H1974" s="8634" t="s">
        <v>24</v>
      </c>
      <c r="I1974" s="8634" t="s">
        <v>768</v>
      </c>
    </row>
    <row customHeight="1" ht="11.25">
      <c r="A1975" s="8634" t="s">
        <v>2182</v>
      </c>
      <c r="B1975" s="8634" t="s">
        <v>14</v>
      </c>
      <c r="C1975" s="8634" t="s">
        <v>3087</v>
      </c>
      <c r="D1975" s="8634" t="s">
        <v>3088</v>
      </c>
      <c r="E1975" s="8634" t="s">
        <v>3089</v>
      </c>
      <c r="F1975" s="8634" t="s">
        <v>2245</v>
      </c>
      <c r="G1975" s="8634" t="s">
        <v>24</v>
      </c>
      <c r="H1975" s="8634" t="s">
        <v>24</v>
      </c>
      <c r="I1975" s="8634" t="s">
        <v>768</v>
      </c>
    </row>
    <row customHeight="1" ht="11.25">
      <c r="A1976" s="8634" t="s">
        <v>2182</v>
      </c>
      <c r="B1976" s="8634" t="s">
        <v>14</v>
      </c>
      <c r="C1976" s="8634" t="s">
        <v>3094</v>
      </c>
      <c r="D1976" s="8634" t="s">
        <v>3095</v>
      </c>
      <c r="E1976" s="8634" t="s">
        <v>3096</v>
      </c>
      <c r="F1976" s="8634" t="s">
        <v>2213</v>
      </c>
      <c r="G1976" s="8634" t="s">
        <v>24</v>
      </c>
      <c r="H1976" s="8634" t="s">
        <v>2187</v>
      </c>
      <c r="I1976" s="8634" t="s">
        <v>768</v>
      </c>
    </row>
    <row customHeight="1" ht="11.25">
      <c r="A1977" s="8634" t="s">
        <v>2182</v>
      </c>
      <c r="B1977" s="8634" t="s">
        <v>14</v>
      </c>
      <c r="C1977" s="8634" t="s">
        <v>6667</v>
      </c>
      <c r="D1977" s="8634" t="s">
        <v>3098</v>
      </c>
      <c r="E1977" s="8634" t="s">
        <v>3099</v>
      </c>
      <c r="F1977" s="8634" t="s">
        <v>2322</v>
      </c>
      <c r="G1977" s="8634" t="s">
        <v>24</v>
      </c>
      <c r="H1977" s="8634" t="s">
        <v>6668</v>
      </c>
      <c r="I1977" s="8634" t="s">
        <v>768</v>
      </c>
    </row>
    <row customHeight="1" ht="11.25">
      <c r="A1978" s="8634" t="s">
        <v>2182</v>
      </c>
      <c r="B1978" s="8634" t="s">
        <v>14</v>
      </c>
      <c r="C1978" s="8634" t="s">
        <v>3101</v>
      </c>
      <c r="D1978" s="8634" t="s">
        <v>3102</v>
      </c>
      <c r="E1978" s="8634" t="s">
        <v>3103</v>
      </c>
      <c r="F1978" s="8634" t="s">
        <v>2600</v>
      </c>
      <c r="G1978" s="8634" t="s">
        <v>3104</v>
      </c>
      <c r="H1978" s="8634" t="s">
        <v>24</v>
      </c>
      <c r="I1978" s="8634" t="s">
        <v>768</v>
      </c>
    </row>
    <row customHeight="1" ht="11.25">
      <c r="A1979" s="8634" t="s">
        <v>2182</v>
      </c>
      <c r="B1979" s="8634" t="s">
        <v>14</v>
      </c>
      <c r="C1979" s="8634" t="s">
        <v>6669</v>
      </c>
      <c r="D1979" s="8634" t="s">
        <v>6670</v>
      </c>
      <c r="E1979" s="8634" t="s">
        <v>6671</v>
      </c>
      <c r="F1979" s="8634" t="s">
        <v>2477</v>
      </c>
      <c r="G1979" s="8634" t="s">
        <v>24</v>
      </c>
      <c r="H1979" s="8634" t="s">
        <v>3916</v>
      </c>
      <c r="I1979" s="8634" t="s">
        <v>768</v>
      </c>
    </row>
    <row customHeight="1" ht="11.25">
      <c r="A1980" s="8634" t="s">
        <v>2182</v>
      </c>
      <c r="B1980" s="8634" t="s">
        <v>14</v>
      </c>
      <c r="C1980" s="8634" t="s">
        <v>6672</v>
      </c>
      <c r="D1980" s="8634" t="s">
        <v>6673</v>
      </c>
      <c r="E1980" s="8634" t="s">
        <v>6674</v>
      </c>
      <c r="F1980" s="8634" t="s">
        <v>4352</v>
      </c>
      <c r="G1980" s="8634" t="s">
        <v>24</v>
      </c>
      <c r="H1980" s="8634" t="s">
        <v>24</v>
      </c>
      <c r="I1980" s="8634" t="s">
        <v>768</v>
      </c>
    </row>
    <row customHeight="1" ht="11.25">
      <c r="A1981" s="8634" t="s">
        <v>2182</v>
      </c>
      <c r="B1981" s="8634" t="s">
        <v>14</v>
      </c>
      <c r="C1981" s="8634" t="s">
        <v>6675</v>
      </c>
      <c r="D1981" s="8634" t="s">
        <v>6676</v>
      </c>
      <c r="E1981" s="8634" t="s">
        <v>6677</v>
      </c>
      <c r="F1981" s="8634" t="s">
        <v>2213</v>
      </c>
      <c r="G1981" s="8634" t="s">
        <v>24</v>
      </c>
      <c r="H1981" s="8634" t="s">
        <v>24</v>
      </c>
      <c r="I1981" s="8634" t="s">
        <v>768</v>
      </c>
    </row>
    <row customHeight="1" ht="11.25">
      <c r="A1982" s="8634" t="s">
        <v>2182</v>
      </c>
      <c r="B1982" s="8634" t="s">
        <v>14</v>
      </c>
      <c r="C1982" s="8634" t="s">
        <v>3116</v>
      </c>
      <c r="D1982" s="8634" t="s">
        <v>3117</v>
      </c>
      <c r="E1982" s="8634" t="s">
        <v>3118</v>
      </c>
      <c r="F1982" s="8634" t="s">
        <v>3119</v>
      </c>
      <c r="G1982" s="8634" t="s">
        <v>24</v>
      </c>
      <c r="H1982" s="8634" t="s">
        <v>24</v>
      </c>
      <c r="I1982" s="8634" t="s">
        <v>768</v>
      </c>
    </row>
    <row customHeight="1" ht="11.25">
      <c r="A1983" s="8634" t="s">
        <v>2182</v>
      </c>
      <c r="B1983" s="8634" t="s">
        <v>14</v>
      </c>
      <c r="C1983" s="8634" t="s">
        <v>6678</v>
      </c>
      <c r="D1983" s="8634" t="s">
        <v>6679</v>
      </c>
      <c r="E1983" s="8634" t="s">
        <v>6680</v>
      </c>
      <c r="F1983" s="8634" t="s">
        <v>2376</v>
      </c>
      <c r="G1983" s="8634" t="s">
        <v>24</v>
      </c>
      <c r="H1983" s="8634" t="s">
        <v>6681</v>
      </c>
      <c r="I1983" s="8634" t="s">
        <v>768</v>
      </c>
    </row>
    <row customHeight="1" ht="11.25">
      <c r="A1984" s="8634" t="s">
        <v>2182</v>
      </c>
      <c r="B1984" s="8634" t="s">
        <v>14</v>
      </c>
      <c r="C1984" s="8634" t="s">
        <v>6682</v>
      </c>
      <c r="D1984" s="8634" t="s">
        <v>6683</v>
      </c>
      <c r="E1984" s="8634" t="s">
        <v>6684</v>
      </c>
      <c r="F1984" s="8634" t="s">
        <v>2563</v>
      </c>
      <c r="G1984" s="8634" t="s">
        <v>24</v>
      </c>
      <c r="H1984" s="8634" t="s">
        <v>2773</v>
      </c>
      <c r="I1984" s="8634" t="s">
        <v>768</v>
      </c>
    </row>
    <row customHeight="1" ht="11.25">
      <c r="A1985" s="8634" t="s">
        <v>2182</v>
      </c>
      <c r="B1985" s="8634" t="s">
        <v>14</v>
      </c>
      <c r="C1985" s="8634" t="s">
        <v>6685</v>
      </c>
      <c r="D1985" s="8634" t="s">
        <v>6686</v>
      </c>
      <c r="E1985" s="8634" t="s">
        <v>6687</v>
      </c>
      <c r="F1985" s="8634" t="s">
        <v>2492</v>
      </c>
      <c r="G1985" s="8634" t="s">
        <v>24</v>
      </c>
      <c r="H1985" s="8634" t="s">
        <v>24</v>
      </c>
      <c r="I1985" s="8634" t="s">
        <v>768</v>
      </c>
    </row>
    <row customHeight="1" ht="11.25">
      <c r="A1986" s="8634" t="s">
        <v>2182</v>
      </c>
      <c r="B1986" s="8634" t="s">
        <v>14</v>
      </c>
      <c r="C1986" s="8634" t="s">
        <v>6688</v>
      </c>
      <c r="D1986" s="8634" t="s">
        <v>6689</v>
      </c>
      <c r="E1986" s="8634" t="s">
        <v>6690</v>
      </c>
      <c r="F1986" s="8634" t="s">
        <v>2626</v>
      </c>
      <c r="G1986" s="8634" t="s">
        <v>24</v>
      </c>
      <c r="H1986" s="8634" t="s">
        <v>24</v>
      </c>
      <c r="I1986" s="8634" t="s">
        <v>768</v>
      </c>
    </row>
    <row customHeight="1" ht="11.25">
      <c r="A1987" s="8634" t="s">
        <v>2182</v>
      </c>
      <c r="B1987" s="8634" t="s">
        <v>14</v>
      </c>
      <c r="C1987" s="8634" t="s">
        <v>3135</v>
      </c>
      <c r="D1987" s="8634" t="s">
        <v>3136</v>
      </c>
      <c r="E1987" s="8634" t="s">
        <v>3137</v>
      </c>
      <c r="F1987" s="8634" t="s">
        <v>2186</v>
      </c>
      <c r="G1987" s="8634" t="s">
        <v>3138</v>
      </c>
      <c r="H1987" s="8634" t="s">
        <v>2238</v>
      </c>
      <c r="I1987" s="8634" t="s">
        <v>768</v>
      </c>
    </row>
    <row customHeight="1" ht="11.25">
      <c r="A1988" s="8634" t="s">
        <v>2182</v>
      </c>
      <c r="B1988" s="8634" t="s">
        <v>14</v>
      </c>
      <c r="C1988" s="8634" t="s">
        <v>6691</v>
      </c>
      <c r="D1988" s="8634" t="s">
        <v>6692</v>
      </c>
      <c r="E1988" s="8634" t="s">
        <v>6693</v>
      </c>
      <c r="F1988" s="8634" t="s">
        <v>2213</v>
      </c>
      <c r="G1988" s="8634" t="s">
        <v>24</v>
      </c>
      <c r="H1988" s="8634" t="s">
        <v>24</v>
      </c>
      <c r="I1988" s="8634" t="s">
        <v>768</v>
      </c>
    </row>
    <row customHeight="1" ht="11.25">
      <c r="A1989" s="8634" t="s">
        <v>2182</v>
      </c>
      <c r="B1989" s="8634" t="s">
        <v>14</v>
      </c>
      <c r="C1989" s="8634" t="s">
        <v>3139</v>
      </c>
      <c r="D1989" s="8634" t="s">
        <v>3140</v>
      </c>
      <c r="E1989" s="8634" t="s">
        <v>3141</v>
      </c>
      <c r="F1989" s="8634" t="s">
        <v>2344</v>
      </c>
      <c r="G1989" s="8634" t="s">
        <v>24</v>
      </c>
      <c r="H1989" s="8634" t="s">
        <v>3142</v>
      </c>
      <c r="I1989" s="8634" t="s">
        <v>768</v>
      </c>
    </row>
    <row customHeight="1" ht="11.25">
      <c r="A1990" s="8634" t="s">
        <v>2182</v>
      </c>
      <c r="B1990" s="8634" t="s">
        <v>14</v>
      </c>
      <c r="C1990" s="8634" t="s">
        <v>6694</v>
      </c>
      <c r="D1990" s="8634" t="s">
        <v>6695</v>
      </c>
      <c r="E1990" s="8634" t="s">
        <v>3141</v>
      </c>
      <c r="F1990" s="8634" t="s">
        <v>6696</v>
      </c>
      <c r="G1990" s="8634" t="s">
        <v>24</v>
      </c>
      <c r="H1990" s="8634" t="s">
        <v>3142</v>
      </c>
      <c r="I1990" s="8634" t="s">
        <v>768</v>
      </c>
    </row>
    <row customHeight="1" ht="11.25">
      <c r="A1991" s="8634" t="s">
        <v>2182</v>
      </c>
      <c r="B1991" s="8634" t="s">
        <v>14</v>
      </c>
      <c r="C1991" s="8634" t="s">
        <v>6697</v>
      </c>
      <c r="D1991" s="8634" t="s">
        <v>6698</v>
      </c>
      <c r="E1991" s="8634" t="s">
        <v>6699</v>
      </c>
      <c r="F1991" s="8634" t="s">
        <v>2186</v>
      </c>
      <c r="G1991" s="8634" t="s">
        <v>24</v>
      </c>
      <c r="H1991" s="8634" t="s">
        <v>2773</v>
      </c>
      <c r="I1991" s="8634" t="s">
        <v>768</v>
      </c>
    </row>
    <row customHeight="1" ht="11.25">
      <c r="A1992" s="8634" t="s">
        <v>2182</v>
      </c>
      <c r="B1992" s="8634" t="s">
        <v>14</v>
      </c>
      <c r="C1992" s="8634" t="s">
        <v>6289</v>
      </c>
      <c r="D1992" s="8634" t="s">
        <v>6290</v>
      </c>
      <c r="E1992" s="8634" t="s">
        <v>6291</v>
      </c>
      <c r="F1992" s="8634" t="s">
        <v>2223</v>
      </c>
      <c r="G1992" s="8634" t="s">
        <v>24</v>
      </c>
      <c r="H1992" s="8634" t="s">
        <v>24</v>
      </c>
      <c r="I1992" s="8634" t="s">
        <v>768</v>
      </c>
    </row>
    <row customHeight="1" ht="11.25">
      <c r="A1993" s="8634" t="s">
        <v>2182</v>
      </c>
      <c r="B1993" s="8634" t="s">
        <v>14</v>
      </c>
      <c r="C1993" s="8634" t="s">
        <v>6700</v>
      </c>
      <c r="D1993" s="8634" t="s">
        <v>6701</v>
      </c>
      <c r="E1993" s="8634" t="s">
        <v>6702</v>
      </c>
      <c r="F1993" s="8634" t="s">
        <v>2213</v>
      </c>
      <c r="G1993" s="8634" t="s">
        <v>24</v>
      </c>
      <c r="H1993" s="8634" t="s">
        <v>24</v>
      </c>
      <c r="I1993" s="8634" t="s">
        <v>768</v>
      </c>
    </row>
    <row customHeight="1" ht="11.25">
      <c r="A1994" s="8634" t="s">
        <v>2182</v>
      </c>
      <c r="B1994" s="8634" t="s">
        <v>14</v>
      </c>
      <c r="C1994" s="8634" t="s">
        <v>6703</v>
      </c>
      <c r="D1994" s="8634" t="s">
        <v>3149</v>
      </c>
      <c r="E1994" s="8634" t="s">
        <v>6704</v>
      </c>
      <c r="F1994" s="8634" t="s">
        <v>6705</v>
      </c>
      <c r="G1994" s="8634" t="s">
        <v>24</v>
      </c>
      <c r="H1994" s="8634" t="s">
        <v>2187</v>
      </c>
      <c r="I1994" s="8634" t="s">
        <v>768</v>
      </c>
    </row>
    <row customHeight="1" ht="11.25">
      <c r="A1995" s="8634" t="s">
        <v>2182</v>
      </c>
      <c r="B1995" s="8634" t="s">
        <v>14</v>
      </c>
      <c r="C1995" s="8634" t="s">
        <v>3151</v>
      </c>
      <c r="D1995" s="8634" t="s">
        <v>3152</v>
      </c>
      <c r="E1995" s="8634" t="s">
        <v>3153</v>
      </c>
      <c r="F1995" s="8634" t="s">
        <v>2218</v>
      </c>
      <c r="G1995" s="8634" t="s">
        <v>24</v>
      </c>
      <c r="H1995" s="8634" t="s">
        <v>24</v>
      </c>
      <c r="I1995" s="8634" t="s">
        <v>768</v>
      </c>
    </row>
    <row customHeight="1" ht="11.25">
      <c r="A1996" s="8634" t="s">
        <v>2182</v>
      </c>
      <c r="B1996" s="8634" t="s">
        <v>14</v>
      </c>
      <c r="C1996" s="8634" t="s">
        <v>6706</v>
      </c>
      <c r="D1996" s="8634" t="s">
        <v>6707</v>
      </c>
      <c r="E1996" s="8634" t="s">
        <v>6708</v>
      </c>
      <c r="F1996" s="8634" t="s">
        <v>2890</v>
      </c>
      <c r="G1996" s="8634" t="s">
        <v>24</v>
      </c>
      <c r="H1996" s="8634" t="s">
        <v>24</v>
      </c>
      <c r="I1996" s="8634" t="s">
        <v>768</v>
      </c>
    </row>
    <row customHeight="1" ht="11.25">
      <c r="A1997" s="8634" t="s">
        <v>2182</v>
      </c>
      <c r="B1997" s="8634" t="s">
        <v>14</v>
      </c>
      <c r="C1997" s="8634" t="s">
        <v>6709</v>
      </c>
      <c r="D1997" s="8634" t="s">
        <v>6710</v>
      </c>
      <c r="E1997" s="8634" t="s">
        <v>6711</v>
      </c>
      <c r="F1997" s="8634" t="s">
        <v>2228</v>
      </c>
      <c r="G1997" s="8634" t="s">
        <v>24</v>
      </c>
      <c r="H1997" s="8634" t="s">
        <v>24</v>
      </c>
      <c r="I1997" s="8634" t="s">
        <v>768</v>
      </c>
    </row>
    <row customHeight="1" ht="11.25">
      <c r="A1998" s="8634" t="s">
        <v>2182</v>
      </c>
      <c r="B1998" s="8634" t="s">
        <v>14</v>
      </c>
      <c r="C1998" s="8634" t="s">
        <v>3154</v>
      </c>
      <c r="D1998" s="8634" t="s">
        <v>3155</v>
      </c>
      <c r="E1998" s="8634" t="s">
        <v>3156</v>
      </c>
      <c r="F1998" s="8634" t="s">
        <v>2854</v>
      </c>
      <c r="G1998" s="8634" t="s">
        <v>3157</v>
      </c>
      <c r="H1998" s="8634" t="s">
        <v>24</v>
      </c>
      <c r="I1998" s="8634" t="s">
        <v>768</v>
      </c>
    </row>
    <row customHeight="1" ht="11.25">
      <c r="A1999" s="8634" t="s">
        <v>2182</v>
      </c>
      <c r="B1999" s="8634" t="s">
        <v>14</v>
      </c>
      <c r="C1999" s="8634" t="s">
        <v>3158</v>
      </c>
      <c r="D1999" s="8634" t="s">
        <v>3159</v>
      </c>
      <c r="E1999" s="8634" t="s">
        <v>3160</v>
      </c>
      <c r="F1999" s="8634" t="s">
        <v>2213</v>
      </c>
      <c r="G1999" s="8634" t="s">
        <v>3161</v>
      </c>
      <c r="H1999" s="8634" t="s">
        <v>24</v>
      </c>
      <c r="I1999" s="8634" t="s">
        <v>768</v>
      </c>
    </row>
    <row customHeight="1" ht="11.25">
      <c r="A2000" s="8634" t="s">
        <v>2182</v>
      </c>
      <c r="B2000" s="8634" t="s">
        <v>14</v>
      </c>
      <c r="C2000" s="8634" t="s">
        <v>6712</v>
      </c>
      <c r="D2000" s="8634" t="s">
        <v>6713</v>
      </c>
      <c r="E2000" s="8634" t="s">
        <v>5685</v>
      </c>
      <c r="F2000" s="8634" t="s">
        <v>4103</v>
      </c>
      <c r="G2000" s="8634" t="s">
        <v>24</v>
      </c>
      <c r="H2000" s="8634" t="s">
        <v>2773</v>
      </c>
      <c r="I2000" s="8634" t="s">
        <v>768</v>
      </c>
    </row>
    <row customHeight="1" ht="11.25">
      <c r="A2001" s="8634" t="s">
        <v>2182</v>
      </c>
      <c r="B2001" s="8634" t="s">
        <v>14</v>
      </c>
      <c r="C2001" s="8634" t="s">
        <v>6714</v>
      </c>
      <c r="D2001" s="8634" t="s">
        <v>6715</v>
      </c>
      <c r="E2001" s="8634" t="s">
        <v>6716</v>
      </c>
      <c r="F2001" s="8634" t="s">
        <v>2563</v>
      </c>
      <c r="G2001" s="8634" t="s">
        <v>24</v>
      </c>
      <c r="H2001" s="8634" t="s">
        <v>24</v>
      </c>
      <c r="I2001" s="8634" t="s">
        <v>768</v>
      </c>
    </row>
    <row customHeight="1" ht="11.25">
      <c r="A2002" s="8634" t="s">
        <v>2182</v>
      </c>
      <c r="B2002" s="8634" t="s">
        <v>14</v>
      </c>
      <c r="C2002" s="8634" t="s">
        <v>6717</v>
      </c>
      <c r="D2002" s="8634" t="s">
        <v>6718</v>
      </c>
      <c r="E2002" s="8634" t="s">
        <v>6719</v>
      </c>
      <c r="F2002" s="8634" t="s">
        <v>6720</v>
      </c>
      <c r="G2002" s="8634" t="s">
        <v>24</v>
      </c>
      <c r="H2002" s="8634" t="s">
        <v>6721</v>
      </c>
      <c r="I2002" s="8634" t="s">
        <v>768</v>
      </c>
    </row>
    <row customHeight="1" ht="11.25">
      <c r="A2003" s="8634" t="s">
        <v>2182</v>
      </c>
      <c r="B2003" s="8634" t="s">
        <v>14</v>
      </c>
      <c r="C2003" s="8634" t="s">
        <v>3171</v>
      </c>
      <c r="D2003" s="8634" t="s">
        <v>3172</v>
      </c>
      <c r="E2003" s="8634" t="s">
        <v>3173</v>
      </c>
      <c r="F2003" s="8634" t="s">
        <v>2600</v>
      </c>
      <c r="G2003" s="8634" t="s">
        <v>3174</v>
      </c>
      <c r="H2003" s="8634" t="s">
        <v>24</v>
      </c>
      <c r="I2003" s="8634" t="s">
        <v>768</v>
      </c>
    </row>
    <row customHeight="1" ht="11.25">
      <c r="A2004" s="8634" t="s">
        <v>2182</v>
      </c>
      <c r="B2004" s="8634" t="s">
        <v>14</v>
      </c>
      <c r="C2004" s="8634" t="s">
        <v>6722</v>
      </c>
      <c r="D2004" s="8634" t="s">
        <v>6723</v>
      </c>
      <c r="E2004" s="8634" t="s">
        <v>6724</v>
      </c>
      <c r="F2004" s="8634" t="s">
        <v>2460</v>
      </c>
      <c r="G2004" s="8634" t="s">
        <v>24</v>
      </c>
      <c r="H2004" s="8634" t="s">
        <v>6536</v>
      </c>
      <c r="I2004" s="8634" t="s">
        <v>768</v>
      </c>
    </row>
    <row customHeight="1" ht="11.25">
      <c r="A2005" s="8634" t="s">
        <v>2182</v>
      </c>
      <c r="B2005" s="8634" t="s">
        <v>14</v>
      </c>
      <c r="C2005" s="8634" t="s">
        <v>3181</v>
      </c>
      <c r="D2005" s="8634" t="s">
        <v>3182</v>
      </c>
      <c r="E2005" s="8634" t="s">
        <v>3183</v>
      </c>
      <c r="F2005" s="8634" t="s">
        <v>2186</v>
      </c>
      <c r="G2005" s="8634" t="s">
        <v>24</v>
      </c>
      <c r="H2005" s="8634" t="s">
        <v>24</v>
      </c>
      <c r="I2005" s="8634" t="s">
        <v>768</v>
      </c>
    </row>
    <row customHeight="1" ht="11.25">
      <c r="A2006" s="8634" t="s">
        <v>2182</v>
      </c>
      <c r="B2006" s="8634" t="s">
        <v>14</v>
      </c>
      <c r="C2006" s="8634" t="s">
        <v>6725</v>
      </c>
      <c r="D2006" s="8634" t="s">
        <v>6726</v>
      </c>
      <c r="E2006" s="8634" t="s">
        <v>6727</v>
      </c>
      <c r="F2006" s="8634" t="s">
        <v>2284</v>
      </c>
      <c r="G2006" s="8634" t="s">
        <v>6728</v>
      </c>
      <c r="H2006" s="8634" t="s">
        <v>24</v>
      </c>
      <c r="I2006" s="8634" t="s">
        <v>768</v>
      </c>
    </row>
    <row customHeight="1" ht="11.25">
      <c r="A2007" s="8634" t="s">
        <v>2182</v>
      </c>
      <c r="B2007" s="8634" t="s">
        <v>14</v>
      </c>
      <c r="C2007" s="8634" t="s">
        <v>6729</v>
      </c>
      <c r="D2007" s="8634" t="s">
        <v>6730</v>
      </c>
      <c r="E2007" s="8634" t="s">
        <v>6731</v>
      </c>
      <c r="F2007" s="8634" t="s">
        <v>2492</v>
      </c>
      <c r="G2007" s="8634" t="s">
        <v>24</v>
      </c>
      <c r="H2007" s="8634" t="s">
        <v>24</v>
      </c>
      <c r="I2007" s="8634" t="s">
        <v>768</v>
      </c>
    </row>
    <row customHeight="1" ht="11.25">
      <c r="A2008" s="8634" t="s">
        <v>2182</v>
      </c>
      <c r="B2008" s="8634" t="s">
        <v>14</v>
      </c>
      <c r="C2008" s="8634" t="s">
        <v>6732</v>
      </c>
      <c r="D2008" s="8634" t="s">
        <v>6733</v>
      </c>
      <c r="E2008" s="8634" t="s">
        <v>6734</v>
      </c>
      <c r="F2008" s="8634" t="s">
        <v>3508</v>
      </c>
      <c r="G2008" s="8634" t="s">
        <v>24</v>
      </c>
      <c r="H2008" s="8634" t="s">
        <v>6735</v>
      </c>
      <c r="I2008" s="8634" t="s">
        <v>768</v>
      </c>
    </row>
    <row customHeight="1" ht="11.25">
      <c r="A2009" s="8634" t="s">
        <v>2182</v>
      </c>
      <c r="B2009" s="8634" t="s">
        <v>14</v>
      </c>
      <c r="C2009" s="8634" t="s">
        <v>6736</v>
      </c>
      <c r="D2009" s="8634" t="s">
        <v>6737</v>
      </c>
      <c r="E2009" s="8634" t="s">
        <v>6738</v>
      </c>
      <c r="F2009" s="8634" t="s">
        <v>2213</v>
      </c>
      <c r="G2009" s="8634" t="s">
        <v>24</v>
      </c>
      <c r="H2009" s="8634" t="s">
        <v>24</v>
      </c>
      <c r="I2009" s="8634" t="s">
        <v>768</v>
      </c>
    </row>
    <row customHeight="1" ht="11.25">
      <c r="A2010" s="8634" t="s">
        <v>2182</v>
      </c>
      <c r="B2010" s="8634" t="s">
        <v>14</v>
      </c>
      <c r="C2010" s="8634" t="s">
        <v>3205</v>
      </c>
      <c r="D2010" s="8634" t="s">
        <v>3206</v>
      </c>
      <c r="E2010" s="8634" t="s">
        <v>3207</v>
      </c>
      <c r="F2010" s="8634" t="s">
        <v>2334</v>
      </c>
      <c r="G2010" s="8634" t="s">
        <v>3208</v>
      </c>
      <c r="H2010" s="8634" t="s">
        <v>24</v>
      </c>
      <c r="I2010" s="8634" t="s">
        <v>768</v>
      </c>
    </row>
    <row customHeight="1" ht="11.25">
      <c r="A2011" s="8634" t="s">
        <v>2182</v>
      </c>
      <c r="B2011" s="8634" t="s">
        <v>14</v>
      </c>
      <c r="C2011" s="8634" t="s">
        <v>3213</v>
      </c>
      <c r="D2011" s="8634" t="s">
        <v>3214</v>
      </c>
      <c r="E2011" s="8634" t="s">
        <v>3215</v>
      </c>
      <c r="F2011" s="8634" t="s">
        <v>2600</v>
      </c>
      <c r="G2011" s="8634" t="s">
        <v>24</v>
      </c>
      <c r="H2011" s="8634" t="s">
        <v>24</v>
      </c>
      <c r="I2011" s="8634" t="s">
        <v>768</v>
      </c>
    </row>
    <row customHeight="1" ht="11.25">
      <c r="A2012" s="8634" t="s">
        <v>2182</v>
      </c>
      <c r="B2012" s="8634" t="s">
        <v>14</v>
      </c>
      <c r="C2012" s="8634" t="s">
        <v>6739</v>
      </c>
      <c r="D2012" s="8634" t="s">
        <v>6740</v>
      </c>
      <c r="E2012" s="8634" t="s">
        <v>6741</v>
      </c>
      <c r="F2012" s="8634" t="s">
        <v>2477</v>
      </c>
      <c r="G2012" s="8634" t="s">
        <v>6742</v>
      </c>
      <c r="H2012" s="8634" t="s">
        <v>6743</v>
      </c>
      <c r="I2012" s="8634" t="s">
        <v>768</v>
      </c>
    </row>
    <row customHeight="1" ht="11.25">
      <c r="A2013" s="8634" t="s">
        <v>2182</v>
      </c>
      <c r="B2013" s="8634" t="s">
        <v>14</v>
      </c>
      <c r="C2013" s="8634" t="s">
        <v>6744</v>
      </c>
      <c r="D2013" s="8634" t="s">
        <v>6745</v>
      </c>
      <c r="E2013" s="8634" t="s">
        <v>6746</v>
      </c>
      <c r="F2013" s="8634" t="s">
        <v>2284</v>
      </c>
      <c r="G2013" s="8634" t="s">
        <v>24</v>
      </c>
      <c r="H2013" s="8634" t="s">
        <v>24</v>
      </c>
      <c r="I2013" s="8634" t="s">
        <v>768</v>
      </c>
    </row>
    <row customHeight="1" ht="11.25">
      <c r="A2014" s="8634" t="s">
        <v>2182</v>
      </c>
      <c r="B2014" s="8634" t="s">
        <v>14</v>
      </c>
      <c r="C2014" s="8634" t="s">
        <v>6747</v>
      </c>
      <c r="D2014" s="8634" t="s">
        <v>6748</v>
      </c>
      <c r="E2014" s="8634" t="s">
        <v>3160</v>
      </c>
      <c r="F2014" s="8634" t="s">
        <v>6749</v>
      </c>
      <c r="G2014" s="8634" t="s">
        <v>24</v>
      </c>
      <c r="H2014" s="8634" t="s">
        <v>2187</v>
      </c>
      <c r="I2014" s="8634" t="s">
        <v>768</v>
      </c>
    </row>
    <row customHeight="1" ht="11.25">
      <c r="A2015" s="8634" t="s">
        <v>2182</v>
      </c>
      <c r="B2015" s="8634" t="s">
        <v>14</v>
      </c>
      <c r="C2015" s="8634" t="s">
        <v>6750</v>
      </c>
      <c r="D2015" s="8634" t="s">
        <v>6751</v>
      </c>
      <c r="E2015" s="8634" t="s">
        <v>6752</v>
      </c>
      <c r="F2015" s="8634" t="s">
        <v>2344</v>
      </c>
      <c r="G2015" s="8634" t="s">
        <v>6753</v>
      </c>
      <c r="H2015" s="8634" t="s">
        <v>24</v>
      </c>
      <c r="I2015" s="8634" t="s">
        <v>768</v>
      </c>
    </row>
    <row customHeight="1" ht="11.25">
      <c r="A2016" s="8634" t="s">
        <v>2182</v>
      </c>
      <c r="B2016" s="8634" t="s">
        <v>14</v>
      </c>
      <c r="C2016" s="8634" t="s">
        <v>6292</v>
      </c>
      <c r="D2016" s="8634" t="s">
        <v>6293</v>
      </c>
      <c r="E2016" s="8634" t="s">
        <v>6294</v>
      </c>
      <c r="F2016" s="8634" t="s">
        <v>2460</v>
      </c>
      <c r="G2016" s="8634" t="s">
        <v>24</v>
      </c>
      <c r="H2016" s="8634" t="s">
        <v>2187</v>
      </c>
      <c r="I2016" s="8634" t="s">
        <v>768</v>
      </c>
    </row>
    <row customHeight="1" ht="11.25">
      <c r="A2017" s="8634" t="s">
        <v>2182</v>
      </c>
      <c r="B2017" s="8634" t="s">
        <v>14</v>
      </c>
      <c r="C2017" s="8634" t="s">
        <v>6754</v>
      </c>
      <c r="D2017" s="8634" t="s">
        <v>6755</v>
      </c>
      <c r="E2017" s="8634" t="s">
        <v>6756</v>
      </c>
      <c r="F2017" s="8634" t="s">
        <v>2563</v>
      </c>
      <c r="G2017" s="8634" t="s">
        <v>24</v>
      </c>
      <c r="H2017" s="8634" t="s">
        <v>24</v>
      </c>
      <c r="I2017" s="8634" t="s">
        <v>768</v>
      </c>
    </row>
    <row customHeight="1" ht="11.25">
      <c r="A2018" s="8634" t="s">
        <v>2182</v>
      </c>
      <c r="B2018" s="8634" t="s">
        <v>14</v>
      </c>
      <c r="C2018" s="8634" t="s">
        <v>3226</v>
      </c>
      <c r="D2018" s="8634" t="s">
        <v>3227</v>
      </c>
      <c r="E2018" s="8634" t="s">
        <v>3228</v>
      </c>
      <c r="F2018" s="8634" t="s">
        <v>2626</v>
      </c>
      <c r="G2018" s="8634" t="s">
        <v>24</v>
      </c>
      <c r="H2018" s="8634" t="s">
        <v>2187</v>
      </c>
      <c r="I2018" s="8634" t="s">
        <v>768</v>
      </c>
    </row>
    <row customHeight="1" ht="11.25">
      <c r="A2019" s="8634" t="s">
        <v>2182</v>
      </c>
      <c r="B2019" s="8634" t="s">
        <v>14</v>
      </c>
      <c r="C2019" s="8634" t="s">
        <v>3232</v>
      </c>
      <c r="D2019" s="8634" t="s">
        <v>3233</v>
      </c>
      <c r="E2019" s="8634" t="s">
        <v>3234</v>
      </c>
      <c r="F2019" s="8634" t="s">
        <v>3235</v>
      </c>
      <c r="G2019" s="8634" t="s">
        <v>24</v>
      </c>
      <c r="H2019" s="8634" t="s">
        <v>2187</v>
      </c>
      <c r="I2019" s="8634" t="s">
        <v>768</v>
      </c>
    </row>
    <row customHeight="1" ht="11.25">
      <c r="A2020" s="8634" t="s">
        <v>2182</v>
      </c>
      <c r="B2020" s="8634" t="s">
        <v>14</v>
      </c>
      <c r="C2020" s="8634" t="s">
        <v>6757</v>
      </c>
      <c r="D2020" s="8634" t="s">
        <v>3239</v>
      </c>
      <c r="E2020" s="8634" t="s">
        <v>6758</v>
      </c>
      <c r="F2020" s="8634" t="s">
        <v>2318</v>
      </c>
      <c r="G2020" s="8634" t="s">
        <v>24</v>
      </c>
      <c r="H2020" s="8634" t="s">
        <v>2773</v>
      </c>
      <c r="I2020" s="8634" t="s">
        <v>768</v>
      </c>
    </row>
    <row customHeight="1" ht="11.25">
      <c r="A2021" s="8634" t="s">
        <v>2182</v>
      </c>
      <c r="B2021" s="8634" t="s">
        <v>14</v>
      </c>
      <c r="C2021" s="8634" t="s">
        <v>6759</v>
      </c>
      <c r="D2021" s="8634" t="s">
        <v>6760</v>
      </c>
      <c r="E2021" s="8634" t="s">
        <v>6761</v>
      </c>
      <c r="F2021" s="8634" t="s">
        <v>575</v>
      </c>
      <c r="G2021" s="8634" t="s">
        <v>6396</v>
      </c>
      <c r="H2021" s="8634" t="s">
        <v>24</v>
      </c>
      <c r="I2021" s="8634" t="s">
        <v>768</v>
      </c>
    </row>
    <row customHeight="1" ht="11.25">
      <c r="A2022" s="8634" t="s">
        <v>2182</v>
      </c>
      <c r="B2022" s="8634" t="s">
        <v>14</v>
      </c>
      <c r="C2022" s="8634" t="s">
        <v>6762</v>
      </c>
      <c r="D2022" s="8634" t="s">
        <v>6763</v>
      </c>
      <c r="E2022" s="8634" t="s">
        <v>6764</v>
      </c>
      <c r="F2022" s="8634" t="s">
        <v>575</v>
      </c>
      <c r="G2022" s="8634" t="s">
        <v>6765</v>
      </c>
      <c r="H2022" s="8634" t="s">
        <v>24</v>
      </c>
      <c r="I2022" s="8634" t="s">
        <v>768</v>
      </c>
    </row>
    <row customHeight="1" ht="11.25">
      <c r="A2023" s="8634" t="s">
        <v>2182</v>
      </c>
      <c r="B2023" s="8634" t="s">
        <v>14</v>
      </c>
      <c r="C2023" s="8634" t="s">
        <v>6766</v>
      </c>
      <c r="D2023" s="8634" t="s">
        <v>6767</v>
      </c>
      <c r="E2023" s="8634" t="s">
        <v>6768</v>
      </c>
      <c r="F2023" s="8634" t="s">
        <v>2721</v>
      </c>
      <c r="G2023" s="8634" t="s">
        <v>24</v>
      </c>
      <c r="H2023" s="8634" t="s">
        <v>2773</v>
      </c>
      <c r="I2023" s="8634" t="s">
        <v>768</v>
      </c>
    </row>
    <row customHeight="1" ht="11.25">
      <c r="A2024" s="8634" t="s">
        <v>2182</v>
      </c>
      <c r="B2024" s="8634" t="s">
        <v>14</v>
      </c>
      <c r="C2024" s="8634" t="s">
        <v>24</v>
      </c>
      <c r="D2024" s="8634" t="s">
        <v>3263</v>
      </c>
      <c r="E2024" s="8634" t="s">
        <v>3264</v>
      </c>
      <c r="F2024" s="8634" t="s">
        <v>2218</v>
      </c>
      <c r="G2024" s="8634" t="s">
        <v>24</v>
      </c>
      <c r="H2024" s="8634" t="s">
        <v>24</v>
      </c>
      <c r="I2024" s="8634" t="s">
        <v>768</v>
      </c>
    </row>
    <row customHeight="1" ht="11.25">
      <c r="A2025" s="8634" t="s">
        <v>2182</v>
      </c>
      <c r="B2025" s="8634" t="s">
        <v>14</v>
      </c>
      <c r="C2025" s="8634" t="s">
        <v>6769</v>
      </c>
      <c r="D2025" s="8634" t="s">
        <v>6770</v>
      </c>
      <c r="E2025" s="8634" t="s">
        <v>6771</v>
      </c>
      <c r="F2025" s="8634" t="s">
        <v>6772</v>
      </c>
      <c r="G2025" s="8634" t="s">
        <v>24</v>
      </c>
      <c r="H2025" s="8634" t="s">
        <v>24</v>
      </c>
      <c r="I2025" s="8634" t="s">
        <v>768</v>
      </c>
    </row>
    <row customHeight="1" ht="11.25">
      <c r="A2026" s="8634" t="s">
        <v>2182</v>
      </c>
      <c r="B2026" s="8634" t="s">
        <v>14</v>
      </c>
      <c r="C2026" s="8634" t="s">
        <v>3265</v>
      </c>
      <c r="D2026" s="8634" t="s">
        <v>3266</v>
      </c>
      <c r="E2026" s="8634" t="s">
        <v>3267</v>
      </c>
      <c r="F2026" s="8634" t="s">
        <v>2721</v>
      </c>
      <c r="G2026" s="8634" t="s">
        <v>24</v>
      </c>
      <c r="H2026" s="8634" t="s">
        <v>2993</v>
      </c>
      <c r="I2026" s="8634" t="s">
        <v>768</v>
      </c>
    </row>
    <row customHeight="1" ht="11.25">
      <c r="A2027" s="8634" t="s">
        <v>2182</v>
      </c>
      <c r="B2027" s="8634" t="s">
        <v>14</v>
      </c>
      <c r="C2027" s="8634" t="s">
        <v>3271</v>
      </c>
      <c r="D2027" s="8634" t="s">
        <v>3272</v>
      </c>
      <c r="E2027" s="8634" t="s">
        <v>3273</v>
      </c>
      <c r="F2027" s="8634" t="s">
        <v>2322</v>
      </c>
      <c r="G2027" s="8634" t="s">
        <v>24</v>
      </c>
      <c r="H2027" s="8634" t="s">
        <v>3274</v>
      </c>
      <c r="I2027" s="8634" t="s">
        <v>768</v>
      </c>
    </row>
    <row customHeight="1" ht="11.25">
      <c r="A2028" s="8634" t="s">
        <v>2182</v>
      </c>
      <c r="B2028" s="8634" t="s">
        <v>14</v>
      </c>
      <c r="C2028" s="8634" t="s">
        <v>3275</v>
      </c>
      <c r="D2028" s="8634" t="s">
        <v>3276</v>
      </c>
      <c r="E2028" s="8634" t="s">
        <v>3277</v>
      </c>
      <c r="F2028" s="8634" t="s">
        <v>3278</v>
      </c>
      <c r="G2028" s="8634" t="s">
        <v>3279</v>
      </c>
      <c r="H2028" s="8634" t="s">
        <v>24</v>
      </c>
      <c r="I2028" s="8634" t="s">
        <v>768</v>
      </c>
    </row>
    <row customHeight="1" ht="11.25">
      <c r="A2029" s="8634" t="s">
        <v>2182</v>
      </c>
      <c r="B2029" s="8634" t="s">
        <v>14</v>
      </c>
      <c r="C2029" s="8634" t="s">
        <v>3280</v>
      </c>
      <c r="D2029" s="8634" t="s">
        <v>3281</v>
      </c>
      <c r="E2029" s="8634" t="s">
        <v>3282</v>
      </c>
      <c r="F2029" s="8634" t="s">
        <v>2339</v>
      </c>
      <c r="G2029" s="8634" t="s">
        <v>24</v>
      </c>
      <c r="H2029" s="8634" t="s">
        <v>24</v>
      </c>
      <c r="I2029" s="8634" t="s">
        <v>768</v>
      </c>
    </row>
    <row customHeight="1" ht="11.25">
      <c r="A2030" s="8634" t="s">
        <v>2182</v>
      </c>
      <c r="B2030" s="8634" t="s">
        <v>14</v>
      </c>
      <c r="C2030" s="8634" t="s">
        <v>3300</v>
      </c>
      <c r="D2030" s="8634" t="s">
        <v>3301</v>
      </c>
      <c r="E2030" s="8634" t="s">
        <v>3302</v>
      </c>
      <c r="F2030" s="8634" t="s">
        <v>2411</v>
      </c>
      <c r="G2030" s="8634" t="s">
        <v>3303</v>
      </c>
      <c r="H2030" s="8634" t="s">
        <v>24</v>
      </c>
      <c r="I2030" s="8634" t="s">
        <v>768</v>
      </c>
    </row>
    <row customHeight="1" ht="11.25">
      <c r="A2031" s="8634" t="s">
        <v>2182</v>
      </c>
      <c r="B2031" s="8634" t="s">
        <v>14</v>
      </c>
      <c r="C2031" s="8634" t="s">
        <v>6773</v>
      </c>
      <c r="D2031" s="8634" t="s">
        <v>6774</v>
      </c>
      <c r="E2031" s="8634" t="s">
        <v>6775</v>
      </c>
      <c r="F2031" s="8634" t="s">
        <v>2411</v>
      </c>
      <c r="G2031" s="8634" t="s">
        <v>6776</v>
      </c>
      <c r="H2031" s="8634" t="s">
        <v>2238</v>
      </c>
      <c r="I2031" s="8634" t="s">
        <v>768</v>
      </c>
    </row>
    <row customHeight="1" ht="11.25">
      <c r="A2032" s="8634" t="s">
        <v>2182</v>
      </c>
      <c r="B2032" s="8634" t="s">
        <v>14</v>
      </c>
      <c r="C2032" s="8634" t="s">
        <v>6777</v>
      </c>
      <c r="D2032" s="8634" t="s">
        <v>6778</v>
      </c>
      <c r="E2032" s="8634" t="s">
        <v>6779</v>
      </c>
      <c r="F2032" s="8634" t="s">
        <v>3278</v>
      </c>
      <c r="G2032" s="8634" t="s">
        <v>24</v>
      </c>
      <c r="H2032" s="8634" t="s">
        <v>6780</v>
      </c>
      <c r="I2032" s="8634" t="s">
        <v>768</v>
      </c>
    </row>
    <row customHeight="1" ht="11.25">
      <c r="A2033" s="8634" t="s">
        <v>2182</v>
      </c>
      <c r="B2033" s="8634" t="s">
        <v>14</v>
      </c>
      <c r="C2033" s="8634" t="s">
        <v>6781</v>
      </c>
      <c r="D2033" s="8634" t="s">
        <v>6778</v>
      </c>
      <c r="E2033" s="8634" t="s">
        <v>6782</v>
      </c>
      <c r="F2033" s="8634" t="s">
        <v>3346</v>
      </c>
      <c r="G2033" s="8634" t="s">
        <v>3347</v>
      </c>
      <c r="H2033" s="8634" t="s">
        <v>24</v>
      </c>
      <c r="I2033" s="8634" t="s">
        <v>768</v>
      </c>
    </row>
    <row customHeight="1" ht="11.25">
      <c r="A2034" s="8634" t="s">
        <v>2182</v>
      </c>
      <c r="B2034" s="8634" t="s">
        <v>14</v>
      </c>
      <c r="C2034" s="8634" t="s">
        <v>3325</v>
      </c>
      <c r="D2034" s="8634" t="s">
        <v>3326</v>
      </c>
      <c r="E2034" s="8634" t="s">
        <v>3327</v>
      </c>
      <c r="F2034" s="8634" t="s">
        <v>2890</v>
      </c>
      <c r="G2034" s="8634" t="s">
        <v>3328</v>
      </c>
      <c r="H2034" s="8634" t="s">
        <v>24</v>
      </c>
      <c r="I2034" s="8634" t="s">
        <v>768</v>
      </c>
    </row>
    <row customHeight="1" ht="11.25">
      <c r="A2035" s="8634" t="s">
        <v>2182</v>
      </c>
      <c r="B2035" s="8634" t="s">
        <v>14</v>
      </c>
      <c r="C2035" s="8634" t="s">
        <v>6783</v>
      </c>
      <c r="D2035" s="8634" t="s">
        <v>6784</v>
      </c>
      <c r="E2035" s="8634" t="s">
        <v>6785</v>
      </c>
      <c r="F2035" s="8634" t="s">
        <v>2563</v>
      </c>
      <c r="G2035" s="8634" t="s">
        <v>6786</v>
      </c>
      <c r="H2035" s="8634" t="s">
        <v>24</v>
      </c>
      <c r="I2035" s="8634" t="s">
        <v>768</v>
      </c>
    </row>
    <row customHeight="1" ht="11.25">
      <c r="A2036" s="8634" t="s">
        <v>2182</v>
      </c>
      <c r="B2036" s="8634" t="s">
        <v>14</v>
      </c>
      <c r="C2036" s="8634" t="s">
        <v>3336</v>
      </c>
      <c r="D2036" s="8634" t="s">
        <v>3337</v>
      </c>
      <c r="E2036" s="8634" t="s">
        <v>3338</v>
      </c>
      <c r="F2036" s="8634" t="s">
        <v>2322</v>
      </c>
      <c r="G2036" s="8634" t="s">
        <v>3339</v>
      </c>
      <c r="H2036" s="8634" t="s">
        <v>24</v>
      </c>
      <c r="I2036" s="8634" t="s">
        <v>768</v>
      </c>
    </row>
    <row customHeight="1" ht="11.25">
      <c r="A2037" s="8634" t="s">
        <v>2182</v>
      </c>
      <c r="B2037" s="8634" t="s">
        <v>14</v>
      </c>
      <c r="C2037" s="8634" t="s">
        <v>3340</v>
      </c>
      <c r="D2037" s="8634" t="s">
        <v>3341</v>
      </c>
      <c r="E2037" s="8634" t="s">
        <v>3342</v>
      </c>
      <c r="F2037" s="8634" t="s">
        <v>3332</v>
      </c>
      <c r="G2037" s="8634" t="s">
        <v>24</v>
      </c>
      <c r="H2037" s="8634" t="s">
        <v>24</v>
      </c>
      <c r="I2037" s="8634" t="s">
        <v>768</v>
      </c>
    </row>
    <row customHeight="1" ht="11.25">
      <c r="A2038" s="8634" t="s">
        <v>2182</v>
      </c>
      <c r="B2038" s="8634" t="s">
        <v>14</v>
      </c>
      <c r="C2038" s="8634" t="s">
        <v>3348</v>
      </c>
      <c r="D2038" s="8634" t="s">
        <v>3349</v>
      </c>
      <c r="E2038" s="8634" t="s">
        <v>3350</v>
      </c>
      <c r="F2038" s="8634" t="s">
        <v>3278</v>
      </c>
      <c r="G2038" s="8634" t="s">
        <v>3351</v>
      </c>
      <c r="H2038" s="8634" t="s">
        <v>24</v>
      </c>
      <c r="I2038" s="8634" t="s">
        <v>768</v>
      </c>
    </row>
    <row customHeight="1" ht="11.25">
      <c r="A2039" s="8634" t="s">
        <v>2182</v>
      </c>
      <c r="B2039" s="8634" t="s">
        <v>14</v>
      </c>
      <c r="C2039" s="8634" t="s">
        <v>3370</v>
      </c>
      <c r="D2039" s="8634" t="s">
        <v>3371</v>
      </c>
      <c r="E2039" s="8634" t="s">
        <v>3372</v>
      </c>
      <c r="F2039" s="8634" t="s">
        <v>2322</v>
      </c>
      <c r="G2039" s="8634" t="s">
        <v>3373</v>
      </c>
      <c r="H2039" s="8634" t="s">
        <v>24</v>
      </c>
      <c r="I2039" s="8634" t="s">
        <v>768</v>
      </c>
    </row>
    <row customHeight="1" ht="11.25">
      <c r="A2040" s="8634" t="s">
        <v>2182</v>
      </c>
      <c r="B2040" s="8634" t="s">
        <v>14</v>
      </c>
      <c r="C2040" s="8634" t="s">
        <v>3380</v>
      </c>
      <c r="D2040" s="8634" t="s">
        <v>3381</v>
      </c>
      <c r="E2040" s="8634" t="s">
        <v>3382</v>
      </c>
      <c r="F2040" s="8634" t="s">
        <v>3383</v>
      </c>
      <c r="G2040" s="8634" t="s">
        <v>24</v>
      </c>
      <c r="H2040" s="8634" t="s">
        <v>24</v>
      </c>
      <c r="I2040" s="8634" t="s">
        <v>768</v>
      </c>
    </row>
    <row customHeight="1" ht="11.25">
      <c r="A2041" s="8634" t="s">
        <v>2182</v>
      </c>
      <c r="B2041" s="8634" t="s">
        <v>14</v>
      </c>
      <c r="C2041" s="8634" t="s">
        <v>3384</v>
      </c>
      <c r="D2041" s="8634" t="s">
        <v>3385</v>
      </c>
      <c r="E2041" s="8634" t="s">
        <v>3386</v>
      </c>
      <c r="F2041" s="8634" t="s">
        <v>2398</v>
      </c>
      <c r="G2041" s="8634" t="s">
        <v>2886</v>
      </c>
      <c r="H2041" s="8634" t="s">
        <v>24</v>
      </c>
      <c r="I2041" s="8634" t="s">
        <v>768</v>
      </c>
    </row>
    <row customHeight="1" ht="11.25">
      <c r="A2042" s="8634" t="s">
        <v>2182</v>
      </c>
      <c r="B2042" s="8634" t="s">
        <v>14</v>
      </c>
      <c r="C2042" s="8634" t="s">
        <v>6295</v>
      </c>
      <c r="D2042" s="8634" t="s">
        <v>6296</v>
      </c>
      <c r="E2042" s="8634" t="s">
        <v>6297</v>
      </c>
      <c r="F2042" s="8634" t="s">
        <v>2330</v>
      </c>
      <c r="G2042" s="8634" t="s">
        <v>24</v>
      </c>
      <c r="H2042" s="8634" t="s">
        <v>2187</v>
      </c>
      <c r="I2042" s="8634" t="s">
        <v>768</v>
      </c>
    </row>
    <row customHeight="1" ht="11.25">
      <c r="A2043" s="8634" t="s">
        <v>2182</v>
      </c>
      <c r="B2043" s="8634" t="s">
        <v>14</v>
      </c>
      <c r="C2043" s="8634" t="s">
        <v>3393</v>
      </c>
      <c r="D2043" s="8634" t="s">
        <v>3394</v>
      </c>
      <c r="E2043" s="8634" t="s">
        <v>3395</v>
      </c>
      <c r="F2043" s="8634" t="s">
        <v>2349</v>
      </c>
      <c r="G2043" s="8634" t="s">
        <v>3396</v>
      </c>
      <c r="H2043" s="8634" t="s">
        <v>24</v>
      </c>
      <c r="I2043" s="8634" t="s">
        <v>768</v>
      </c>
    </row>
    <row customHeight="1" ht="11.25">
      <c r="A2044" s="8634" t="s">
        <v>2182</v>
      </c>
      <c r="B2044" s="8634" t="s">
        <v>14</v>
      </c>
      <c r="C2044" s="8634" t="s">
        <v>3397</v>
      </c>
      <c r="D2044" s="8634" t="s">
        <v>3398</v>
      </c>
      <c r="E2044" s="8634" t="s">
        <v>3399</v>
      </c>
      <c r="F2044" s="8634" t="s">
        <v>2447</v>
      </c>
      <c r="G2044" s="8634" t="s">
        <v>3400</v>
      </c>
      <c r="H2044" s="8634" t="s">
        <v>24</v>
      </c>
      <c r="I2044" s="8634" t="s">
        <v>768</v>
      </c>
    </row>
    <row customHeight="1" ht="11.25">
      <c r="A2045" s="8634" t="s">
        <v>2182</v>
      </c>
      <c r="B2045" s="8634" t="s">
        <v>14</v>
      </c>
      <c r="C2045" s="8634" t="s">
        <v>3401</v>
      </c>
      <c r="D2045" s="8634" t="s">
        <v>3402</v>
      </c>
      <c r="E2045" s="8634" t="s">
        <v>3403</v>
      </c>
      <c r="F2045" s="8634" t="s">
        <v>2284</v>
      </c>
      <c r="G2045" s="8634" t="s">
        <v>3404</v>
      </c>
      <c r="H2045" s="8634" t="s">
        <v>24</v>
      </c>
      <c r="I2045" s="8634" t="s">
        <v>768</v>
      </c>
    </row>
    <row customHeight="1" ht="11.25">
      <c r="A2046" s="8634" t="s">
        <v>2182</v>
      </c>
      <c r="B2046" s="8634" t="s">
        <v>14</v>
      </c>
      <c r="C2046" s="8634" t="s">
        <v>3405</v>
      </c>
      <c r="D2046" s="8634" t="s">
        <v>3406</v>
      </c>
      <c r="E2046" s="8634" t="s">
        <v>3407</v>
      </c>
      <c r="F2046" s="8634" t="s">
        <v>2213</v>
      </c>
      <c r="G2046" s="8634" t="s">
        <v>3408</v>
      </c>
      <c r="H2046" s="8634" t="s">
        <v>24</v>
      </c>
      <c r="I2046" s="8634" t="s">
        <v>768</v>
      </c>
    </row>
    <row customHeight="1" ht="11.25">
      <c r="A2047" s="8634" t="s">
        <v>2182</v>
      </c>
      <c r="B2047" s="8634" t="s">
        <v>14</v>
      </c>
      <c r="C2047" s="8634" t="s">
        <v>3409</v>
      </c>
      <c r="D2047" s="8634" t="s">
        <v>3410</v>
      </c>
      <c r="E2047" s="8634" t="s">
        <v>3411</v>
      </c>
      <c r="F2047" s="8634" t="s">
        <v>2213</v>
      </c>
      <c r="G2047" s="8634" t="s">
        <v>24</v>
      </c>
      <c r="H2047" s="8634" t="s">
        <v>24</v>
      </c>
      <c r="I2047" s="8634" t="s">
        <v>768</v>
      </c>
    </row>
    <row customHeight="1" ht="11.25">
      <c r="A2048" s="8634" t="s">
        <v>2182</v>
      </c>
      <c r="B2048" s="8634" t="s">
        <v>14</v>
      </c>
      <c r="C2048" s="8634" t="s">
        <v>3412</v>
      </c>
      <c r="D2048" s="8634" t="s">
        <v>3413</v>
      </c>
      <c r="E2048" s="8634" t="s">
        <v>3414</v>
      </c>
      <c r="F2048" s="8634" t="s">
        <v>2334</v>
      </c>
      <c r="G2048" s="8634" t="s">
        <v>24</v>
      </c>
      <c r="H2048" s="8634" t="s">
        <v>2187</v>
      </c>
      <c r="I2048" s="8634" t="s">
        <v>768</v>
      </c>
    </row>
    <row customHeight="1" ht="11.25">
      <c r="A2049" s="8634" t="s">
        <v>2182</v>
      </c>
      <c r="B2049" s="8634" t="s">
        <v>14</v>
      </c>
      <c r="C2049" s="8634" t="s">
        <v>6787</v>
      </c>
      <c r="D2049" s="8634" t="s">
        <v>6788</v>
      </c>
      <c r="E2049" s="8634" t="s">
        <v>6789</v>
      </c>
      <c r="F2049" s="8634" t="s">
        <v>2334</v>
      </c>
      <c r="G2049" s="8634" t="s">
        <v>6790</v>
      </c>
      <c r="H2049" s="8634" t="s">
        <v>2187</v>
      </c>
      <c r="I2049" s="8634" t="s">
        <v>768</v>
      </c>
    </row>
    <row customHeight="1" ht="11.25">
      <c r="A2050" s="8634" t="s">
        <v>2182</v>
      </c>
      <c r="B2050" s="8634" t="s">
        <v>14</v>
      </c>
      <c r="C2050" s="8634" t="s">
        <v>3415</v>
      </c>
      <c r="D2050" s="8634" t="s">
        <v>3416</v>
      </c>
      <c r="E2050" s="8634" t="s">
        <v>3417</v>
      </c>
      <c r="F2050" s="8634" t="s">
        <v>2186</v>
      </c>
      <c r="G2050" s="8634" t="s">
        <v>3418</v>
      </c>
      <c r="H2050" s="8634" t="s">
        <v>24</v>
      </c>
      <c r="I2050" s="8634" t="s">
        <v>768</v>
      </c>
    </row>
    <row customHeight="1" ht="11.25">
      <c r="A2051" s="8634" t="s">
        <v>2182</v>
      </c>
      <c r="B2051" s="8634" t="s">
        <v>14</v>
      </c>
      <c r="C2051" s="8634" t="s">
        <v>6791</v>
      </c>
      <c r="D2051" s="8634" t="s">
        <v>6792</v>
      </c>
      <c r="E2051" s="8634" t="s">
        <v>6793</v>
      </c>
      <c r="F2051" s="8634" t="s">
        <v>2492</v>
      </c>
      <c r="G2051" s="8634" t="s">
        <v>24</v>
      </c>
      <c r="H2051" s="8634" t="s">
        <v>2773</v>
      </c>
      <c r="I2051" s="8634" t="s">
        <v>768</v>
      </c>
    </row>
    <row customHeight="1" ht="11.25">
      <c r="A2052" s="8634" t="s">
        <v>2182</v>
      </c>
      <c r="B2052" s="8634" t="s">
        <v>14</v>
      </c>
      <c r="C2052" s="8634" t="s">
        <v>6794</v>
      </c>
      <c r="D2052" s="8634" t="s">
        <v>6795</v>
      </c>
      <c r="E2052" s="8634" t="s">
        <v>6796</v>
      </c>
      <c r="F2052" s="8634" t="s">
        <v>2245</v>
      </c>
      <c r="G2052" s="8634" t="s">
        <v>6797</v>
      </c>
      <c r="H2052" s="8634" t="s">
        <v>2238</v>
      </c>
      <c r="I2052" s="8634" t="s">
        <v>768</v>
      </c>
    </row>
    <row customHeight="1" ht="11.25">
      <c r="A2053" s="8634" t="s">
        <v>2182</v>
      </c>
      <c r="B2053" s="8634" t="s">
        <v>14</v>
      </c>
      <c r="C2053" s="8634" t="s">
        <v>3419</v>
      </c>
      <c r="D2053" s="8634" t="s">
        <v>3420</v>
      </c>
      <c r="E2053" s="8634" t="s">
        <v>3421</v>
      </c>
      <c r="F2053" s="8634" t="s">
        <v>2389</v>
      </c>
      <c r="G2053" s="8634" t="s">
        <v>3422</v>
      </c>
      <c r="H2053" s="8634" t="s">
        <v>24</v>
      </c>
      <c r="I2053" s="8634" t="s">
        <v>768</v>
      </c>
    </row>
    <row customHeight="1" ht="11.25">
      <c r="A2054" s="8634" t="s">
        <v>2182</v>
      </c>
      <c r="B2054" s="8634" t="s">
        <v>14</v>
      </c>
      <c r="C2054" s="8634" t="s">
        <v>6798</v>
      </c>
      <c r="D2054" s="8634" t="s">
        <v>6799</v>
      </c>
      <c r="E2054" s="8634" t="s">
        <v>6800</v>
      </c>
      <c r="F2054" s="8634" t="s">
        <v>2477</v>
      </c>
      <c r="G2054" s="8634" t="s">
        <v>24</v>
      </c>
      <c r="H2054" s="8634" t="s">
        <v>24</v>
      </c>
      <c r="I2054" s="8634" t="s">
        <v>768</v>
      </c>
    </row>
    <row customHeight="1" ht="11.25">
      <c r="A2055" s="8634" t="s">
        <v>2182</v>
      </c>
      <c r="B2055" s="8634" t="s">
        <v>14</v>
      </c>
      <c r="C2055" s="8634" t="s">
        <v>6801</v>
      </c>
      <c r="D2055" s="8634" t="s">
        <v>3424</v>
      </c>
      <c r="E2055" s="8634" t="s">
        <v>6802</v>
      </c>
      <c r="F2055" s="8634" t="s">
        <v>2447</v>
      </c>
      <c r="G2055" s="8634" t="s">
        <v>6803</v>
      </c>
      <c r="H2055" s="8634" t="s">
        <v>6804</v>
      </c>
      <c r="I2055" s="8634" t="s">
        <v>768</v>
      </c>
    </row>
    <row customHeight="1" ht="11.25">
      <c r="A2056" s="8634" t="s">
        <v>2182</v>
      </c>
      <c r="B2056" s="8634" t="s">
        <v>14</v>
      </c>
      <c r="C2056" s="8634" t="s">
        <v>3423</v>
      </c>
      <c r="D2056" s="8634" t="s">
        <v>3424</v>
      </c>
      <c r="E2056" s="8634" t="s">
        <v>3425</v>
      </c>
      <c r="F2056" s="8634" t="s">
        <v>2376</v>
      </c>
      <c r="G2056" s="8634" t="s">
        <v>3426</v>
      </c>
      <c r="H2056" s="8634" t="s">
        <v>24</v>
      </c>
      <c r="I2056" s="8634" t="s">
        <v>768</v>
      </c>
    </row>
    <row customHeight="1" ht="11.25">
      <c r="A2057" s="8634" t="s">
        <v>2182</v>
      </c>
      <c r="B2057" s="8634" t="s">
        <v>14</v>
      </c>
      <c r="C2057" s="8634" t="s">
        <v>6805</v>
      </c>
      <c r="D2057" s="8634" t="s">
        <v>3424</v>
      </c>
      <c r="E2057" s="8634" t="s">
        <v>6806</v>
      </c>
      <c r="F2057" s="8634" t="s">
        <v>2823</v>
      </c>
      <c r="G2057" s="8634" t="s">
        <v>24</v>
      </c>
      <c r="H2057" s="8634" t="s">
        <v>24</v>
      </c>
      <c r="I2057" s="8634" t="s">
        <v>768</v>
      </c>
    </row>
    <row customHeight="1" ht="11.25">
      <c r="A2058" s="8634" t="s">
        <v>2182</v>
      </c>
      <c r="B2058" s="8634" t="s">
        <v>14</v>
      </c>
      <c r="C2058" s="8634" t="s">
        <v>6807</v>
      </c>
      <c r="D2058" s="8634" t="s">
        <v>3424</v>
      </c>
      <c r="E2058" s="8634" t="s">
        <v>6808</v>
      </c>
      <c r="F2058" s="8634" t="s">
        <v>2600</v>
      </c>
      <c r="G2058" s="8634" t="s">
        <v>6809</v>
      </c>
      <c r="H2058" s="8634" t="s">
        <v>24</v>
      </c>
      <c r="I2058" s="8634" t="s">
        <v>768</v>
      </c>
    </row>
    <row customHeight="1" ht="11.25">
      <c r="A2059" s="8634" t="s">
        <v>2182</v>
      </c>
      <c r="B2059" s="8634" t="s">
        <v>14</v>
      </c>
      <c r="C2059" s="8634" t="s">
        <v>6810</v>
      </c>
      <c r="D2059" s="8634" t="s">
        <v>3424</v>
      </c>
      <c r="E2059" s="8634" t="s">
        <v>6811</v>
      </c>
      <c r="F2059" s="8634" t="s">
        <v>3200</v>
      </c>
      <c r="G2059" s="8634" t="s">
        <v>24</v>
      </c>
      <c r="H2059" s="8634" t="s">
        <v>24</v>
      </c>
      <c r="I2059" s="8634" t="s">
        <v>768</v>
      </c>
    </row>
    <row customHeight="1" ht="11.25">
      <c r="A2060" s="8634" t="s">
        <v>2182</v>
      </c>
      <c r="B2060" s="8634" t="s">
        <v>14</v>
      </c>
      <c r="C2060" s="8634" t="s">
        <v>3427</v>
      </c>
      <c r="D2060" s="8634" t="s">
        <v>3428</v>
      </c>
      <c r="E2060" s="8634" t="s">
        <v>3429</v>
      </c>
      <c r="F2060" s="8634" t="s">
        <v>2363</v>
      </c>
      <c r="G2060" s="8634" t="s">
        <v>24</v>
      </c>
      <c r="H2060" s="8634" t="s">
        <v>24</v>
      </c>
      <c r="I2060" s="8634" t="s">
        <v>768</v>
      </c>
    </row>
    <row customHeight="1" ht="11.25">
      <c r="A2061" s="8634" t="s">
        <v>2182</v>
      </c>
      <c r="B2061" s="8634" t="s">
        <v>14</v>
      </c>
      <c r="C2061" s="8634" t="s">
        <v>6298</v>
      </c>
      <c r="D2061" s="8634" t="s">
        <v>6299</v>
      </c>
      <c r="E2061" s="8634" t="s">
        <v>6300</v>
      </c>
      <c r="F2061" s="8634" t="s">
        <v>2613</v>
      </c>
      <c r="G2061" s="8634" t="s">
        <v>6301</v>
      </c>
      <c r="H2061" s="8634" t="s">
        <v>24</v>
      </c>
      <c r="I2061" s="8634" t="s">
        <v>768</v>
      </c>
    </row>
    <row customHeight="1" ht="11.25">
      <c r="A2062" s="8634" t="s">
        <v>2182</v>
      </c>
      <c r="B2062" s="8634" t="s">
        <v>14</v>
      </c>
      <c r="C2062" s="8634" t="s">
        <v>6812</v>
      </c>
      <c r="D2062" s="8634" t="s">
        <v>6813</v>
      </c>
      <c r="E2062" s="8634" t="s">
        <v>6814</v>
      </c>
      <c r="F2062" s="8634" t="s">
        <v>2376</v>
      </c>
      <c r="G2062" s="8634" t="s">
        <v>24</v>
      </c>
      <c r="H2062" s="8634" t="s">
        <v>6815</v>
      </c>
      <c r="I2062" s="8634" t="s">
        <v>768</v>
      </c>
    </row>
    <row customHeight="1" ht="11.25">
      <c r="A2063" s="8634" t="s">
        <v>2182</v>
      </c>
      <c r="B2063" s="8634" t="s">
        <v>14</v>
      </c>
      <c r="C2063" s="8634" t="s">
        <v>3430</v>
      </c>
      <c r="D2063" s="8634" t="s">
        <v>3431</v>
      </c>
      <c r="E2063" s="8634" t="s">
        <v>3432</v>
      </c>
      <c r="F2063" s="8634" t="s">
        <v>2334</v>
      </c>
      <c r="G2063" s="8634" t="s">
        <v>3433</v>
      </c>
      <c r="H2063" s="8634" t="s">
        <v>24</v>
      </c>
      <c r="I2063" s="8634" t="s">
        <v>768</v>
      </c>
    </row>
    <row customHeight="1" ht="11.25">
      <c r="A2064" s="8634" t="s">
        <v>2182</v>
      </c>
      <c r="B2064" s="8634" t="s">
        <v>14</v>
      </c>
      <c r="C2064" s="8634" t="s">
        <v>3434</v>
      </c>
      <c r="D2064" s="8634" t="s">
        <v>3435</v>
      </c>
      <c r="E2064" s="8634" t="s">
        <v>3436</v>
      </c>
      <c r="F2064" s="8634" t="s">
        <v>3437</v>
      </c>
      <c r="G2064" s="8634" t="s">
        <v>24</v>
      </c>
      <c r="H2064" s="8634" t="s">
        <v>3438</v>
      </c>
      <c r="I2064" s="8634" t="s">
        <v>768</v>
      </c>
    </row>
    <row customHeight="1" ht="11.25">
      <c r="A2065" s="8634" t="s">
        <v>2182</v>
      </c>
      <c r="B2065" s="8634" t="s">
        <v>14</v>
      </c>
      <c r="C2065" s="8634" t="s">
        <v>3439</v>
      </c>
      <c r="D2065" s="8634" t="s">
        <v>3440</v>
      </c>
      <c r="E2065" s="8634" t="s">
        <v>3441</v>
      </c>
      <c r="F2065" s="8634" t="s">
        <v>2186</v>
      </c>
      <c r="G2065" s="8634" t="s">
        <v>24</v>
      </c>
      <c r="H2065" s="8634" t="s">
        <v>2238</v>
      </c>
      <c r="I2065" s="8634" t="s">
        <v>768</v>
      </c>
    </row>
    <row customHeight="1" ht="11.25">
      <c r="A2066" s="8634" t="s">
        <v>2182</v>
      </c>
      <c r="B2066" s="8634" t="s">
        <v>14</v>
      </c>
      <c r="C2066" s="8634" t="s">
        <v>6302</v>
      </c>
      <c r="D2066" s="8634" t="s">
        <v>6303</v>
      </c>
      <c r="E2066" s="8634" t="s">
        <v>6304</v>
      </c>
      <c r="F2066" s="8634" t="s">
        <v>2411</v>
      </c>
      <c r="G2066" s="8634" t="s">
        <v>24</v>
      </c>
      <c r="H2066" s="8634" t="s">
        <v>3222</v>
      </c>
      <c r="I2066" s="8634" t="s">
        <v>768</v>
      </c>
    </row>
    <row customHeight="1" ht="11.25">
      <c r="A2067" s="8634" t="s">
        <v>2182</v>
      </c>
      <c r="B2067" s="8634" t="s">
        <v>14</v>
      </c>
      <c r="C2067" s="8634" t="s">
        <v>3442</v>
      </c>
      <c r="D2067" s="8634" t="s">
        <v>3443</v>
      </c>
      <c r="E2067" s="8634" t="s">
        <v>3444</v>
      </c>
      <c r="F2067" s="8634" t="s">
        <v>2376</v>
      </c>
      <c r="G2067" s="8634" t="s">
        <v>3445</v>
      </c>
      <c r="H2067" s="8634" t="s">
        <v>3446</v>
      </c>
      <c r="I2067" s="8634" t="s">
        <v>768</v>
      </c>
    </row>
    <row customHeight="1" ht="11.25">
      <c r="A2068" s="8634" t="s">
        <v>2182</v>
      </c>
      <c r="B2068" s="8634" t="s">
        <v>14</v>
      </c>
      <c r="C2068" s="8634" t="s">
        <v>6816</v>
      </c>
      <c r="D2068" s="8634" t="s">
        <v>6817</v>
      </c>
      <c r="E2068" s="8634" t="s">
        <v>6818</v>
      </c>
      <c r="F2068" s="8634" t="s">
        <v>2245</v>
      </c>
      <c r="G2068" s="8634" t="s">
        <v>24</v>
      </c>
      <c r="H2068" s="8634" t="s">
        <v>6819</v>
      </c>
      <c r="I2068" s="8634" t="s">
        <v>768</v>
      </c>
    </row>
    <row customHeight="1" ht="11.25">
      <c r="A2069" s="8634" t="s">
        <v>2182</v>
      </c>
      <c r="B2069" s="8634" t="s">
        <v>14</v>
      </c>
      <c r="C2069" s="8634" t="s">
        <v>6820</v>
      </c>
      <c r="D2069" s="8634" t="s">
        <v>6821</v>
      </c>
      <c r="E2069" s="8634" t="s">
        <v>6822</v>
      </c>
      <c r="F2069" s="8634" t="s">
        <v>2344</v>
      </c>
      <c r="G2069" s="8634" t="s">
        <v>6823</v>
      </c>
      <c r="H2069" s="8634" t="s">
        <v>24</v>
      </c>
      <c r="I2069" s="8634" t="s">
        <v>768</v>
      </c>
    </row>
    <row customHeight="1" ht="11.25">
      <c r="A2070" s="8634" t="s">
        <v>2182</v>
      </c>
      <c r="B2070" s="8634" t="s">
        <v>14</v>
      </c>
      <c r="C2070" s="8634" t="s">
        <v>3454</v>
      </c>
      <c r="D2070" s="8634" t="s">
        <v>3455</v>
      </c>
      <c r="E2070" s="8634" t="s">
        <v>3456</v>
      </c>
      <c r="F2070" s="8634" t="s">
        <v>2626</v>
      </c>
      <c r="G2070" s="8634" t="s">
        <v>24</v>
      </c>
      <c r="H2070" s="8634" t="s">
        <v>2187</v>
      </c>
      <c r="I2070" s="8634" t="s">
        <v>768</v>
      </c>
    </row>
    <row customHeight="1" ht="11.25">
      <c r="A2071" s="8634" t="s">
        <v>2182</v>
      </c>
      <c r="B2071" s="8634" t="s">
        <v>14</v>
      </c>
      <c r="C2071" s="8634" t="s">
        <v>3457</v>
      </c>
      <c r="D2071" s="8634" t="s">
        <v>3458</v>
      </c>
      <c r="E2071" s="8634" t="s">
        <v>3459</v>
      </c>
      <c r="F2071" s="8634" t="s">
        <v>3460</v>
      </c>
      <c r="G2071" s="8634" t="s">
        <v>3461</v>
      </c>
      <c r="H2071" s="8634" t="s">
        <v>24</v>
      </c>
      <c r="I2071" s="8634" t="s">
        <v>768</v>
      </c>
    </row>
    <row customHeight="1" ht="11.25">
      <c r="A2072" s="8634" t="s">
        <v>2182</v>
      </c>
      <c r="B2072" s="8634" t="s">
        <v>14</v>
      </c>
      <c r="C2072" s="8634" t="s">
        <v>3462</v>
      </c>
      <c r="D2072" s="8634" t="s">
        <v>3463</v>
      </c>
      <c r="E2072" s="8634" t="s">
        <v>3464</v>
      </c>
      <c r="F2072" s="8634" t="s">
        <v>2349</v>
      </c>
      <c r="G2072" s="8634" t="s">
        <v>24</v>
      </c>
      <c r="H2072" s="8634" t="s">
        <v>2187</v>
      </c>
      <c r="I2072" s="8634" t="s">
        <v>768</v>
      </c>
    </row>
    <row customHeight="1" ht="11.25">
      <c r="A2073" s="8634" t="s">
        <v>2182</v>
      </c>
      <c r="B2073" s="8634" t="s">
        <v>14</v>
      </c>
      <c r="C2073" s="8634" t="s">
        <v>3465</v>
      </c>
      <c r="D2073" s="8634" t="s">
        <v>3466</v>
      </c>
      <c r="E2073" s="8634" t="s">
        <v>3467</v>
      </c>
      <c r="F2073" s="8634" t="s">
        <v>2349</v>
      </c>
      <c r="G2073" s="8634" t="s">
        <v>24</v>
      </c>
      <c r="H2073" s="8634" t="s">
        <v>3468</v>
      </c>
      <c r="I2073" s="8634" t="s">
        <v>768</v>
      </c>
    </row>
    <row customHeight="1" ht="11.25">
      <c r="A2074" s="8634" t="s">
        <v>2182</v>
      </c>
      <c r="B2074" s="8634" t="s">
        <v>14</v>
      </c>
      <c r="C2074" s="8634" t="s">
        <v>3469</v>
      </c>
      <c r="D2074" s="8634" t="s">
        <v>3470</v>
      </c>
      <c r="E2074" s="8634" t="s">
        <v>3471</v>
      </c>
      <c r="F2074" s="8634" t="s">
        <v>2213</v>
      </c>
      <c r="G2074" s="8634" t="s">
        <v>3472</v>
      </c>
      <c r="H2074" s="8634" t="s">
        <v>3473</v>
      </c>
      <c r="I2074" s="8634" t="s">
        <v>768</v>
      </c>
    </row>
    <row customHeight="1" ht="11.25">
      <c r="A2075" s="8634" t="s">
        <v>2182</v>
      </c>
      <c r="B2075" s="8634" t="s">
        <v>14</v>
      </c>
      <c r="C2075" s="8634" t="s">
        <v>3474</v>
      </c>
      <c r="D2075" s="8634" t="s">
        <v>3475</v>
      </c>
      <c r="E2075" s="8634" t="s">
        <v>3476</v>
      </c>
      <c r="F2075" s="8634" t="s">
        <v>2213</v>
      </c>
      <c r="G2075" s="8634" t="s">
        <v>3477</v>
      </c>
      <c r="H2075" s="8634" t="s">
        <v>24</v>
      </c>
      <c r="I2075" s="8634" t="s">
        <v>768</v>
      </c>
    </row>
    <row customHeight="1" ht="11.25">
      <c r="A2076" s="8634" t="s">
        <v>2182</v>
      </c>
      <c r="B2076" s="8634" t="s">
        <v>14</v>
      </c>
      <c r="C2076" s="8634" t="s">
        <v>3481</v>
      </c>
      <c r="D2076" s="8634" t="s">
        <v>3482</v>
      </c>
      <c r="E2076" s="8634" t="s">
        <v>3483</v>
      </c>
      <c r="F2076" s="8634" t="s">
        <v>2237</v>
      </c>
      <c r="G2076" s="8634" t="s">
        <v>24</v>
      </c>
      <c r="H2076" s="8634" t="s">
        <v>3484</v>
      </c>
      <c r="I2076" s="8634" t="s">
        <v>768</v>
      </c>
    </row>
    <row customHeight="1" ht="11.25">
      <c r="A2077" s="8634" t="s">
        <v>2182</v>
      </c>
      <c r="B2077" s="8634" t="s">
        <v>14</v>
      </c>
      <c r="C2077" s="8634" t="s">
        <v>3485</v>
      </c>
      <c r="D2077" s="8634" t="s">
        <v>3486</v>
      </c>
      <c r="E2077" s="8634" t="s">
        <v>3487</v>
      </c>
      <c r="F2077" s="8634" t="s">
        <v>2245</v>
      </c>
      <c r="G2077" s="8634" t="s">
        <v>24</v>
      </c>
      <c r="H2077" s="8634" t="s">
        <v>3488</v>
      </c>
      <c r="I2077" s="8634" t="s">
        <v>768</v>
      </c>
    </row>
    <row customHeight="1" ht="11.25">
      <c r="A2078" s="8634" t="s">
        <v>2182</v>
      </c>
      <c r="B2078" s="8634" t="s">
        <v>14</v>
      </c>
      <c r="C2078" s="8634" t="s">
        <v>3489</v>
      </c>
      <c r="D2078" s="8634" t="s">
        <v>3490</v>
      </c>
      <c r="E2078" s="8634" t="s">
        <v>3491</v>
      </c>
      <c r="F2078" s="8634" t="s">
        <v>2756</v>
      </c>
      <c r="G2078" s="8634" t="s">
        <v>24</v>
      </c>
      <c r="H2078" s="8634" t="s">
        <v>2400</v>
      </c>
      <c r="I2078" s="8634" t="s">
        <v>768</v>
      </c>
    </row>
    <row customHeight="1" ht="11.25">
      <c r="A2079" s="8634" t="s">
        <v>2182</v>
      </c>
      <c r="B2079" s="8634" t="s">
        <v>14</v>
      </c>
      <c r="C2079" s="8634" t="s">
        <v>3492</v>
      </c>
      <c r="D2079" s="8634" t="s">
        <v>3493</v>
      </c>
      <c r="E2079" s="8634" t="s">
        <v>3494</v>
      </c>
      <c r="F2079" s="8634" t="s">
        <v>2477</v>
      </c>
      <c r="G2079" s="8634" t="s">
        <v>3495</v>
      </c>
      <c r="H2079" s="8634" t="s">
        <v>3496</v>
      </c>
      <c r="I2079" s="8634" t="s">
        <v>768</v>
      </c>
    </row>
    <row customHeight="1" ht="11.25">
      <c r="A2080" s="8634" t="s">
        <v>2182</v>
      </c>
      <c r="B2080" s="8634" t="s">
        <v>14</v>
      </c>
      <c r="C2080" s="8634" t="s">
        <v>6824</v>
      </c>
      <c r="D2080" s="8634" t="s">
        <v>6825</v>
      </c>
      <c r="E2080" s="8634" t="s">
        <v>6826</v>
      </c>
      <c r="F2080" s="8634" t="s">
        <v>2696</v>
      </c>
      <c r="G2080" s="8634" t="s">
        <v>24</v>
      </c>
      <c r="H2080" s="8634" t="s">
        <v>6827</v>
      </c>
      <c r="I2080" s="8634" t="s">
        <v>768</v>
      </c>
    </row>
    <row customHeight="1" ht="11.25">
      <c r="A2081" s="8634" t="s">
        <v>2182</v>
      </c>
      <c r="B2081" s="8634" t="s">
        <v>14</v>
      </c>
      <c r="C2081" s="8634" t="s">
        <v>6828</v>
      </c>
      <c r="D2081" s="8634" t="s">
        <v>6829</v>
      </c>
      <c r="E2081" s="8634" t="s">
        <v>6830</v>
      </c>
      <c r="F2081" s="8634" t="s">
        <v>2671</v>
      </c>
      <c r="G2081" s="8634" t="s">
        <v>24</v>
      </c>
      <c r="H2081" s="8634" t="s">
        <v>6831</v>
      </c>
      <c r="I2081" s="8634" t="s">
        <v>768</v>
      </c>
    </row>
    <row customHeight="1" ht="11.25">
      <c r="A2082" s="8634" t="s">
        <v>2182</v>
      </c>
      <c r="B2082" s="8634" t="s">
        <v>14</v>
      </c>
      <c r="C2082" s="8634" t="s">
        <v>3505</v>
      </c>
      <c r="D2082" s="8634" t="s">
        <v>3506</v>
      </c>
      <c r="E2082" s="8634" t="s">
        <v>3507</v>
      </c>
      <c r="F2082" s="8634" t="s">
        <v>3508</v>
      </c>
      <c r="G2082" s="8634" t="s">
        <v>3509</v>
      </c>
      <c r="H2082" s="8634" t="s">
        <v>24</v>
      </c>
      <c r="I2082" s="8634" t="s">
        <v>768</v>
      </c>
    </row>
    <row customHeight="1" ht="11.25">
      <c r="A2083" s="8634" t="s">
        <v>2182</v>
      </c>
      <c r="B2083" s="8634" t="s">
        <v>14</v>
      </c>
      <c r="C2083" s="8634" t="s">
        <v>6832</v>
      </c>
      <c r="D2083" s="8634" t="s">
        <v>6833</v>
      </c>
      <c r="E2083" s="8634" t="s">
        <v>6834</v>
      </c>
      <c r="F2083" s="8634" t="s">
        <v>2334</v>
      </c>
      <c r="G2083" s="8634" t="s">
        <v>6835</v>
      </c>
      <c r="H2083" s="8634" t="s">
        <v>24</v>
      </c>
      <c r="I2083" s="8634" t="s">
        <v>768</v>
      </c>
    </row>
    <row customHeight="1" ht="11.25">
      <c r="A2084" s="8634" t="s">
        <v>2182</v>
      </c>
      <c r="B2084" s="8634" t="s">
        <v>14</v>
      </c>
      <c r="C2084" s="8634" t="s">
        <v>6836</v>
      </c>
      <c r="D2084" s="8634" t="s">
        <v>6837</v>
      </c>
      <c r="E2084" s="8634" t="s">
        <v>6838</v>
      </c>
      <c r="F2084" s="8634" t="s">
        <v>2334</v>
      </c>
      <c r="G2084" s="8634" t="s">
        <v>24</v>
      </c>
      <c r="H2084" s="8634" t="s">
        <v>24</v>
      </c>
      <c r="I2084" s="8634" t="s">
        <v>768</v>
      </c>
    </row>
    <row customHeight="1" ht="11.25">
      <c r="A2085" s="8634" t="s">
        <v>2182</v>
      </c>
      <c r="B2085" s="8634" t="s">
        <v>14</v>
      </c>
      <c r="C2085" s="8634" t="s">
        <v>3510</v>
      </c>
      <c r="D2085" s="8634" t="s">
        <v>3511</v>
      </c>
      <c r="E2085" s="8634" t="s">
        <v>3512</v>
      </c>
      <c r="F2085" s="8634" t="s">
        <v>2228</v>
      </c>
      <c r="G2085" s="8634" t="s">
        <v>3513</v>
      </c>
      <c r="H2085" s="8634" t="s">
        <v>2187</v>
      </c>
      <c r="I2085" s="8634" t="s">
        <v>768</v>
      </c>
    </row>
    <row customHeight="1" ht="11.25">
      <c r="A2086" s="8634" t="s">
        <v>2182</v>
      </c>
      <c r="B2086" s="8634" t="s">
        <v>14</v>
      </c>
      <c r="C2086" s="8634" t="s">
        <v>3514</v>
      </c>
      <c r="D2086" s="8634" t="s">
        <v>3515</v>
      </c>
      <c r="E2086" s="8634" t="s">
        <v>3516</v>
      </c>
      <c r="F2086" s="8634" t="s">
        <v>2600</v>
      </c>
      <c r="G2086" s="8634" t="s">
        <v>3517</v>
      </c>
      <c r="H2086" s="8634" t="s">
        <v>3518</v>
      </c>
      <c r="I2086" s="8634" t="s">
        <v>768</v>
      </c>
    </row>
    <row customHeight="1" ht="11.25">
      <c r="A2087" s="8634" t="s">
        <v>2182</v>
      </c>
      <c r="B2087" s="8634" t="s">
        <v>14</v>
      </c>
      <c r="C2087" s="8634" t="s">
        <v>6839</v>
      </c>
      <c r="D2087" s="8634" t="s">
        <v>6840</v>
      </c>
      <c r="E2087" s="8634" t="s">
        <v>6841</v>
      </c>
      <c r="F2087" s="8634" t="s">
        <v>2705</v>
      </c>
      <c r="G2087" s="8634" t="s">
        <v>6842</v>
      </c>
      <c r="H2087" s="8634" t="s">
        <v>24</v>
      </c>
      <c r="I2087" s="8634" t="s">
        <v>768</v>
      </c>
    </row>
    <row customHeight="1" ht="11.25">
      <c r="A2088" s="8634" t="s">
        <v>2182</v>
      </c>
      <c r="B2088" s="8634" t="s">
        <v>14</v>
      </c>
      <c r="C2088" s="8634" t="s">
        <v>6843</v>
      </c>
      <c r="D2088" s="8634" t="s">
        <v>6844</v>
      </c>
      <c r="E2088" s="8634" t="s">
        <v>6845</v>
      </c>
      <c r="F2088" s="8634" t="s">
        <v>2600</v>
      </c>
      <c r="G2088" s="8634" t="s">
        <v>6846</v>
      </c>
      <c r="H2088" s="8634" t="s">
        <v>24</v>
      </c>
      <c r="I2088" s="8634" t="s">
        <v>768</v>
      </c>
    </row>
    <row customHeight="1" ht="11.25">
      <c r="A2089" s="8634" t="s">
        <v>2182</v>
      </c>
      <c r="B2089" s="8634" t="s">
        <v>14</v>
      </c>
      <c r="C2089" s="8634" t="s">
        <v>6847</v>
      </c>
      <c r="D2089" s="8634" t="s">
        <v>6848</v>
      </c>
      <c r="E2089" s="8634" t="s">
        <v>6849</v>
      </c>
      <c r="F2089" s="8634" t="s">
        <v>2389</v>
      </c>
      <c r="G2089" s="8634" t="s">
        <v>24</v>
      </c>
      <c r="H2089" s="8634" t="s">
        <v>6850</v>
      </c>
      <c r="I2089" s="8634" t="s">
        <v>768</v>
      </c>
    </row>
    <row customHeight="1" ht="11.25">
      <c r="A2090" s="8634" t="s">
        <v>2182</v>
      </c>
      <c r="B2090" s="8634" t="s">
        <v>14</v>
      </c>
      <c r="C2090" s="8634" t="s">
        <v>6851</v>
      </c>
      <c r="D2090" s="8634" t="s">
        <v>6852</v>
      </c>
      <c r="E2090" s="8634" t="s">
        <v>6853</v>
      </c>
      <c r="F2090" s="8634" t="s">
        <v>2600</v>
      </c>
      <c r="G2090" s="8634" t="s">
        <v>24</v>
      </c>
      <c r="H2090" s="8634" t="s">
        <v>6854</v>
      </c>
      <c r="I2090" s="8634" t="s">
        <v>768</v>
      </c>
    </row>
    <row customHeight="1" ht="11.25">
      <c r="A2091" s="8634" t="s">
        <v>2182</v>
      </c>
      <c r="B2091" s="8634" t="s">
        <v>14</v>
      </c>
      <c r="C2091" s="8634" t="s">
        <v>3530</v>
      </c>
      <c r="D2091" s="8634" t="s">
        <v>3531</v>
      </c>
      <c r="E2091" s="8634" t="s">
        <v>3532</v>
      </c>
      <c r="F2091" s="8634" t="s">
        <v>2600</v>
      </c>
      <c r="G2091" s="8634" t="s">
        <v>24</v>
      </c>
      <c r="H2091" s="8634" t="s">
        <v>2993</v>
      </c>
      <c r="I2091" s="8634" t="s">
        <v>768</v>
      </c>
    </row>
    <row customHeight="1" ht="11.25">
      <c r="A2092" s="8634" t="s">
        <v>2182</v>
      </c>
      <c r="B2092" s="8634" t="s">
        <v>14</v>
      </c>
      <c r="C2092" s="8634" t="s">
        <v>3533</v>
      </c>
      <c r="D2092" s="8634" t="s">
        <v>3534</v>
      </c>
      <c r="E2092" s="8634" t="s">
        <v>3535</v>
      </c>
      <c r="F2092" s="8634" t="s">
        <v>2696</v>
      </c>
      <c r="G2092" s="8634" t="s">
        <v>24</v>
      </c>
      <c r="H2092" s="8634" t="s">
        <v>3536</v>
      </c>
      <c r="I2092" s="8634" t="s">
        <v>768</v>
      </c>
    </row>
    <row customHeight="1" ht="11.25">
      <c r="A2093" s="8634" t="s">
        <v>2182</v>
      </c>
      <c r="B2093" s="8634" t="s">
        <v>14</v>
      </c>
      <c r="C2093" s="8634" t="s">
        <v>3537</v>
      </c>
      <c r="D2093" s="8634" t="s">
        <v>3538</v>
      </c>
      <c r="E2093" s="8634" t="s">
        <v>3539</v>
      </c>
      <c r="F2093" s="8634" t="s">
        <v>3540</v>
      </c>
      <c r="G2093" s="8634" t="s">
        <v>24</v>
      </c>
      <c r="H2093" s="8634" t="s">
        <v>2187</v>
      </c>
      <c r="I2093" s="8634" t="s">
        <v>768</v>
      </c>
    </row>
    <row customHeight="1" ht="11.25">
      <c r="A2094" s="8634" t="s">
        <v>2182</v>
      </c>
      <c r="B2094" s="8634" t="s">
        <v>14</v>
      </c>
      <c r="C2094" s="8634" t="s">
        <v>3541</v>
      </c>
      <c r="D2094" s="8634" t="s">
        <v>3542</v>
      </c>
      <c r="E2094" s="8634" t="s">
        <v>3543</v>
      </c>
      <c r="F2094" s="8634" t="s">
        <v>2334</v>
      </c>
      <c r="G2094" s="8634" t="s">
        <v>24</v>
      </c>
      <c r="H2094" s="8634" t="s">
        <v>2187</v>
      </c>
      <c r="I2094" s="8634" t="s">
        <v>768</v>
      </c>
    </row>
    <row customHeight="1" ht="11.25">
      <c r="A2095" s="8634" t="s">
        <v>2182</v>
      </c>
      <c r="B2095" s="8634" t="s">
        <v>14</v>
      </c>
      <c r="C2095" s="8634" t="s">
        <v>3544</v>
      </c>
      <c r="D2095" s="8634" t="s">
        <v>3545</v>
      </c>
      <c r="E2095" s="8634" t="s">
        <v>3546</v>
      </c>
      <c r="F2095" s="8634" t="s">
        <v>2705</v>
      </c>
      <c r="G2095" s="8634" t="s">
        <v>3547</v>
      </c>
      <c r="H2095" s="8634" t="s">
        <v>2187</v>
      </c>
      <c r="I2095" s="8634" t="s">
        <v>768</v>
      </c>
    </row>
    <row customHeight="1" ht="11.25">
      <c r="A2096" s="8634" t="s">
        <v>2182</v>
      </c>
      <c r="B2096" s="8634" t="s">
        <v>14</v>
      </c>
      <c r="C2096" s="8634" t="s">
        <v>3548</v>
      </c>
      <c r="D2096" s="8634" t="s">
        <v>3549</v>
      </c>
      <c r="E2096" s="8634" t="s">
        <v>3550</v>
      </c>
      <c r="F2096" s="8634" t="s">
        <v>2626</v>
      </c>
      <c r="G2096" s="8634" t="s">
        <v>3551</v>
      </c>
      <c r="H2096" s="8634" t="s">
        <v>24</v>
      </c>
      <c r="I2096" s="8634" t="s">
        <v>768</v>
      </c>
    </row>
    <row customHeight="1" ht="11.25">
      <c r="A2097" s="8634" t="s">
        <v>2182</v>
      </c>
      <c r="B2097" s="8634" t="s">
        <v>14</v>
      </c>
      <c r="C2097" s="8634" t="s">
        <v>3552</v>
      </c>
      <c r="D2097" s="8634" t="s">
        <v>3553</v>
      </c>
      <c r="E2097" s="8634" t="s">
        <v>3554</v>
      </c>
      <c r="F2097" s="8634" t="s">
        <v>2339</v>
      </c>
      <c r="G2097" s="8634" t="s">
        <v>3555</v>
      </c>
      <c r="H2097" s="8634" t="s">
        <v>24</v>
      </c>
      <c r="I2097" s="8634" t="s">
        <v>768</v>
      </c>
    </row>
    <row customHeight="1" ht="11.25">
      <c r="A2098" s="8634" t="s">
        <v>2182</v>
      </c>
      <c r="B2098" s="8634" t="s">
        <v>14</v>
      </c>
      <c r="C2098" s="8634" t="s">
        <v>6855</v>
      </c>
      <c r="D2098" s="8634" t="s">
        <v>6856</v>
      </c>
      <c r="E2098" s="8634" t="s">
        <v>5810</v>
      </c>
      <c r="F2098" s="8634" t="s">
        <v>2284</v>
      </c>
      <c r="G2098" s="8634" t="s">
        <v>24</v>
      </c>
      <c r="H2098" s="8634" t="s">
        <v>2773</v>
      </c>
      <c r="I2098" s="8634" t="s">
        <v>768</v>
      </c>
    </row>
    <row customHeight="1" ht="11.25">
      <c r="A2099" s="8634" t="s">
        <v>2182</v>
      </c>
      <c r="B2099" s="8634" t="s">
        <v>14</v>
      </c>
      <c r="C2099" s="8634" t="s">
        <v>3556</v>
      </c>
      <c r="D2099" s="8634" t="s">
        <v>3557</v>
      </c>
      <c r="E2099" s="8634" t="s">
        <v>3558</v>
      </c>
      <c r="F2099" s="8634" t="s">
        <v>2411</v>
      </c>
      <c r="G2099" s="8634" t="s">
        <v>24</v>
      </c>
      <c r="H2099" s="8634" t="s">
        <v>3559</v>
      </c>
      <c r="I2099" s="8634" t="s">
        <v>768</v>
      </c>
    </row>
    <row customHeight="1" ht="11.25">
      <c r="A2100" s="8634" t="s">
        <v>2182</v>
      </c>
      <c r="B2100" s="8634" t="s">
        <v>14</v>
      </c>
      <c r="C2100" s="8634" t="s">
        <v>3560</v>
      </c>
      <c r="D2100" s="8634" t="s">
        <v>3561</v>
      </c>
      <c r="E2100" s="8634" t="s">
        <v>3562</v>
      </c>
      <c r="F2100" s="8634" t="s">
        <v>2218</v>
      </c>
      <c r="G2100" s="8634" t="s">
        <v>3563</v>
      </c>
      <c r="H2100" s="8634" t="s">
        <v>3564</v>
      </c>
      <c r="I2100" s="8634" t="s">
        <v>768</v>
      </c>
    </row>
    <row customHeight="1" ht="11.25">
      <c r="A2101" s="8634" t="s">
        <v>2182</v>
      </c>
      <c r="B2101" s="8634" t="s">
        <v>14</v>
      </c>
      <c r="C2101" s="8634" t="s">
        <v>6857</v>
      </c>
      <c r="D2101" s="8634" t="s">
        <v>6858</v>
      </c>
      <c r="E2101" s="8634" t="s">
        <v>6859</v>
      </c>
      <c r="F2101" s="8634" t="s">
        <v>2245</v>
      </c>
      <c r="G2101" s="8634" t="s">
        <v>5098</v>
      </c>
      <c r="H2101" s="8634" t="s">
        <v>24</v>
      </c>
      <c r="I2101" s="8634" t="s">
        <v>768</v>
      </c>
    </row>
    <row customHeight="1" ht="11.25">
      <c r="A2102" s="8634" t="s">
        <v>2182</v>
      </c>
      <c r="B2102" s="8634" t="s">
        <v>14</v>
      </c>
      <c r="C2102" s="8634" t="s">
        <v>6860</v>
      </c>
      <c r="D2102" s="8634" t="s">
        <v>6861</v>
      </c>
      <c r="E2102" s="8634" t="s">
        <v>6862</v>
      </c>
      <c r="F2102" s="8634" t="s">
        <v>2284</v>
      </c>
      <c r="G2102" s="8634" t="s">
        <v>24</v>
      </c>
      <c r="H2102" s="8634" t="s">
        <v>2773</v>
      </c>
      <c r="I2102" s="8634" t="s">
        <v>768</v>
      </c>
    </row>
    <row customHeight="1" ht="11.25">
      <c r="A2103" s="8634" t="s">
        <v>2182</v>
      </c>
      <c r="B2103" s="8634" t="s">
        <v>14</v>
      </c>
      <c r="C2103" s="8634" t="s">
        <v>6309</v>
      </c>
      <c r="D2103" s="8634" t="s">
        <v>6310</v>
      </c>
      <c r="E2103" s="8634" t="s">
        <v>6311</v>
      </c>
      <c r="F2103" s="8634" t="s">
        <v>2349</v>
      </c>
      <c r="G2103" s="8634" t="s">
        <v>24</v>
      </c>
      <c r="H2103" s="8634" t="s">
        <v>2993</v>
      </c>
      <c r="I2103" s="8634" t="s">
        <v>768</v>
      </c>
    </row>
    <row customHeight="1" ht="11.25">
      <c r="A2104" s="8634" t="s">
        <v>2182</v>
      </c>
      <c r="B2104" s="8634" t="s">
        <v>14</v>
      </c>
      <c r="C2104" s="8634" t="s">
        <v>6863</v>
      </c>
      <c r="D2104" s="8634" t="s">
        <v>6864</v>
      </c>
      <c r="E2104" s="8634" t="s">
        <v>6865</v>
      </c>
      <c r="F2104" s="8634" t="s">
        <v>2398</v>
      </c>
      <c r="G2104" s="8634" t="s">
        <v>6866</v>
      </c>
      <c r="H2104" s="8634" t="s">
        <v>2870</v>
      </c>
      <c r="I2104" s="8634" t="s">
        <v>768</v>
      </c>
    </row>
    <row customHeight="1" ht="11.25">
      <c r="A2105" s="8634" t="s">
        <v>2182</v>
      </c>
      <c r="B2105" s="8634" t="s">
        <v>14</v>
      </c>
      <c r="C2105" s="8634" t="s">
        <v>3574</v>
      </c>
      <c r="D2105" s="8634" t="s">
        <v>3575</v>
      </c>
      <c r="E2105" s="8634" t="s">
        <v>3576</v>
      </c>
      <c r="F2105" s="8634" t="s">
        <v>2334</v>
      </c>
      <c r="G2105" s="8634" t="s">
        <v>24</v>
      </c>
      <c r="H2105" s="8634" t="s">
        <v>2187</v>
      </c>
      <c r="I2105" s="8634" t="s">
        <v>768</v>
      </c>
    </row>
    <row customHeight="1" ht="11.25">
      <c r="A2106" s="8634" t="s">
        <v>2182</v>
      </c>
      <c r="B2106" s="8634" t="s">
        <v>14</v>
      </c>
      <c r="C2106" s="8634" t="s">
        <v>3577</v>
      </c>
      <c r="D2106" s="8634" t="s">
        <v>3578</v>
      </c>
      <c r="E2106" s="8634" t="s">
        <v>3579</v>
      </c>
      <c r="F2106" s="8634" t="s">
        <v>2300</v>
      </c>
      <c r="G2106" s="8634" t="s">
        <v>24</v>
      </c>
      <c r="H2106" s="8634" t="s">
        <v>2187</v>
      </c>
      <c r="I2106" s="8634" t="s">
        <v>768</v>
      </c>
    </row>
    <row customHeight="1" ht="11.25">
      <c r="A2107" s="8634" t="s">
        <v>2182</v>
      </c>
      <c r="B2107" s="8634" t="s">
        <v>14</v>
      </c>
      <c r="C2107" s="8634" t="s">
        <v>3580</v>
      </c>
      <c r="D2107" s="8634" t="s">
        <v>3581</v>
      </c>
      <c r="E2107" s="8634" t="s">
        <v>3582</v>
      </c>
      <c r="F2107" s="8634" t="s">
        <v>2411</v>
      </c>
      <c r="G2107" s="8634" t="s">
        <v>3583</v>
      </c>
      <c r="H2107" s="8634" t="s">
        <v>2400</v>
      </c>
      <c r="I2107" s="8634" t="s">
        <v>768</v>
      </c>
    </row>
    <row customHeight="1" ht="11.25">
      <c r="A2108" s="8634" t="s">
        <v>2182</v>
      </c>
      <c r="B2108" s="8634" t="s">
        <v>14</v>
      </c>
      <c r="C2108" s="8634" t="s">
        <v>6867</v>
      </c>
      <c r="D2108" s="8634" t="s">
        <v>6868</v>
      </c>
      <c r="E2108" s="8634" t="s">
        <v>6869</v>
      </c>
      <c r="F2108" s="8634" t="s">
        <v>2376</v>
      </c>
      <c r="G2108" s="8634" t="s">
        <v>6870</v>
      </c>
      <c r="H2108" s="8634" t="s">
        <v>24</v>
      </c>
      <c r="I2108" s="8634" t="s">
        <v>768</v>
      </c>
    </row>
    <row customHeight="1" ht="11.25">
      <c r="A2109" s="8634" t="s">
        <v>2182</v>
      </c>
      <c r="B2109" s="8634" t="s">
        <v>14</v>
      </c>
      <c r="C2109" s="8634" t="s">
        <v>6871</v>
      </c>
      <c r="D2109" s="8634" t="s">
        <v>6872</v>
      </c>
      <c r="E2109" s="8634" t="s">
        <v>6873</v>
      </c>
      <c r="F2109" s="8634" t="s">
        <v>4090</v>
      </c>
      <c r="G2109" s="8634" t="s">
        <v>24</v>
      </c>
      <c r="H2109" s="8634" t="s">
        <v>3093</v>
      </c>
      <c r="I2109" s="8634" t="s">
        <v>768</v>
      </c>
    </row>
    <row customHeight="1" ht="11.25">
      <c r="A2110" s="8634" t="s">
        <v>2182</v>
      </c>
      <c r="B2110" s="8634" t="s">
        <v>14</v>
      </c>
      <c r="C2110" s="8634" t="s">
        <v>3584</v>
      </c>
      <c r="D2110" s="8634" t="s">
        <v>3585</v>
      </c>
      <c r="E2110" s="8634" t="s">
        <v>3586</v>
      </c>
      <c r="F2110" s="8634" t="s">
        <v>2626</v>
      </c>
      <c r="G2110" s="8634" t="s">
        <v>3587</v>
      </c>
      <c r="H2110" s="8634" t="s">
        <v>24</v>
      </c>
      <c r="I2110" s="8634" t="s">
        <v>768</v>
      </c>
    </row>
    <row customHeight="1" ht="11.25">
      <c r="A2111" s="8634" t="s">
        <v>2182</v>
      </c>
      <c r="B2111" s="8634" t="s">
        <v>14</v>
      </c>
      <c r="C2111" s="8634" t="s">
        <v>3588</v>
      </c>
      <c r="D2111" s="8634" t="s">
        <v>3589</v>
      </c>
      <c r="E2111" s="8634" t="s">
        <v>3590</v>
      </c>
      <c r="F2111" s="8634" t="s">
        <v>2274</v>
      </c>
      <c r="G2111" s="8634" t="s">
        <v>24</v>
      </c>
      <c r="H2111" s="8634" t="s">
        <v>24</v>
      </c>
      <c r="I2111" s="8634" t="s">
        <v>768</v>
      </c>
    </row>
    <row customHeight="1" ht="11.25">
      <c r="A2112" s="8634" t="s">
        <v>2182</v>
      </c>
      <c r="B2112" s="8634" t="s">
        <v>14</v>
      </c>
      <c r="C2112" s="8634" t="s">
        <v>6874</v>
      </c>
      <c r="D2112" s="8634" t="s">
        <v>6875</v>
      </c>
      <c r="E2112" s="8634" t="s">
        <v>6876</v>
      </c>
      <c r="F2112" s="8634" t="s">
        <v>2334</v>
      </c>
      <c r="G2112" s="8634" t="s">
        <v>24</v>
      </c>
      <c r="H2112" s="8634" t="s">
        <v>2187</v>
      </c>
      <c r="I2112" s="8634" t="s">
        <v>768</v>
      </c>
    </row>
    <row customHeight="1" ht="11.25">
      <c r="A2113" s="8634" t="s">
        <v>2182</v>
      </c>
      <c r="B2113" s="8634" t="s">
        <v>14</v>
      </c>
      <c r="C2113" s="8634" t="s">
        <v>6877</v>
      </c>
      <c r="D2113" s="8634" t="s">
        <v>6878</v>
      </c>
      <c r="E2113" s="8634" t="s">
        <v>6879</v>
      </c>
      <c r="F2113" s="8634" t="s">
        <v>2339</v>
      </c>
      <c r="G2113" s="8634" t="s">
        <v>24</v>
      </c>
      <c r="H2113" s="8634" t="s">
        <v>24</v>
      </c>
      <c r="I2113" s="8634" t="s">
        <v>768</v>
      </c>
    </row>
    <row customHeight="1" ht="11.25">
      <c r="A2114" s="8634" t="s">
        <v>2182</v>
      </c>
      <c r="B2114" s="8634" t="s">
        <v>14</v>
      </c>
      <c r="C2114" s="8634" t="s">
        <v>3595</v>
      </c>
      <c r="D2114" s="8634" t="s">
        <v>3596</v>
      </c>
      <c r="E2114" s="8634" t="s">
        <v>3597</v>
      </c>
      <c r="F2114" s="8634" t="s">
        <v>2600</v>
      </c>
      <c r="G2114" s="8634" t="s">
        <v>3598</v>
      </c>
      <c r="H2114" s="8634" t="s">
        <v>24</v>
      </c>
      <c r="I2114" s="8634" t="s">
        <v>768</v>
      </c>
    </row>
    <row customHeight="1" ht="11.25">
      <c r="A2115" s="8634" t="s">
        <v>2182</v>
      </c>
      <c r="B2115" s="8634" t="s">
        <v>14</v>
      </c>
      <c r="C2115" s="8634" t="s">
        <v>3599</v>
      </c>
      <c r="D2115" s="8634" t="s">
        <v>3600</v>
      </c>
      <c r="E2115" s="8634" t="s">
        <v>3601</v>
      </c>
      <c r="F2115" s="8634" t="s">
        <v>2376</v>
      </c>
      <c r="G2115" s="8634" t="s">
        <v>3602</v>
      </c>
      <c r="H2115" s="8634" t="s">
        <v>24</v>
      </c>
      <c r="I2115" s="8634" t="s">
        <v>768</v>
      </c>
    </row>
    <row customHeight="1" ht="11.25">
      <c r="A2116" s="8634" t="s">
        <v>2182</v>
      </c>
      <c r="B2116" s="8634" t="s">
        <v>14</v>
      </c>
      <c r="C2116" s="8634" t="s">
        <v>3603</v>
      </c>
      <c r="D2116" s="8634" t="s">
        <v>3604</v>
      </c>
      <c r="E2116" s="8634" t="s">
        <v>3605</v>
      </c>
      <c r="F2116" s="8634" t="s">
        <v>2696</v>
      </c>
      <c r="G2116" s="8634" t="s">
        <v>3606</v>
      </c>
      <c r="H2116" s="8634" t="s">
        <v>3607</v>
      </c>
      <c r="I2116" s="8634" t="s">
        <v>768</v>
      </c>
    </row>
    <row customHeight="1" ht="11.25">
      <c r="A2117" s="8634" t="s">
        <v>2182</v>
      </c>
      <c r="B2117" s="8634" t="s">
        <v>14</v>
      </c>
      <c r="C2117" s="8634" t="s">
        <v>3608</v>
      </c>
      <c r="D2117" s="8634" t="s">
        <v>3609</v>
      </c>
      <c r="E2117" s="8634" t="s">
        <v>3610</v>
      </c>
      <c r="F2117" s="8634" t="s">
        <v>2284</v>
      </c>
      <c r="G2117" s="8634" t="s">
        <v>24</v>
      </c>
      <c r="H2117" s="8634" t="s">
        <v>2993</v>
      </c>
      <c r="I2117" s="8634" t="s">
        <v>768</v>
      </c>
    </row>
    <row customHeight="1" ht="11.25">
      <c r="A2118" s="8634" t="s">
        <v>2182</v>
      </c>
      <c r="B2118" s="8634" t="s">
        <v>14</v>
      </c>
      <c r="C2118" s="8634" t="s">
        <v>3611</v>
      </c>
      <c r="D2118" s="8634" t="s">
        <v>3612</v>
      </c>
      <c r="E2118" s="8634" t="s">
        <v>3613</v>
      </c>
      <c r="F2118" s="8634" t="s">
        <v>2245</v>
      </c>
      <c r="G2118" s="8634" t="s">
        <v>3614</v>
      </c>
      <c r="H2118" s="8634" t="s">
        <v>2400</v>
      </c>
      <c r="I2118" s="8634" t="s">
        <v>768</v>
      </c>
    </row>
    <row customHeight="1" ht="11.25">
      <c r="A2119" s="8634" t="s">
        <v>2182</v>
      </c>
      <c r="B2119" s="8634" t="s">
        <v>14</v>
      </c>
      <c r="C2119" s="8634" t="s">
        <v>3615</v>
      </c>
      <c r="D2119" s="8634" t="s">
        <v>3616</v>
      </c>
      <c r="E2119" s="8634" t="s">
        <v>3617</v>
      </c>
      <c r="F2119" s="8634" t="s">
        <v>2600</v>
      </c>
      <c r="G2119" s="8634" t="s">
        <v>3618</v>
      </c>
      <c r="H2119" s="8634" t="s">
        <v>3619</v>
      </c>
      <c r="I2119" s="8634" t="s">
        <v>768</v>
      </c>
    </row>
    <row customHeight="1" ht="11.25">
      <c r="A2120" s="8634" t="s">
        <v>2182</v>
      </c>
      <c r="B2120" s="8634" t="s">
        <v>14</v>
      </c>
      <c r="C2120" s="8634" t="s">
        <v>6880</v>
      </c>
      <c r="D2120" s="8634" t="s">
        <v>6881</v>
      </c>
      <c r="E2120" s="8634" t="s">
        <v>6882</v>
      </c>
      <c r="F2120" s="8634" t="s">
        <v>2279</v>
      </c>
      <c r="G2120" s="8634" t="s">
        <v>6883</v>
      </c>
      <c r="H2120" s="8634" t="s">
        <v>24</v>
      </c>
      <c r="I2120" s="8634" t="s">
        <v>768</v>
      </c>
    </row>
    <row customHeight="1" ht="11.25">
      <c r="A2121" s="8634" t="s">
        <v>2182</v>
      </c>
      <c r="B2121" s="8634" t="s">
        <v>14</v>
      </c>
      <c r="C2121" s="8634" t="s">
        <v>3628</v>
      </c>
      <c r="D2121" s="8634" t="s">
        <v>3629</v>
      </c>
      <c r="E2121" s="8634" t="s">
        <v>3630</v>
      </c>
      <c r="F2121" s="8634" t="s">
        <v>3631</v>
      </c>
      <c r="G2121" s="8634" t="s">
        <v>3632</v>
      </c>
      <c r="H2121" s="8634" t="s">
        <v>24</v>
      </c>
      <c r="I2121" s="8634" t="s">
        <v>768</v>
      </c>
    </row>
    <row customHeight="1" ht="11.25">
      <c r="A2122" s="8634" t="s">
        <v>2182</v>
      </c>
      <c r="B2122" s="8634" t="s">
        <v>14</v>
      </c>
      <c r="C2122" s="8634" t="s">
        <v>3646</v>
      </c>
      <c r="D2122" s="8634" t="s">
        <v>3647</v>
      </c>
      <c r="E2122" s="8634" t="s">
        <v>3648</v>
      </c>
      <c r="F2122" s="8634" t="s">
        <v>2228</v>
      </c>
      <c r="G2122" s="8634" t="s">
        <v>24</v>
      </c>
      <c r="H2122" s="8634" t="s">
        <v>2187</v>
      </c>
      <c r="I2122" s="8634" t="s">
        <v>768</v>
      </c>
    </row>
    <row customHeight="1" ht="11.25">
      <c r="A2123" s="8634" t="s">
        <v>2182</v>
      </c>
      <c r="B2123" s="8634" t="s">
        <v>14</v>
      </c>
      <c r="C2123" s="8634" t="s">
        <v>3649</v>
      </c>
      <c r="D2123" s="8634" t="s">
        <v>3650</v>
      </c>
      <c r="E2123" s="8634" t="s">
        <v>3651</v>
      </c>
      <c r="F2123" s="8634" t="s">
        <v>2300</v>
      </c>
      <c r="G2123" s="8634" t="s">
        <v>24</v>
      </c>
      <c r="H2123" s="8634" t="s">
        <v>2187</v>
      </c>
      <c r="I2123" s="8634" t="s">
        <v>768</v>
      </c>
    </row>
    <row customHeight="1" ht="11.25">
      <c r="A2124" s="8634" t="s">
        <v>2182</v>
      </c>
      <c r="B2124" s="8634" t="s">
        <v>14</v>
      </c>
      <c r="C2124" s="8634" t="s">
        <v>3652</v>
      </c>
      <c r="D2124" s="8634" t="s">
        <v>3653</v>
      </c>
      <c r="E2124" s="8634" t="s">
        <v>3654</v>
      </c>
      <c r="F2124" s="8634" t="s">
        <v>2626</v>
      </c>
      <c r="G2124" s="8634" t="s">
        <v>3655</v>
      </c>
      <c r="H2124" s="8634" t="s">
        <v>24</v>
      </c>
      <c r="I2124" s="8634" t="s">
        <v>768</v>
      </c>
    </row>
    <row customHeight="1" ht="11.25">
      <c r="A2125" s="8634" t="s">
        <v>2182</v>
      </c>
      <c r="B2125" s="8634" t="s">
        <v>14</v>
      </c>
      <c r="C2125" s="8634" t="s">
        <v>3656</v>
      </c>
      <c r="D2125" s="8634" t="s">
        <v>3657</v>
      </c>
      <c r="E2125" s="8634" t="s">
        <v>3658</v>
      </c>
      <c r="F2125" s="8634" t="s">
        <v>2398</v>
      </c>
      <c r="G2125" s="8634" t="s">
        <v>3659</v>
      </c>
      <c r="H2125" s="8634" t="s">
        <v>2870</v>
      </c>
      <c r="I2125" s="8634" t="s">
        <v>768</v>
      </c>
    </row>
    <row customHeight="1" ht="11.25">
      <c r="A2126" s="8634" t="s">
        <v>2182</v>
      </c>
      <c r="B2126" s="8634" t="s">
        <v>14</v>
      </c>
      <c r="C2126" s="8634" t="s">
        <v>3660</v>
      </c>
      <c r="D2126" s="8634" t="s">
        <v>3661</v>
      </c>
      <c r="E2126" s="8634" t="s">
        <v>3662</v>
      </c>
      <c r="F2126" s="8634" t="s">
        <v>2696</v>
      </c>
      <c r="G2126" s="8634" t="s">
        <v>3663</v>
      </c>
      <c r="H2126" s="8634" t="s">
        <v>24</v>
      </c>
      <c r="I2126" s="8634" t="s">
        <v>768</v>
      </c>
    </row>
    <row customHeight="1" ht="11.25">
      <c r="A2127" s="8634" t="s">
        <v>2182</v>
      </c>
      <c r="B2127" s="8634" t="s">
        <v>14</v>
      </c>
      <c r="C2127" s="8634" t="s">
        <v>3664</v>
      </c>
      <c r="D2127" s="8634" t="s">
        <v>3665</v>
      </c>
      <c r="E2127" s="8634" t="s">
        <v>3666</v>
      </c>
      <c r="F2127" s="8634" t="s">
        <v>2460</v>
      </c>
      <c r="G2127" s="8634" t="s">
        <v>3667</v>
      </c>
      <c r="H2127" s="8634" t="s">
        <v>24</v>
      </c>
      <c r="I2127" s="8634" t="s">
        <v>768</v>
      </c>
    </row>
    <row customHeight="1" ht="11.25">
      <c r="A2128" s="8634" t="s">
        <v>2182</v>
      </c>
      <c r="B2128" s="8634" t="s">
        <v>14</v>
      </c>
      <c r="C2128" s="8634" t="s">
        <v>3668</v>
      </c>
      <c r="D2128" s="8634" t="s">
        <v>3669</v>
      </c>
      <c r="E2128" s="8634" t="s">
        <v>3670</v>
      </c>
      <c r="F2128" s="8634" t="s">
        <v>3248</v>
      </c>
      <c r="G2128" s="8634" t="s">
        <v>24</v>
      </c>
      <c r="H2128" s="8634" t="s">
        <v>24</v>
      </c>
      <c r="I2128" s="8634" t="s">
        <v>768</v>
      </c>
    </row>
    <row customHeight="1" ht="11.25">
      <c r="A2129" s="8634" t="s">
        <v>2182</v>
      </c>
      <c r="B2129" s="8634" t="s">
        <v>14</v>
      </c>
      <c r="C2129" s="8634" t="s">
        <v>3695</v>
      </c>
      <c r="D2129" s="8634" t="s">
        <v>3696</v>
      </c>
      <c r="E2129" s="8634" t="s">
        <v>3697</v>
      </c>
      <c r="F2129" s="8634" t="s">
        <v>3212</v>
      </c>
      <c r="G2129" s="8634" t="s">
        <v>24</v>
      </c>
      <c r="H2129" s="8634" t="s">
        <v>24</v>
      </c>
      <c r="I2129" s="8634" t="s">
        <v>768</v>
      </c>
    </row>
    <row customHeight="1" ht="11.25">
      <c r="A2130" s="8634" t="s">
        <v>2182</v>
      </c>
      <c r="B2130" s="8634" t="s">
        <v>14</v>
      </c>
      <c r="C2130" s="8634" t="s">
        <v>6884</v>
      </c>
      <c r="D2130" s="8634" t="s">
        <v>6885</v>
      </c>
      <c r="E2130" s="8634" t="s">
        <v>6886</v>
      </c>
      <c r="F2130" s="8634" t="s">
        <v>2322</v>
      </c>
      <c r="G2130" s="8634" t="s">
        <v>6887</v>
      </c>
      <c r="H2130" s="8634" t="s">
        <v>6888</v>
      </c>
      <c r="I2130" s="8634" t="s">
        <v>768</v>
      </c>
    </row>
    <row customHeight="1" ht="11.25">
      <c r="A2131" s="8634" t="s">
        <v>2182</v>
      </c>
      <c r="B2131" s="8634" t="s">
        <v>14</v>
      </c>
      <c r="C2131" s="8634" t="s">
        <v>3698</v>
      </c>
      <c r="D2131" s="8634" t="s">
        <v>3699</v>
      </c>
      <c r="E2131" s="8634" t="s">
        <v>3700</v>
      </c>
      <c r="F2131" s="8634" t="s">
        <v>2228</v>
      </c>
      <c r="G2131" s="8634" t="s">
        <v>24</v>
      </c>
      <c r="H2131" s="8634" t="s">
        <v>24</v>
      </c>
      <c r="I2131" s="8634" t="s">
        <v>768</v>
      </c>
    </row>
    <row customHeight="1" ht="11.25">
      <c r="A2132" s="8634" t="s">
        <v>2182</v>
      </c>
      <c r="B2132" s="8634" t="s">
        <v>14</v>
      </c>
      <c r="C2132" s="8634" t="s">
        <v>3701</v>
      </c>
      <c r="D2132" s="8634" t="s">
        <v>3702</v>
      </c>
      <c r="E2132" s="8634" t="s">
        <v>3703</v>
      </c>
      <c r="F2132" s="8634" t="s">
        <v>2567</v>
      </c>
      <c r="G2132" s="8634" t="s">
        <v>24</v>
      </c>
      <c r="H2132" s="8634" t="s">
        <v>2187</v>
      </c>
      <c r="I2132" s="8634" t="s">
        <v>768</v>
      </c>
    </row>
    <row customHeight="1" ht="11.25">
      <c r="A2133" s="8634" t="s">
        <v>2182</v>
      </c>
      <c r="B2133" s="8634" t="s">
        <v>14</v>
      </c>
      <c r="C2133" s="8634" t="s">
        <v>6889</v>
      </c>
      <c r="D2133" s="8634" t="s">
        <v>6890</v>
      </c>
      <c r="E2133" s="8634" t="s">
        <v>6891</v>
      </c>
      <c r="F2133" s="8634" t="s">
        <v>2492</v>
      </c>
      <c r="G2133" s="8634" t="s">
        <v>24</v>
      </c>
      <c r="H2133" s="8634" t="s">
        <v>6892</v>
      </c>
      <c r="I2133" s="8634" t="s">
        <v>768</v>
      </c>
    </row>
    <row customHeight="1" ht="11.25">
      <c r="A2134" s="8634" t="s">
        <v>2182</v>
      </c>
      <c r="B2134" s="8634" t="s">
        <v>14</v>
      </c>
      <c r="C2134" s="8634" t="s">
        <v>3711</v>
      </c>
      <c r="D2134" s="8634" t="s">
        <v>3712</v>
      </c>
      <c r="E2134" s="8634" t="s">
        <v>3713</v>
      </c>
      <c r="F2134" s="8634" t="s">
        <v>2274</v>
      </c>
      <c r="G2134" s="8634" t="s">
        <v>3714</v>
      </c>
      <c r="H2134" s="8634" t="s">
        <v>24</v>
      </c>
      <c r="I2134" s="8634" t="s">
        <v>768</v>
      </c>
    </row>
    <row customHeight="1" ht="11.25">
      <c r="A2135" s="8634" t="s">
        <v>2182</v>
      </c>
      <c r="B2135" s="8634" t="s">
        <v>14</v>
      </c>
      <c r="C2135" s="8634" t="s">
        <v>6893</v>
      </c>
      <c r="D2135" s="8634" t="s">
        <v>6894</v>
      </c>
      <c r="E2135" s="8634" t="s">
        <v>6895</v>
      </c>
      <c r="F2135" s="8634" t="s">
        <v>2284</v>
      </c>
      <c r="G2135" s="8634" t="s">
        <v>6896</v>
      </c>
      <c r="H2135" s="8634" t="s">
        <v>6897</v>
      </c>
      <c r="I2135" s="8634" t="s">
        <v>768</v>
      </c>
    </row>
    <row customHeight="1" ht="11.25">
      <c r="A2136" s="8634" t="s">
        <v>2182</v>
      </c>
      <c r="B2136" s="8634" t="s">
        <v>14</v>
      </c>
      <c r="C2136" s="8634" t="s">
        <v>3715</v>
      </c>
      <c r="D2136" s="8634" t="s">
        <v>3716</v>
      </c>
      <c r="E2136" s="8634" t="s">
        <v>3717</v>
      </c>
      <c r="F2136" s="8634" t="s">
        <v>2334</v>
      </c>
      <c r="G2136" s="8634" t="s">
        <v>24</v>
      </c>
      <c r="H2136" s="8634" t="s">
        <v>2187</v>
      </c>
      <c r="I2136" s="8634" t="s">
        <v>768</v>
      </c>
    </row>
    <row customHeight="1" ht="11.25">
      <c r="A2137" s="8634" t="s">
        <v>2182</v>
      </c>
      <c r="B2137" s="8634" t="s">
        <v>14</v>
      </c>
      <c r="C2137" s="8634" t="s">
        <v>3718</v>
      </c>
      <c r="D2137" s="8634" t="s">
        <v>3719</v>
      </c>
      <c r="E2137" s="8634" t="s">
        <v>3720</v>
      </c>
      <c r="F2137" s="8634" t="s">
        <v>2705</v>
      </c>
      <c r="G2137" s="8634" t="s">
        <v>3721</v>
      </c>
      <c r="H2137" s="8634" t="s">
        <v>2187</v>
      </c>
      <c r="I2137" s="8634" t="s">
        <v>768</v>
      </c>
    </row>
    <row customHeight="1" ht="11.25">
      <c r="A2138" s="8634" t="s">
        <v>2182</v>
      </c>
      <c r="B2138" s="8634" t="s">
        <v>14</v>
      </c>
      <c r="C2138" s="8634" t="s">
        <v>3722</v>
      </c>
      <c r="D2138" s="8634" t="s">
        <v>3723</v>
      </c>
      <c r="E2138" s="8634" t="s">
        <v>3724</v>
      </c>
      <c r="F2138" s="8634" t="s">
        <v>2334</v>
      </c>
      <c r="G2138" s="8634" t="s">
        <v>24</v>
      </c>
      <c r="H2138" s="8634" t="s">
        <v>3725</v>
      </c>
      <c r="I2138" s="8634" t="s">
        <v>768</v>
      </c>
    </row>
    <row customHeight="1" ht="11.25">
      <c r="A2139" s="8634" t="s">
        <v>2182</v>
      </c>
      <c r="B2139" s="8634" t="s">
        <v>14</v>
      </c>
      <c r="C2139" s="8634" t="s">
        <v>6898</v>
      </c>
      <c r="D2139" s="8634" t="s">
        <v>6899</v>
      </c>
      <c r="E2139" s="8634" t="s">
        <v>6900</v>
      </c>
      <c r="F2139" s="8634" t="s">
        <v>2492</v>
      </c>
      <c r="G2139" s="8634" t="s">
        <v>24</v>
      </c>
      <c r="H2139" s="8634" t="s">
        <v>2870</v>
      </c>
      <c r="I2139" s="8634" t="s">
        <v>768</v>
      </c>
    </row>
    <row customHeight="1" ht="11.25">
      <c r="A2140" s="8634" t="s">
        <v>2182</v>
      </c>
      <c r="B2140" s="8634" t="s">
        <v>14</v>
      </c>
      <c r="C2140" s="8634" t="s">
        <v>3726</v>
      </c>
      <c r="D2140" s="8634" t="s">
        <v>3727</v>
      </c>
      <c r="E2140" s="8634" t="s">
        <v>3728</v>
      </c>
      <c r="F2140" s="8634" t="s">
        <v>2376</v>
      </c>
      <c r="G2140" s="8634" t="s">
        <v>24</v>
      </c>
      <c r="H2140" s="8634" t="s">
        <v>2187</v>
      </c>
      <c r="I2140" s="8634" t="s">
        <v>768</v>
      </c>
    </row>
    <row customHeight="1" ht="11.25">
      <c r="A2141" s="8634" t="s">
        <v>2182</v>
      </c>
      <c r="B2141" s="8634" t="s">
        <v>14</v>
      </c>
      <c r="C2141" s="8634" t="s">
        <v>3729</v>
      </c>
      <c r="D2141" s="8634" t="s">
        <v>3730</v>
      </c>
      <c r="E2141" s="8634" t="s">
        <v>3731</v>
      </c>
      <c r="F2141" s="8634" t="s">
        <v>2460</v>
      </c>
      <c r="G2141" s="8634" t="s">
        <v>3732</v>
      </c>
      <c r="H2141" s="8634" t="s">
        <v>2870</v>
      </c>
      <c r="I2141" s="8634" t="s">
        <v>768</v>
      </c>
    </row>
    <row customHeight="1" ht="11.25">
      <c r="A2142" s="8634" t="s">
        <v>2182</v>
      </c>
      <c r="B2142" s="8634" t="s">
        <v>14</v>
      </c>
      <c r="C2142" s="8634" t="s">
        <v>3733</v>
      </c>
      <c r="D2142" s="8634" t="s">
        <v>3734</v>
      </c>
      <c r="E2142" s="8634" t="s">
        <v>3735</v>
      </c>
      <c r="F2142" s="8634" t="s">
        <v>2600</v>
      </c>
      <c r="G2142" s="8634" t="s">
        <v>24</v>
      </c>
      <c r="H2142" s="8634" t="s">
        <v>2187</v>
      </c>
      <c r="I2142" s="8634" t="s">
        <v>768</v>
      </c>
    </row>
    <row customHeight="1" ht="11.25">
      <c r="A2143" s="8634" t="s">
        <v>2182</v>
      </c>
      <c r="B2143" s="8634" t="s">
        <v>14</v>
      </c>
      <c r="C2143" s="8634" t="s">
        <v>3736</v>
      </c>
      <c r="D2143" s="8634" t="s">
        <v>3737</v>
      </c>
      <c r="E2143" s="8634" t="s">
        <v>3738</v>
      </c>
      <c r="F2143" s="8634" t="s">
        <v>2245</v>
      </c>
      <c r="G2143" s="8634" t="s">
        <v>24</v>
      </c>
      <c r="H2143" s="8634" t="s">
        <v>2187</v>
      </c>
      <c r="I2143" s="8634" t="s">
        <v>768</v>
      </c>
    </row>
    <row customHeight="1" ht="11.25">
      <c r="A2144" s="8634" t="s">
        <v>2182</v>
      </c>
      <c r="B2144" s="8634" t="s">
        <v>14</v>
      </c>
      <c r="C2144" s="8634" t="s">
        <v>6901</v>
      </c>
      <c r="D2144" s="8634" t="s">
        <v>6902</v>
      </c>
      <c r="E2144" s="8634" t="s">
        <v>6903</v>
      </c>
      <c r="F2144" s="8634" t="s">
        <v>3776</v>
      </c>
      <c r="G2144" s="8634" t="s">
        <v>6904</v>
      </c>
      <c r="H2144" s="8634" t="s">
        <v>24</v>
      </c>
      <c r="I2144" s="8634" t="s">
        <v>768</v>
      </c>
    </row>
    <row customHeight="1" ht="11.25">
      <c r="A2145" s="8634" t="s">
        <v>2182</v>
      </c>
      <c r="B2145" s="8634" t="s">
        <v>14</v>
      </c>
      <c r="C2145" s="8634" t="s">
        <v>3742</v>
      </c>
      <c r="D2145" s="8634" t="s">
        <v>3743</v>
      </c>
      <c r="E2145" s="8634" t="s">
        <v>3744</v>
      </c>
      <c r="F2145" s="8634" t="s">
        <v>2600</v>
      </c>
      <c r="G2145" s="8634" t="s">
        <v>24</v>
      </c>
      <c r="H2145" s="8634" t="s">
        <v>2187</v>
      </c>
      <c r="I2145" s="8634" t="s">
        <v>768</v>
      </c>
    </row>
    <row customHeight="1" ht="11.25">
      <c r="A2146" s="8634" t="s">
        <v>2182</v>
      </c>
      <c r="B2146" s="8634" t="s">
        <v>14</v>
      </c>
      <c r="C2146" s="8634" t="s">
        <v>6905</v>
      </c>
      <c r="D2146" s="8634" t="s">
        <v>6906</v>
      </c>
      <c r="E2146" s="8634" t="s">
        <v>6907</v>
      </c>
      <c r="F2146" s="8634" t="s">
        <v>6908</v>
      </c>
      <c r="G2146" s="8634" t="s">
        <v>6909</v>
      </c>
      <c r="H2146" s="8634" t="s">
        <v>24</v>
      </c>
      <c r="I2146" s="8634" t="s">
        <v>768</v>
      </c>
    </row>
    <row customHeight="1" ht="11.25">
      <c r="A2147" s="8634" t="s">
        <v>2182</v>
      </c>
      <c r="B2147" s="8634" t="s">
        <v>14</v>
      </c>
      <c r="C2147" s="8634" t="s">
        <v>3745</v>
      </c>
      <c r="D2147" s="8634" t="s">
        <v>3746</v>
      </c>
      <c r="E2147" s="8634" t="s">
        <v>3747</v>
      </c>
      <c r="F2147" s="8634" t="s">
        <v>2398</v>
      </c>
      <c r="G2147" s="8634" t="s">
        <v>24</v>
      </c>
      <c r="H2147" s="8634" t="s">
        <v>24</v>
      </c>
      <c r="I2147" s="8634" t="s">
        <v>768</v>
      </c>
    </row>
    <row customHeight="1" ht="11.25">
      <c r="A2148" s="8634" t="s">
        <v>2182</v>
      </c>
      <c r="B2148" s="8634" t="s">
        <v>14</v>
      </c>
      <c r="C2148" s="8634" t="s">
        <v>3748</v>
      </c>
      <c r="D2148" s="8634" t="s">
        <v>3749</v>
      </c>
      <c r="E2148" s="8634" t="s">
        <v>3750</v>
      </c>
      <c r="F2148" s="8634" t="s">
        <v>2349</v>
      </c>
      <c r="G2148" s="8634" t="s">
        <v>24</v>
      </c>
      <c r="H2148" s="8634" t="s">
        <v>24</v>
      </c>
      <c r="I2148" s="8634" t="s">
        <v>768</v>
      </c>
    </row>
    <row customHeight="1" ht="11.25">
      <c r="A2149" s="8634" t="s">
        <v>2182</v>
      </c>
      <c r="B2149" s="8634" t="s">
        <v>14</v>
      </c>
      <c r="C2149" s="8634" t="s">
        <v>3754</v>
      </c>
      <c r="D2149" s="8634" t="s">
        <v>3755</v>
      </c>
      <c r="E2149" s="8634" t="s">
        <v>3756</v>
      </c>
      <c r="F2149" s="8634" t="s">
        <v>3757</v>
      </c>
      <c r="G2149" s="8634" t="s">
        <v>3758</v>
      </c>
      <c r="H2149" s="8634" t="s">
        <v>2400</v>
      </c>
      <c r="I2149" s="8634" t="s">
        <v>768</v>
      </c>
    </row>
    <row customHeight="1" ht="11.25">
      <c r="A2150" s="8634" t="s">
        <v>2182</v>
      </c>
      <c r="B2150" s="8634" t="s">
        <v>14</v>
      </c>
      <c r="C2150" s="8634" t="s">
        <v>3759</v>
      </c>
      <c r="D2150" s="8634" t="s">
        <v>3760</v>
      </c>
      <c r="E2150" s="8634" t="s">
        <v>3761</v>
      </c>
      <c r="F2150" s="8634" t="s">
        <v>2334</v>
      </c>
      <c r="G2150" s="8634" t="s">
        <v>24</v>
      </c>
      <c r="H2150" s="8634" t="s">
        <v>2187</v>
      </c>
      <c r="I2150" s="8634" t="s">
        <v>768</v>
      </c>
    </row>
    <row customHeight="1" ht="11.25">
      <c r="A2151" s="8634" t="s">
        <v>2182</v>
      </c>
      <c r="B2151" s="8634" t="s">
        <v>14</v>
      </c>
      <c r="C2151" s="8634" t="s">
        <v>3762</v>
      </c>
      <c r="D2151" s="8634" t="s">
        <v>3763</v>
      </c>
      <c r="E2151" s="8634" t="s">
        <v>3764</v>
      </c>
      <c r="F2151" s="8634" t="s">
        <v>3765</v>
      </c>
      <c r="G2151" s="8634" t="s">
        <v>24</v>
      </c>
      <c r="H2151" s="8634" t="s">
        <v>24</v>
      </c>
      <c r="I2151" s="8634" t="s">
        <v>768</v>
      </c>
    </row>
    <row customHeight="1" ht="11.25">
      <c r="A2152" s="8634" t="s">
        <v>2182</v>
      </c>
      <c r="B2152" s="8634" t="s">
        <v>14</v>
      </c>
      <c r="C2152" s="8634" t="s">
        <v>3766</v>
      </c>
      <c r="D2152" s="8634" t="s">
        <v>3767</v>
      </c>
      <c r="E2152" s="8634" t="s">
        <v>3768</v>
      </c>
      <c r="F2152" s="8634" t="s">
        <v>2567</v>
      </c>
      <c r="G2152" s="8634" t="s">
        <v>3769</v>
      </c>
      <c r="H2152" s="8634" t="s">
        <v>2870</v>
      </c>
      <c r="I2152" s="8634" t="s">
        <v>768</v>
      </c>
    </row>
    <row customHeight="1" ht="11.25">
      <c r="A2153" s="8634" t="s">
        <v>2182</v>
      </c>
      <c r="B2153" s="8634" t="s">
        <v>14</v>
      </c>
      <c r="C2153" s="8634" t="s">
        <v>3770</v>
      </c>
      <c r="D2153" s="8634" t="s">
        <v>3771</v>
      </c>
      <c r="E2153" s="8634" t="s">
        <v>3772</v>
      </c>
      <c r="F2153" s="8634" t="s">
        <v>2567</v>
      </c>
      <c r="G2153" s="8634" t="s">
        <v>24</v>
      </c>
      <c r="H2153" s="8634" t="s">
        <v>2993</v>
      </c>
      <c r="I2153" s="8634" t="s">
        <v>768</v>
      </c>
    </row>
    <row customHeight="1" ht="11.25">
      <c r="A2154" s="8634" t="s">
        <v>2182</v>
      </c>
      <c r="B2154" s="8634" t="s">
        <v>14</v>
      </c>
      <c r="C2154" s="8634" t="s">
        <v>3777</v>
      </c>
      <c r="D2154" s="8634" t="s">
        <v>3778</v>
      </c>
      <c r="E2154" s="8634" t="s">
        <v>3779</v>
      </c>
      <c r="F2154" s="8634" t="s">
        <v>2322</v>
      </c>
      <c r="G2154" s="8634" t="s">
        <v>24</v>
      </c>
      <c r="H2154" s="8634" t="s">
        <v>24</v>
      </c>
      <c r="I2154" s="8634" t="s">
        <v>768</v>
      </c>
    </row>
    <row customHeight="1" ht="11.25">
      <c r="A2155" s="8634" t="s">
        <v>2182</v>
      </c>
      <c r="B2155" s="8634" t="s">
        <v>14</v>
      </c>
      <c r="C2155" s="8634" t="s">
        <v>3784</v>
      </c>
      <c r="D2155" s="8634" t="s">
        <v>3785</v>
      </c>
      <c r="E2155" s="8634" t="s">
        <v>3786</v>
      </c>
      <c r="F2155" s="8634" t="s">
        <v>2334</v>
      </c>
      <c r="G2155" s="8634" t="s">
        <v>24</v>
      </c>
      <c r="H2155" s="8634" t="s">
        <v>2187</v>
      </c>
      <c r="I2155" s="8634" t="s">
        <v>768</v>
      </c>
    </row>
    <row customHeight="1" ht="11.25">
      <c r="A2156" s="8634" t="s">
        <v>2182</v>
      </c>
      <c r="B2156" s="8634" t="s">
        <v>14</v>
      </c>
      <c r="C2156" s="8634" t="s">
        <v>3787</v>
      </c>
      <c r="D2156" s="8634" t="s">
        <v>3788</v>
      </c>
      <c r="E2156" s="8634" t="s">
        <v>2987</v>
      </c>
      <c r="F2156" s="8634" t="s">
        <v>3235</v>
      </c>
      <c r="G2156" s="8634" t="s">
        <v>24</v>
      </c>
      <c r="H2156" s="8634" t="s">
        <v>24</v>
      </c>
      <c r="I2156" s="8634" t="s">
        <v>768</v>
      </c>
    </row>
    <row customHeight="1" ht="11.25">
      <c r="A2157" s="8634" t="s">
        <v>2182</v>
      </c>
      <c r="B2157" s="8634" t="s">
        <v>14</v>
      </c>
      <c r="C2157" s="8634" t="s">
        <v>3789</v>
      </c>
      <c r="D2157" s="8634" t="s">
        <v>3790</v>
      </c>
      <c r="E2157" s="8634" t="s">
        <v>3791</v>
      </c>
      <c r="F2157" s="8634" t="s">
        <v>3792</v>
      </c>
      <c r="G2157" s="8634" t="s">
        <v>24</v>
      </c>
      <c r="H2157" s="8634" t="s">
        <v>24</v>
      </c>
      <c r="I2157" s="8634" t="s">
        <v>768</v>
      </c>
    </row>
    <row customHeight="1" ht="11.25">
      <c r="A2158" s="8634" t="s">
        <v>2182</v>
      </c>
      <c r="B2158" s="8634" t="s">
        <v>14</v>
      </c>
      <c r="C2158" s="8634" t="s">
        <v>3796</v>
      </c>
      <c r="D2158" s="8634" t="s">
        <v>3797</v>
      </c>
      <c r="E2158" s="8634" t="s">
        <v>3039</v>
      </c>
      <c r="F2158" s="8634" t="s">
        <v>3798</v>
      </c>
      <c r="G2158" s="8634" t="s">
        <v>24</v>
      </c>
      <c r="H2158" s="8634" t="s">
        <v>24</v>
      </c>
      <c r="I2158" s="8634" t="s">
        <v>768</v>
      </c>
    </row>
    <row customHeight="1" ht="11.25">
      <c r="A2159" s="8634" t="s">
        <v>2182</v>
      </c>
      <c r="B2159" s="8634" t="s">
        <v>14</v>
      </c>
      <c r="C2159" s="8634" t="s">
        <v>3799</v>
      </c>
      <c r="D2159" s="8634" t="s">
        <v>3800</v>
      </c>
      <c r="E2159" s="8634" t="s">
        <v>3039</v>
      </c>
      <c r="F2159" s="8634" t="s">
        <v>3801</v>
      </c>
      <c r="G2159" s="8634" t="s">
        <v>3473</v>
      </c>
      <c r="H2159" s="8634" t="s">
        <v>24</v>
      </c>
      <c r="I2159" s="8634" t="s">
        <v>768</v>
      </c>
    </row>
    <row customHeight="1" ht="11.25">
      <c r="A2160" s="8634" t="s">
        <v>2182</v>
      </c>
      <c r="B2160" s="8634" t="s">
        <v>14</v>
      </c>
      <c r="C2160" s="8634" t="s">
        <v>6910</v>
      </c>
      <c r="D2160" s="8634" t="s">
        <v>6911</v>
      </c>
      <c r="E2160" s="8634" t="s">
        <v>6912</v>
      </c>
      <c r="F2160" s="8634" t="s">
        <v>3078</v>
      </c>
      <c r="G2160" s="8634" t="s">
        <v>6913</v>
      </c>
      <c r="H2160" s="8634" t="s">
        <v>24</v>
      </c>
      <c r="I2160" s="8634" t="s">
        <v>768</v>
      </c>
    </row>
    <row customHeight="1" ht="11.25">
      <c r="A2161" s="8634" t="s">
        <v>2182</v>
      </c>
      <c r="B2161" s="8634" t="s">
        <v>14</v>
      </c>
      <c r="C2161" s="8634" t="s">
        <v>6914</v>
      </c>
      <c r="D2161" s="8634" t="s">
        <v>6915</v>
      </c>
      <c r="E2161" s="8634" t="s">
        <v>3039</v>
      </c>
      <c r="F2161" s="8634" t="s">
        <v>6916</v>
      </c>
      <c r="G2161" s="8634" t="s">
        <v>24</v>
      </c>
      <c r="H2161" s="8634" t="s">
        <v>24</v>
      </c>
      <c r="I2161" s="8634" t="s">
        <v>768</v>
      </c>
    </row>
    <row customHeight="1" ht="11.25">
      <c r="A2162" s="8634" t="s">
        <v>2182</v>
      </c>
      <c r="B2162" s="8634" t="s">
        <v>14</v>
      </c>
      <c r="C2162" s="8634" t="s">
        <v>6917</v>
      </c>
      <c r="D2162" s="8634" t="s">
        <v>6918</v>
      </c>
      <c r="E2162" s="8634" t="s">
        <v>3039</v>
      </c>
      <c r="F2162" s="8634" t="s">
        <v>6919</v>
      </c>
      <c r="G2162" s="8634" t="s">
        <v>24</v>
      </c>
      <c r="H2162" s="8634" t="s">
        <v>24</v>
      </c>
      <c r="I2162" s="8634" t="s">
        <v>768</v>
      </c>
    </row>
    <row customHeight="1" ht="11.25">
      <c r="A2163" s="8634" t="s">
        <v>2182</v>
      </c>
      <c r="B2163" s="8634" t="s">
        <v>14</v>
      </c>
      <c r="C2163" s="8634" t="s">
        <v>3815</v>
      </c>
      <c r="D2163" s="8634" t="s">
        <v>3816</v>
      </c>
      <c r="E2163" s="8634" t="s">
        <v>3817</v>
      </c>
      <c r="F2163" s="8634" t="s">
        <v>2549</v>
      </c>
      <c r="G2163" s="8634" t="s">
        <v>3818</v>
      </c>
      <c r="H2163" s="8634" t="s">
        <v>24</v>
      </c>
      <c r="I2163" s="8634" t="s">
        <v>768</v>
      </c>
    </row>
    <row customHeight="1" ht="11.25">
      <c r="A2164" s="8634" t="s">
        <v>2182</v>
      </c>
      <c r="B2164" s="8634" t="s">
        <v>14</v>
      </c>
      <c r="C2164" s="8634" t="s">
        <v>6920</v>
      </c>
      <c r="D2164" s="8634" t="s">
        <v>6921</v>
      </c>
      <c r="E2164" s="8634" t="s">
        <v>6922</v>
      </c>
      <c r="F2164" s="8634" t="s">
        <v>2394</v>
      </c>
      <c r="G2164" s="8634" t="s">
        <v>24</v>
      </c>
      <c r="H2164" s="8634" t="s">
        <v>24</v>
      </c>
      <c r="I2164" s="8634" t="s">
        <v>768</v>
      </c>
    </row>
    <row customHeight="1" ht="11.25">
      <c r="A2165" s="8634" t="s">
        <v>2182</v>
      </c>
      <c r="B2165" s="8634" t="s">
        <v>14</v>
      </c>
      <c r="C2165" s="8634" t="s">
        <v>6923</v>
      </c>
      <c r="D2165" s="8634" t="s">
        <v>6924</v>
      </c>
      <c r="E2165" s="8634" t="s">
        <v>6925</v>
      </c>
      <c r="F2165" s="8634" t="s">
        <v>2334</v>
      </c>
      <c r="G2165" s="8634" t="s">
        <v>24</v>
      </c>
      <c r="H2165" s="8634" t="s">
        <v>24</v>
      </c>
      <c r="I2165" s="8634" t="s">
        <v>768</v>
      </c>
    </row>
    <row customHeight="1" ht="11.25">
      <c r="A2166" s="8634" t="s">
        <v>2182</v>
      </c>
      <c r="B2166" s="8634" t="s">
        <v>14</v>
      </c>
      <c r="C2166" s="8634" t="s">
        <v>6312</v>
      </c>
      <c r="D2166" s="8634" t="s">
        <v>6313</v>
      </c>
      <c r="E2166" s="8634" t="s">
        <v>6314</v>
      </c>
      <c r="F2166" s="8634" t="s">
        <v>2334</v>
      </c>
      <c r="G2166" s="8634" t="s">
        <v>24</v>
      </c>
      <c r="H2166" s="8634" t="s">
        <v>6315</v>
      </c>
      <c r="I2166" s="8634" t="s">
        <v>768</v>
      </c>
    </row>
    <row customHeight="1" ht="11.25">
      <c r="A2167" s="8634" t="s">
        <v>2182</v>
      </c>
      <c r="B2167" s="8634" t="s">
        <v>14</v>
      </c>
      <c r="C2167" s="8634" t="s">
        <v>6926</v>
      </c>
      <c r="D2167" s="8634" t="s">
        <v>6927</v>
      </c>
      <c r="E2167" s="8634" t="s">
        <v>6928</v>
      </c>
      <c r="F2167" s="8634" t="s">
        <v>2477</v>
      </c>
      <c r="G2167" s="8634" t="s">
        <v>24</v>
      </c>
      <c r="H2167" s="8634" t="s">
        <v>2773</v>
      </c>
      <c r="I2167" s="8634" t="s">
        <v>768</v>
      </c>
    </row>
    <row customHeight="1" ht="11.25">
      <c r="A2168" s="8634" t="s">
        <v>2182</v>
      </c>
      <c r="B2168" s="8634" t="s">
        <v>14</v>
      </c>
      <c r="C2168" s="8634" t="s">
        <v>6929</v>
      </c>
      <c r="D2168" s="8634" t="s">
        <v>6930</v>
      </c>
      <c r="E2168" s="8634" t="s">
        <v>6931</v>
      </c>
      <c r="F2168" s="8634" t="s">
        <v>2477</v>
      </c>
      <c r="G2168" s="8634" t="s">
        <v>24</v>
      </c>
      <c r="H2168" s="8634" t="s">
        <v>6932</v>
      </c>
      <c r="I2168" s="8634" t="s">
        <v>768</v>
      </c>
    </row>
    <row customHeight="1" ht="11.25">
      <c r="A2169" s="8634" t="s">
        <v>2182</v>
      </c>
      <c r="B2169" s="8634" t="s">
        <v>14</v>
      </c>
      <c r="C2169" s="8634" t="s">
        <v>6933</v>
      </c>
      <c r="D2169" s="8634" t="s">
        <v>6934</v>
      </c>
      <c r="E2169" s="8634" t="s">
        <v>6935</v>
      </c>
      <c r="F2169" s="8634" t="s">
        <v>2411</v>
      </c>
      <c r="G2169" s="8634" t="s">
        <v>24</v>
      </c>
      <c r="H2169" s="8634" t="s">
        <v>24</v>
      </c>
      <c r="I2169" s="8634" t="s">
        <v>768</v>
      </c>
    </row>
    <row customHeight="1" ht="11.25">
      <c r="A2170" s="8634" t="s">
        <v>2182</v>
      </c>
      <c r="B2170" s="8634" t="s">
        <v>14</v>
      </c>
      <c r="C2170" s="8634" t="s">
        <v>6936</v>
      </c>
      <c r="D2170" s="8634" t="s">
        <v>6937</v>
      </c>
      <c r="E2170" s="8634" t="s">
        <v>6938</v>
      </c>
      <c r="F2170" s="8634" t="s">
        <v>2334</v>
      </c>
      <c r="G2170" s="8634" t="s">
        <v>24</v>
      </c>
      <c r="H2170" s="8634" t="s">
        <v>6939</v>
      </c>
      <c r="I2170" s="8634" t="s">
        <v>768</v>
      </c>
    </row>
    <row customHeight="1" ht="11.25">
      <c r="A2171" s="8634" t="s">
        <v>2182</v>
      </c>
      <c r="B2171" s="8634" t="s">
        <v>14</v>
      </c>
      <c r="C2171" s="8634" t="s">
        <v>6940</v>
      </c>
      <c r="D2171" s="8634" t="s">
        <v>6941</v>
      </c>
      <c r="E2171" s="8634" t="s">
        <v>6942</v>
      </c>
      <c r="F2171" s="8634" t="s">
        <v>2854</v>
      </c>
      <c r="G2171" s="8634" t="s">
        <v>24</v>
      </c>
      <c r="H2171" s="8634" t="s">
        <v>24</v>
      </c>
      <c r="I2171" s="8634" t="s">
        <v>768</v>
      </c>
    </row>
    <row customHeight="1" ht="11.25">
      <c r="A2172" s="8634" t="s">
        <v>2182</v>
      </c>
      <c r="B2172" s="8634" t="s">
        <v>14</v>
      </c>
      <c r="C2172" s="8634" t="s">
        <v>6943</v>
      </c>
      <c r="D2172" s="8634" t="s">
        <v>6944</v>
      </c>
      <c r="E2172" s="8634" t="s">
        <v>6945</v>
      </c>
      <c r="F2172" s="8634" t="s">
        <v>3078</v>
      </c>
      <c r="G2172" s="8634" t="s">
        <v>24</v>
      </c>
      <c r="H2172" s="8634" t="s">
        <v>24</v>
      </c>
      <c r="I2172" s="8634" t="s">
        <v>768</v>
      </c>
    </row>
    <row customHeight="1" ht="11.25">
      <c r="A2173" s="8634" t="s">
        <v>2182</v>
      </c>
      <c r="B2173" s="8634" t="s">
        <v>14</v>
      </c>
      <c r="C2173" s="8634" t="s">
        <v>3831</v>
      </c>
      <c r="D2173" s="8634" t="s">
        <v>3832</v>
      </c>
      <c r="E2173" s="8634" t="s">
        <v>3833</v>
      </c>
      <c r="F2173" s="8634" t="s">
        <v>2705</v>
      </c>
      <c r="G2173" s="8634" t="s">
        <v>24</v>
      </c>
      <c r="H2173" s="8634" t="s">
        <v>2187</v>
      </c>
      <c r="I2173" s="8634" t="s">
        <v>768</v>
      </c>
    </row>
    <row customHeight="1" ht="11.25">
      <c r="A2174" s="8634" t="s">
        <v>2182</v>
      </c>
      <c r="B2174" s="8634" t="s">
        <v>14</v>
      </c>
      <c r="C2174" s="8634" t="s">
        <v>6946</v>
      </c>
      <c r="D2174" s="8634" t="s">
        <v>6947</v>
      </c>
      <c r="E2174" s="8634" t="s">
        <v>6948</v>
      </c>
      <c r="F2174" s="8634" t="s">
        <v>2245</v>
      </c>
      <c r="G2174" s="8634" t="s">
        <v>24</v>
      </c>
      <c r="H2174" s="8634" t="s">
        <v>24</v>
      </c>
      <c r="I2174" s="8634" t="s">
        <v>768</v>
      </c>
    </row>
    <row customHeight="1" ht="11.25">
      <c r="A2175" s="8634" t="s">
        <v>2182</v>
      </c>
      <c r="B2175" s="8634" t="s">
        <v>14</v>
      </c>
      <c r="C2175" s="8634" t="s">
        <v>6949</v>
      </c>
      <c r="D2175" s="8634" t="s">
        <v>6950</v>
      </c>
      <c r="E2175" s="8634" t="s">
        <v>6951</v>
      </c>
      <c r="F2175" s="8634" t="s">
        <v>2354</v>
      </c>
      <c r="G2175" s="8634" t="s">
        <v>24</v>
      </c>
      <c r="H2175" s="8634" t="s">
        <v>24</v>
      </c>
      <c r="I2175" s="8634" t="s">
        <v>768</v>
      </c>
    </row>
    <row customHeight="1" ht="11.25">
      <c r="A2176" s="8634" t="s">
        <v>2182</v>
      </c>
      <c r="B2176" s="8634" t="s">
        <v>14</v>
      </c>
      <c r="C2176" s="8634" t="s">
        <v>6316</v>
      </c>
      <c r="D2176" s="8634" t="s">
        <v>6317</v>
      </c>
      <c r="E2176" s="8634" t="s">
        <v>6318</v>
      </c>
      <c r="F2176" s="8634" t="s">
        <v>2213</v>
      </c>
      <c r="G2176" s="8634" t="s">
        <v>24</v>
      </c>
      <c r="H2176" s="8634" t="s">
        <v>2187</v>
      </c>
      <c r="I2176" s="8634" t="s">
        <v>768</v>
      </c>
    </row>
    <row customHeight="1" ht="11.25">
      <c r="A2177" s="8634" t="s">
        <v>2182</v>
      </c>
      <c r="B2177" s="8634" t="s">
        <v>14</v>
      </c>
      <c r="C2177" s="8634" t="s">
        <v>3849</v>
      </c>
      <c r="D2177" s="8634" t="s">
        <v>3850</v>
      </c>
      <c r="E2177" s="8634" t="s">
        <v>3851</v>
      </c>
      <c r="F2177" s="8634" t="s">
        <v>2344</v>
      </c>
      <c r="G2177" s="8634" t="s">
        <v>24</v>
      </c>
      <c r="H2177" s="8634" t="s">
        <v>3852</v>
      </c>
      <c r="I2177" s="8634" t="s">
        <v>768</v>
      </c>
    </row>
    <row customHeight="1" ht="11.25">
      <c r="A2178" s="8634" t="s">
        <v>2182</v>
      </c>
      <c r="B2178" s="8634" t="s">
        <v>14</v>
      </c>
      <c r="C2178" s="8634" t="s">
        <v>6952</v>
      </c>
      <c r="D2178" s="8634" t="s">
        <v>3850</v>
      </c>
      <c r="E2178" s="8634" t="s">
        <v>3851</v>
      </c>
      <c r="F2178" s="8634" t="s">
        <v>6953</v>
      </c>
      <c r="G2178" s="8634" t="s">
        <v>24</v>
      </c>
      <c r="H2178" s="8634" t="s">
        <v>3852</v>
      </c>
      <c r="I2178" s="8634" t="s">
        <v>768</v>
      </c>
    </row>
    <row customHeight="1" ht="11.25">
      <c r="A2179" s="8634" t="s">
        <v>2182</v>
      </c>
      <c r="B2179" s="8634" t="s">
        <v>14</v>
      </c>
      <c r="C2179" s="8634" t="s">
        <v>3853</v>
      </c>
      <c r="D2179" s="8634" t="s">
        <v>3854</v>
      </c>
      <c r="E2179" s="8634" t="s">
        <v>3855</v>
      </c>
      <c r="F2179" s="8634" t="s">
        <v>2354</v>
      </c>
      <c r="G2179" s="8634" t="s">
        <v>24</v>
      </c>
      <c r="H2179" s="8634" t="s">
        <v>3856</v>
      </c>
      <c r="I2179" s="8634" t="s">
        <v>768</v>
      </c>
    </row>
    <row customHeight="1" ht="11.25">
      <c r="A2180" s="8634" t="s">
        <v>2182</v>
      </c>
      <c r="B2180" s="8634" t="s">
        <v>14</v>
      </c>
      <c r="C2180" s="8634" t="s">
        <v>3857</v>
      </c>
      <c r="D2180" s="8634" t="s">
        <v>3858</v>
      </c>
      <c r="E2180" s="8634" t="s">
        <v>3859</v>
      </c>
      <c r="F2180" s="8634" t="s">
        <v>2218</v>
      </c>
      <c r="G2180" s="8634" t="s">
        <v>24</v>
      </c>
      <c r="H2180" s="8634" t="s">
        <v>2187</v>
      </c>
      <c r="I2180" s="8634" t="s">
        <v>768</v>
      </c>
    </row>
    <row customHeight="1" ht="11.25">
      <c r="A2181" s="8634" t="s">
        <v>2182</v>
      </c>
      <c r="B2181" s="8634" t="s">
        <v>14</v>
      </c>
      <c r="C2181" s="8634" t="s">
        <v>3863</v>
      </c>
      <c r="D2181" s="8634" t="s">
        <v>3864</v>
      </c>
      <c r="E2181" s="8634" t="s">
        <v>3865</v>
      </c>
      <c r="F2181" s="8634" t="s">
        <v>2492</v>
      </c>
      <c r="G2181" s="8634" t="s">
        <v>24</v>
      </c>
      <c r="H2181" s="8634" t="s">
        <v>24</v>
      </c>
      <c r="I2181" s="8634" t="s">
        <v>768</v>
      </c>
    </row>
    <row customHeight="1" ht="11.25">
      <c r="A2182" s="8634" t="s">
        <v>2182</v>
      </c>
      <c r="B2182" s="8634" t="s">
        <v>14</v>
      </c>
      <c r="C2182" s="8634" t="s">
        <v>3866</v>
      </c>
      <c r="D2182" s="8634" t="s">
        <v>3867</v>
      </c>
      <c r="E2182" s="8634" t="s">
        <v>3868</v>
      </c>
      <c r="F2182" s="8634" t="s">
        <v>2398</v>
      </c>
      <c r="G2182" s="8634" t="s">
        <v>24</v>
      </c>
      <c r="H2182" s="8634" t="s">
        <v>2187</v>
      </c>
      <c r="I2182" s="8634" t="s">
        <v>768</v>
      </c>
    </row>
    <row customHeight="1" ht="11.25">
      <c r="A2183" s="8634" t="s">
        <v>2182</v>
      </c>
      <c r="B2183" s="8634" t="s">
        <v>14</v>
      </c>
      <c r="C2183" s="8634" t="s">
        <v>6954</v>
      </c>
      <c r="D2183" s="8634" t="s">
        <v>6955</v>
      </c>
      <c r="E2183" s="8634" t="s">
        <v>6956</v>
      </c>
      <c r="F2183" s="8634" t="s">
        <v>6957</v>
      </c>
      <c r="G2183" s="8634" t="s">
        <v>24</v>
      </c>
      <c r="H2183" s="8634" t="s">
        <v>24</v>
      </c>
      <c r="I2183" s="8634" t="s">
        <v>768</v>
      </c>
    </row>
    <row customHeight="1" ht="11.25">
      <c r="A2184" s="8634" t="s">
        <v>2182</v>
      </c>
      <c r="B2184" s="8634" t="s">
        <v>14</v>
      </c>
      <c r="C2184" s="8634" t="s">
        <v>6319</v>
      </c>
      <c r="D2184" s="8634" t="s">
        <v>6320</v>
      </c>
      <c r="E2184" s="8634" t="s">
        <v>6321</v>
      </c>
      <c r="F2184" s="8634" t="s">
        <v>2250</v>
      </c>
      <c r="G2184" s="8634" t="s">
        <v>24</v>
      </c>
      <c r="H2184" s="8634" t="s">
        <v>2993</v>
      </c>
      <c r="I2184" s="8634" t="s">
        <v>768</v>
      </c>
    </row>
    <row customHeight="1" ht="11.25">
      <c r="A2185" s="8634" t="s">
        <v>2182</v>
      </c>
      <c r="B2185" s="8634" t="s">
        <v>14</v>
      </c>
      <c r="C2185" s="8634" t="s">
        <v>3872</v>
      </c>
      <c r="D2185" s="8634" t="s">
        <v>3873</v>
      </c>
      <c r="E2185" s="8634" t="s">
        <v>3874</v>
      </c>
      <c r="F2185" s="8634" t="s">
        <v>2213</v>
      </c>
      <c r="G2185" s="8634" t="s">
        <v>3875</v>
      </c>
      <c r="H2185" s="8634" t="s">
        <v>24</v>
      </c>
      <c r="I2185" s="8634" t="s">
        <v>768</v>
      </c>
    </row>
    <row customHeight="1" ht="11.25">
      <c r="A2186" s="8634" t="s">
        <v>2182</v>
      </c>
      <c r="B2186" s="8634" t="s">
        <v>14</v>
      </c>
      <c r="C2186" s="8634" t="s">
        <v>6958</v>
      </c>
      <c r="D2186" s="8634" t="s">
        <v>6959</v>
      </c>
      <c r="E2186" s="8634" t="s">
        <v>6960</v>
      </c>
      <c r="F2186" s="8634" t="s">
        <v>2195</v>
      </c>
      <c r="G2186" s="8634" t="s">
        <v>24</v>
      </c>
      <c r="H2186" s="8634" t="s">
        <v>2400</v>
      </c>
      <c r="I2186" s="8634" t="s">
        <v>768</v>
      </c>
    </row>
    <row customHeight="1" ht="11.25">
      <c r="A2187" s="8634" t="s">
        <v>2182</v>
      </c>
      <c r="B2187" s="8634" t="s">
        <v>14</v>
      </c>
      <c r="C2187" s="8634" t="s">
        <v>6961</v>
      </c>
      <c r="D2187" s="8634" t="s">
        <v>6962</v>
      </c>
      <c r="E2187" s="8634" t="s">
        <v>6963</v>
      </c>
      <c r="F2187" s="8634" t="s">
        <v>2213</v>
      </c>
      <c r="G2187" s="8634" t="s">
        <v>24</v>
      </c>
      <c r="H2187" s="8634" t="s">
        <v>24</v>
      </c>
      <c r="I2187" s="8634" t="s">
        <v>768</v>
      </c>
    </row>
    <row customHeight="1" ht="11.25">
      <c r="A2188" s="8634" t="s">
        <v>2182</v>
      </c>
      <c r="B2188" s="8634" t="s">
        <v>14</v>
      </c>
      <c r="C2188" s="8634" t="s">
        <v>6964</v>
      </c>
      <c r="D2188" s="8634" t="s">
        <v>6965</v>
      </c>
      <c r="E2188" s="8634" t="s">
        <v>6966</v>
      </c>
      <c r="F2188" s="8634" t="s">
        <v>2213</v>
      </c>
      <c r="G2188" s="8634" t="s">
        <v>24</v>
      </c>
      <c r="H2188" s="8634" t="s">
        <v>24</v>
      </c>
      <c r="I2188" s="8634" t="s">
        <v>768</v>
      </c>
    </row>
    <row customHeight="1" ht="11.25">
      <c r="A2189" s="8634" t="s">
        <v>2182</v>
      </c>
      <c r="B2189" s="8634" t="s">
        <v>14</v>
      </c>
      <c r="C2189" s="8634" t="s">
        <v>6967</v>
      </c>
      <c r="D2189" s="8634" t="s">
        <v>6968</v>
      </c>
      <c r="E2189" s="8634" t="s">
        <v>6969</v>
      </c>
      <c r="F2189" s="8634" t="s">
        <v>2460</v>
      </c>
      <c r="G2189" s="8634" t="s">
        <v>24</v>
      </c>
      <c r="H2189" s="8634" t="s">
        <v>2187</v>
      </c>
      <c r="I2189" s="8634" t="s">
        <v>768</v>
      </c>
    </row>
    <row customHeight="1" ht="11.25">
      <c r="A2190" s="8634" t="s">
        <v>2182</v>
      </c>
      <c r="B2190" s="8634" t="s">
        <v>14</v>
      </c>
      <c r="C2190" s="8634" t="s">
        <v>6970</v>
      </c>
      <c r="D2190" s="8634" t="s">
        <v>6971</v>
      </c>
      <c r="E2190" s="8634" t="s">
        <v>6972</v>
      </c>
      <c r="F2190" s="8634" t="s">
        <v>2899</v>
      </c>
      <c r="G2190" s="8634" t="s">
        <v>6973</v>
      </c>
      <c r="H2190" s="8634" t="s">
        <v>24</v>
      </c>
      <c r="I2190" s="8634" t="s">
        <v>768</v>
      </c>
    </row>
    <row customHeight="1" ht="11.25">
      <c r="A2191" s="8634" t="s">
        <v>2182</v>
      </c>
      <c r="B2191" s="8634" t="s">
        <v>14</v>
      </c>
      <c r="C2191" s="8634" t="s">
        <v>3891</v>
      </c>
      <c r="D2191" s="8634" t="s">
        <v>3892</v>
      </c>
      <c r="E2191" s="8634" t="s">
        <v>3893</v>
      </c>
      <c r="F2191" s="8634" t="s">
        <v>3894</v>
      </c>
      <c r="G2191" s="8634" t="s">
        <v>24</v>
      </c>
      <c r="H2191" s="8634" t="s">
        <v>24</v>
      </c>
      <c r="I2191" s="8634" t="s">
        <v>768</v>
      </c>
    </row>
    <row customHeight="1" ht="11.25">
      <c r="A2192" s="8634" t="s">
        <v>2182</v>
      </c>
      <c r="B2192" s="8634" t="s">
        <v>14</v>
      </c>
      <c r="C2192" s="8634" t="s">
        <v>3895</v>
      </c>
      <c r="D2192" s="8634" t="s">
        <v>3896</v>
      </c>
      <c r="E2192" s="8634" t="s">
        <v>3897</v>
      </c>
      <c r="F2192" s="8634" t="s">
        <v>2721</v>
      </c>
      <c r="G2192" s="8634" t="s">
        <v>24</v>
      </c>
      <c r="H2192" s="8634" t="s">
        <v>2993</v>
      </c>
      <c r="I2192" s="8634" t="s">
        <v>768</v>
      </c>
    </row>
    <row customHeight="1" ht="11.25">
      <c r="A2193" s="8634" t="s">
        <v>2182</v>
      </c>
      <c r="B2193" s="8634" t="s">
        <v>14</v>
      </c>
      <c r="C2193" s="8634" t="s">
        <v>3898</v>
      </c>
      <c r="D2193" s="8634" t="s">
        <v>3899</v>
      </c>
      <c r="E2193" s="8634" t="s">
        <v>3900</v>
      </c>
      <c r="F2193" s="8634" t="s">
        <v>2705</v>
      </c>
      <c r="G2193" s="8634" t="s">
        <v>24</v>
      </c>
      <c r="H2193" s="8634" t="s">
        <v>24</v>
      </c>
      <c r="I2193" s="8634" t="s">
        <v>768</v>
      </c>
    </row>
    <row customHeight="1" ht="11.25">
      <c r="A2194" s="8634" t="s">
        <v>2182</v>
      </c>
      <c r="B2194" s="8634" t="s">
        <v>14</v>
      </c>
      <c r="C2194" s="8634" t="s">
        <v>6974</v>
      </c>
      <c r="D2194" s="8634" t="s">
        <v>6975</v>
      </c>
      <c r="E2194" s="8634" t="s">
        <v>6976</v>
      </c>
      <c r="F2194" s="8634" t="s">
        <v>3765</v>
      </c>
      <c r="G2194" s="8634" t="s">
        <v>24</v>
      </c>
      <c r="H2194" s="8634" t="s">
        <v>6977</v>
      </c>
      <c r="I2194" s="8634" t="s">
        <v>768</v>
      </c>
    </row>
    <row customHeight="1" ht="11.25">
      <c r="A2195" s="8634" t="s">
        <v>2182</v>
      </c>
      <c r="B2195" s="8634" t="s">
        <v>14</v>
      </c>
      <c r="C2195" s="8634" t="s">
        <v>3904</v>
      </c>
      <c r="D2195" s="8634" t="s">
        <v>3905</v>
      </c>
      <c r="E2195" s="8634" t="s">
        <v>3906</v>
      </c>
      <c r="F2195" s="8634" t="s">
        <v>2213</v>
      </c>
      <c r="G2195" s="8634" t="s">
        <v>24</v>
      </c>
      <c r="H2195" s="8634" t="s">
        <v>2187</v>
      </c>
      <c r="I2195" s="8634" t="s">
        <v>768</v>
      </c>
    </row>
    <row customHeight="1" ht="11.25">
      <c r="A2196" s="8634" t="s">
        <v>2182</v>
      </c>
      <c r="B2196" s="8634" t="s">
        <v>14</v>
      </c>
      <c r="C2196" s="8634" t="s">
        <v>6322</v>
      </c>
      <c r="D2196" s="8634" t="s">
        <v>6323</v>
      </c>
      <c r="E2196" s="8634" t="s">
        <v>6324</v>
      </c>
      <c r="F2196" s="8634" t="s">
        <v>2245</v>
      </c>
      <c r="G2196" s="8634" t="s">
        <v>24</v>
      </c>
      <c r="H2196" s="8634" t="s">
        <v>6325</v>
      </c>
      <c r="I2196" s="8634" t="s">
        <v>768</v>
      </c>
    </row>
    <row customHeight="1" ht="11.25">
      <c r="A2197" s="8634" t="s">
        <v>2182</v>
      </c>
      <c r="B2197" s="8634" t="s">
        <v>14</v>
      </c>
      <c r="C2197" s="8634" t="s">
        <v>3907</v>
      </c>
      <c r="D2197" s="8634" t="s">
        <v>3908</v>
      </c>
      <c r="E2197" s="8634" t="s">
        <v>3909</v>
      </c>
      <c r="F2197" s="8634" t="s">
        <v>2626</v>
      </c>
      <c r="G2197" s="8634" t="s">
        <v>24</v>
      </c>
      <c r="H2197" s="8634" t="s">
        <v>2400</v>
      </c>
      <c r="I2197" s="8634" t="s">
        <v>768</v>
      </c>
    </row>
    <row customHeight="1" ht="11.25">
      <c r="A2198" s="8634" t="s">
        <v>2182</v>
      </c>
      <c r="B2198" s="8634" t="s">
        <v>14</v>
      </c>
      <c r="C2198" s="8634" t="s">
        <v>6978</v>
      </c>
      <c r="D2198" s="8634" t="s">
        <v>6979</v>
      </c>
      <c r="E2198" s="8634" t="s">
        <v>6980</v>
      </c>
      <c r="F2198" s="8634" t="s">
        <v>6981</v>
      </c>
      <c r="G2198" s="8634" t="s">
        <v>24</v>
      </c>
      <c r="H2198" s="8634" t="s">
        <v>6982</v>
      </c>
      <c r="I2198" s="8634" t="s">
        <v>768</v>
      </c>
    </row>
    <row customHeight="1" ht="11.25">
      <c r="A2199" s="8634" t="s">
        <v>2182</v>
      </c>
      <c r="B2199" s="8634" t="s">
        <v>14</v>
      </c>
      <c r="C2199" s="8634" t="s">
        <v>3913</v>
      </c>
      <c r="D2199" s="8634" t="s">
        <v>3914</v>
      </c>
      <c r="E2199" s="8634" t="s">
        <v>3915</v>
      </c>
      <c r="F2199" s="8634" t="s">
        <v>2218</v>
      </c>
      <c r="G2199" s="8634" t="s">
        <v>24</v>
      </c>
      <c r="H2199" s="8634" t="s">
        <v>3916</v>
      </c>
      <c r="I2199" s="8634" t="s">
        <v>768</v>
      </c>
    </row>
    <row customHeight="1" ht="11.25">
      <c r="A2200" s="8634" t="s">
        <v>2182</v>
      </c>
      <c r="B2200" s="8634" t="s">
        <v>14</v>
      </c>
      <c r="C2200" s="8634" t="s">
        <v>6983</v>
      </c>
      <c r="D2200" s="8634" t="s">
        <v>6984</v>
      </c>
      <c r="E2200" s="8634" t="s">
        <v>2388</v>
      </c>
      <c r="F2200" s="8634" t="s">
        <v>2438</v>
      </c>
      <c r="G2200" s="8634" t="s">
        <v>24</v>
      </c>
      <c r="H2200" s="8634" t="s">
        <v>2187</v>
      </c>
      <c r="I2200" s="8634" t="s">
        <v>768</v>
      </c>
    </row>
    <row customHeight="1" ht="11.25">
      <c r="A2201" s="8634" t="s">
        <v>2182</v>
      </c>
      <c r="B2201" s="8634" t="s">
        <v>14</v>
      </c>
      <c r="C2201" s="8634" t="s">
        <v>6985</v>
      </c>
      <c r="D2201" s="8634" t="s">
        <v>6986</v>
      </c>
      <c r="E2201" s="8634" t="s">
        <v>6987</v>
      </c>
      <c r="F2201" s="8634" t="s">
        <v>2394</v>
      </c>
      <c r="G2201" s="8634" t="s">
        <v>24</v>
      </c>
      <c r="H2201" s="8634" t="s">
        <v>24</v>
      </c>
      <c r="I2201" s="8634" t="s">
        <v>768</v>
      </c>
    </row>
    <row customHeight="1" ht="11.25">
      <c r="A2202" s="8634" t="s">
        <v>2182</v>
      </c>
      <c r="B2202" s="8634" t="s">
        <v>14</v>
      </c>
      <c r="C2202" s="8634" t="s">
        <v>3926</v>
      </c>
      <c r="D2202" s="8634" t="s">
        <v>3927</v>
      </c>
      <c r="E2202" s="8634" t="s">
        <v>3928</v>
      </c>
      <c r="F2202" s="8634" t="s">
        <v>2976</v>
      </c>
      <c r="G2202" s="8634" t="s">
        <v>3929</v>
      </c>
      <c r="H2202" s="8634" t="s">
        <v>24</v>
      </c>
      <c r="I2202" s="8634" t="s">
        <v>768</v>
      </c>
    </row>
    <row customHeight="1" ht="11.25">
      <c r="A2203" s="8634" t="s">
        <v>2182</v>
      </c>
      <c r="B2203" s="8634" t="s">
        <v>14</v>
      </c>
      <c r="C2203" s="8634" t="s">
        <v>3950</v>
      </c>
      <c r="D2203" s="8634" t="s">
        <v>3951</v>
      </c>
      <c r="E2203" s="8634" t="s">
        <v>3952</v>
      </c>
      <c r="F2203" s="8634" t="s">
        <v>2398</v>
      </c>
      <c r="G2203" s="8634" t="s">
        <v>3953</v>
      </c>
      <c r="H2203" s="8634" t="s">
        <v>24</v>
      </c>
      <c r="I2203" s="8634" t="s">
        <v>768</v>
      </c>
    </row>
    <row customHeight="1" ht="11.25">
      <c r="A2204" s="8634" t="s">
        <v>2182</v>
      </c>
      <c r="B2204" s="8634" t="s">
        <v>14</v>
      </c>
      <c r="C2204" s="8634" t="s">
        <v>3954</v>
      </c>
      <c r="D2204" s="8634" t="s">
        <v>3955</v>
      </c>
      <c r="E2204" s="8634" t="s">
        <v>3956</v>
      </c>
      <c r="F2204" s="8634" t="s">
        <v>3346</v>
      </c>
      <c r="G2204" s="8634" t="s">
        <v>24</v>
      </c>
      <c r="H2204" s="8634" t="s">
        <v>24</v>
      </c>
      <c r="I2204" s="8634" t="s">
        <v>768</v>
      </c>
    </row>
    <row customHeight="1" ht="11.25">
      <c r="A2205" s="8634" t="s">
        <v>2182</v>
      </c>
      <c r="B2205" s="8634" t="s">
        <v>14</v>
      </c>
      <c r="C2205" s="8634" t="s">
        <v>6988</v>
      </c>
      <c r="D2205" s="8634" t="s">
        <v>6989</v>
      </c>
      <c r="E2205" s="8634" t="s">
        <v>6990</v>
      </c>
      <c r="F2205" s="8634" t="s">
        <v>2398</v>
      </c>
      <c r="G2205" s="8634" t="s">
        <v>24</v>
      </c>
      <c r="H2205" s="8634" t="s">
        <v>24</v>
      </c>
      <c r="I2205" s="8634" t="s">
        <v>768</v>
      </c>
    </row>
    <row customHeight="1" ht="11.25">
      <c r="A2206" s="8634" t="s">
        <v>2182</v>
      </c>
      <c r="B2206" s="8634" t="s">
        <v>14</v>
      </c>
      <c r="C2206" s="8634" t="s">
        <v>3976</v>
      </c>
      <c r="D2206" s="8634" t="s">
        <v>3977</v>
      </c>
      <c r="E2206" s="8634" t="s">
        <v>3978</v>
      </c>
      <c r="F2206" s="8634" t="s">
        <v>2721</v>
      </c>
      <c r="G2206" s="8634" t="s">
        <v>24</v>
      </c>
      <c r="H2206" s="8634" t="s">
        <v>3222</v>
      </c>
      <c r="I2206" s="8634" t="s">
        <v>768</v>
      </c>
    </row>
    <row customHeight="1" ht="11.25">
      <c r="A2207" s="8634" t="s">
        <v>2182</v>
      </c>
      <c r="B2207" s="8634" t="s">
        <v>14</v>
      </c>
      <c r="C2207" s="8634" t="s">
        <v>3983</v>
      </c>
      <c r="D2207" s="8634" t="s">
        <v>3984</v>
      </c>
      <c r="E2207" s="8634" t="s">
        <v>3985</v>
      </c>
      <c r="F2207" s="8634" t="s">
        <v>3986</v>
      </c>
      <c r="G2207" s="8634" t="s">
        <v>24</v>
      </c>
      <c r="H2207" s="8634" t="s">
        <v>24</v>
      </c>
      <c r="I2207" s="8634" t="s">
        <v>768</v>
      </c>
    </row>
    <row customHeight="1" ht="11.25">
      <c r="A2208" s="8634" t="s">
        <v>2182</v>
      </c>
      <c r="B2208" s="8634" t="s">
        <v>14</v>
      </c>
      <c r="C2208" s="8634" t="s">
        <v>3990</v>
      </c>
      <c r="D2208" s="8634" t="s">
        <v>3991</v>
      </c>
      <c r="E2208" s="8634" t="s">
        <v>3992</v>
      </c>
      <c r="F2208" s="8634" t="s">
        <v>2600</v>
      </c>
      <c r="G2208" s="8634" t="s">
        <v>3993</v>
      </c>
      <c r="H2208" s="8634" t="s">
        <v>24</v>
      </c>
      <c r="I2208" s="8634" t="s">
        <v>768</v>
      </c>
    </row>
    <row customHeight="1" ht="11.25">
      <c r="A2209" s="8634" t="s">
        <v>2182</v>
      </c>
      <c r="B2209" s="8634" t="s">
        <v>14</v>
      </c>
      <c r="C2209" s="8634" t="s">
        <v>6991</v>
      </c>
      <c r="D2209" s="8634" t="s">
        <v>6992</v>
      </c>
      <c r="E2209" s="8634" t="s">
        <v>6993</v>
      </c>
      <c r="F2209" s="8634" t="s">
        <v>2398</v>
      </c>
      <c r="G2209" s="8634" t="s">
        <v>24</v>
      </c>
      <c r="H2209" s="8634" t="s">
        <v>24</v>
      </c>
      <c r="I2209" s="8634" t="s">
        <v>768</v>
      </c>
    </row>
    <row customHeight="1" ht="11.25">
      <c r="A2210" s="8634" t="s">
        <v>2182</v>
      </c>
      <c r="B2210" s="8634" t="s">
        <v>14</v>
      </c>
      <c r="C2210" s="8634" t="s">
        <v>4000</v>
      </c>
      <c r="D2210" s="8634" t="s">
        <v>4001</v>
      </c>
      <c r="E2210" s="8634" t="s">
        <v>4002</v>
      </c>
      <c r="F2210" s="8634" t="s">
        <v>2228</v>
      </c>
      <c r="G2210" s="8634" t="s">
        <v>24</v>
      </c>
      <c r="H2210" s="8634" t="s">
        <v>24</v>
      </c>
      <c r="I2210" s="8634" t="s">
        <v>768</v>
      </c>
    </row>
    <row customHeight="1" ht="11.25">
      <c r="A2211" s="8634" t="s">
        <v>2182</v>
      </c>
      <c r="B2211" s="8634" t="s">
        <v>14</v>
      </c>
      <c r="C2211" s="8634" t="s">
        <v>4006</v>
      </c>
      <c r="D2211" s="8634" t="s">
        <v>4007</v>
      </c>
      <c r="E2211" s="8634" t="s">
        <v>4008</v>
      </c>
      <c r="F2211" s="8634" t="s">
        <v>2705</v>
      </c>
      <c r="G2211" s="8634" t="s">
        <v>24</v>
      </c>
      <c r="H2211" s="8634" t="s">
        <v>4009</v>
      </c>
      <c r="I2211" s="8634" t="s">
        <v>768</v>
      </c>
    </row>
    <row customHeight="1" ht="11.25">
      <c r="A2212" s="8634" t="s">
        <v>2182</v>
      </c>
      <c r="B2212" s="8634" t="s">
        <v>14</v>
      </c>
      <c r="C2212" s="8634" t="s">
        <v>4010</v>
      </c>
      <c r="D2212" s="8634" t="s">
        <v>4011</v>
      </c>
      <c r="E2212" s="8634" t="s">
        <v>4012</v>
      </c>
      <c r="F2212" s="8634" t="s">
        <v>2334</v>
      </c>
      <c r="G2212" s="8634" t="s">
        <v>24</v>
      </c>
      <c r="H2212" s="8634" t="s">
        <v>2697</v>
      </c>
      <c r="I2212" s="8634" t="s">
        <v>768</v>
      </c>
    </row>
    <row customHeight="1" ht="11.25">
      <c r="A2213" s="8634" t="s">
        <v>2182</v>
      </c>
      <c r="B2213" s="8634" t="s">
        <v>14</v>
      </c>
      <c r="C2213" s="8634" t="s">
        <v>4013</v>
      </c>
      <c r="D2213" s="8634" t="s">
        <v>4014</v>
      </c>
      <c r="E2213" s="8634" t="s">
        <v>4015</v>
      </c>
      <c r="F2213" s="8634" t="s">
        <v>2186</v>
      </c>
      <c r="G2213" s="8634" t="s">
        <v>24</v>
      </c>
      <c r="H2213" s="8634" t="s">
        <v>24</v>
      </c>
      <c r="I2213" s="8634" t="s">
        <v>768</v>
      </c>
    </row>
    <row customHeight="1" ht="11.25">
      <c r="A2214" s="8634" t="s">
        <v>2182</v>
      </c>
      <c r="B2214" s="8634" t="s">
        <v>14</v>
      </c>
      <c r="C2214" s="8634" t="s">
        <v>4016</v>
      </c>
      <c r="D2214" s="8634" t="s">
        <v>4017</v>
      </c>
      <c r="E2214" s="8634" t="s">
        <v>4018</v>
      </c>
      <c r="F2214" s="8634" t="s">
        <v>2228</v>
      </c>
      <c r="G2214" s="8634" t="s">
        <v>24</v>
      </c>
      <c r="H2214" s="8634" t="s">
        <v>24</v>
      </c>
      <c r="I2214" s="8634" t="s">
        <v>768</v>
      </c>
    </row>
    <row customHeight="1" ht="11.25">
      <c r="A2215" s="8634" t="s">
        <v>2182</v>
      </c>
      <c r="B2215" s="8634" t="s">
        <v>14</v>
      </c>
      <c r="C2215" s="8634" t="s">
        <v>4019</v>
      </c>
      <c r="D2215" s="8634" t="s">
        <v>4020</v>
      </c>
      <c r="E2215" s="8634" t="s">
        <v>4021</v>
      </c>
      <c r="F2215" s="8634" t="s">
        <v>2334</v>
      </c>
      <c r="G2215" s="8634" t="s">
        <v>4022</v>
      </c>
      <c r="H2215" s="8634" t="s">
        <v>24</v>
      </c>
      <c r="I2215" s="8634" t="s">
        <v>768</v>
      </c>
    </row>
    <row customHeight="1" ht="11.25">
      <c r="A2216" s="8634" t="s">
        <v>2182</v>
      </c>
      <c r="B2216" s="8634" t="s">
        <v>14</v>
      </c>
      <c r="C2216" s="8634" t="s">
        <v>6994</v>
      </c>
      <c r="D2216" s="8634" t="s">
        <v>6995</v>
      </c>
      <c r="E2216" s="8634" t="s">
        <v>6996</v>
      </c>
      <c r="F2216" s="8634" t="s">
        <v>2213</v>
      </c>
      <c r="G2216" s="8634" t="s">
        <v>2714</v>
      </c>
      <c r="H2216" s="8634" t="s">
        <v>24</v>
      </c>
      <c r="I2216" s="8634" t="s">
        <v>768</v>
      </c>
    </row>
    <row customHeight="1" ht="11.25">
      <c r="A2217" s="8634" t="s">
        <v>2182</v>
      </c>
      <c r="B2217" s="8634" t="s">
        <v>14</v>
      </c>
      <c r="C2217" s="8634" t="s">
        <v>6997</v>
      </c>
      <c r="D2217" s="8634" t="s">
        <v>6998</v>
      </c>
      <c r="E2217" s="8634" t="s">
        <v>6999</v>
      </c>
      <c r="F2217" s="8634" t="s">
        <v>2376</v>
      </c>
      <c r="G2217" s="8634" t="s">
        <v>24</v>
      </c>
      <c r="H2217" s="8634" t="s">
        <v>2238</v>
      </c>
      <c r="I2217" s="8634" t="s">
        <v>768</v>
      </c>
    </row>
    <row customHeight="1" ht="11.25">
      <c r="A2218" s="8634" t="s">
        <v>2182</v>
      </c>
      <c r="B2218" s="8634" t="s">
        <v>14</v>
      </c>
      <c r="C2218" s="8634" t="s">
        <v>4026</v>
      </c>
      <c r="D2218" s="8634" t="s">
        <v>4027</v>
      </c>
      <c r="E2218" s="8634" t="s">
        <v>4028</v>
      </c>
      <c r="F2218" s="8634" t="s">
        <v>2322</v>
      </c>
      <c r="G2218" s="8634" t="s">
        <v>4029</v>
      </c>
      <c r="H2218" s="8634" t="s">
        <v>2400</v>
      </c>
      <c r="I2218" s="8634" t="s">
        <v>768</v>
      </c>
    </row>
    <row customHeight="1" ht="11.25">
      <c r="A2219" s="8634" t="s">
        <v>2182</v>
      </c>
      <c r="B2219" s="8634" t="s">
        <v>14</v>
      </c>
      <c r="C2219" s="8634" t="s">
        <v>7000</v>
      </c>
      <c r="D2219" s="8634" t="s">
        <v>7001</v>
      </c>
      <c r="E2219" s="8634" t="s">
        <v>7002</v>
      </c>
      <c r="F2219" s="8634" t="s">
        <v>2492</v>
      </c>
      <c r="G2219" s="8634" t="s">
        <v>24</v>
      </c>
      <c r="H2219" s="8634" t="s">
        <v>24</v>
      </c>
      <c r="I2219" s="8634" t="s">
        <v>768</v>
      </c>
    </row>
    <row customHeight="1" ht="11.25">
      <c r="A2220" s="8634" t="s">
        <v>2182</v>
      </c>
      <c r="B2220" s="8634" t="s">
        <v>14</v>
      </c>
      <c r="C2220" s="8634" t="s">
        <v>4034</v>
      </c>
      <c r="D2220" s="8634" t="s">
        <v>4035</v>
      </c>
      <c r="E2220" s="8634" t="s">
        <v>4036</v>
      </c>
      <c r="F2220" s="8634" t="s">
        <v>2300</v>
      </c>
      <c r="G2220" s="8634" t="s">
        <v>24</v>
      </c>
      <c r="H2220" s="8634" t="s">
        <v>2238</v>
      </c>
      <c r="I2220" s="8634" t="s">
        <v>768</v>
      </c>
    </row>
    <row customHeight="1" ht="11.25">
      <c r="A2221" s="8634" t="s">
        <v>2182</v>
      </c>
      <c r="B2221" s="8634" t="s">
        <v>14</v>
      </c>
      <c r="C2221" s="8634" t="s">
        <v>4040</v>
      </c>
      <c r="D2221" s="8634" t="s">
        <v>4041</v>
      </c>
      <c r="E2221" s="8634" t="s">
        <v>4042</v>
      </c>
      <c r="F2221" s="8634" t="s">
        <v>3508</v>
      </c>
      <c r="G2221" s="8634" t="s">
        <v>24</v>
      </c>
      <c r="H2221" s="8634" t="s">
        <v>24</v>
      </c>
      <c r="I2221" s="8634" t="s">
        <v>768</v>
      </c>
    </row>
    <row customHeight="1" ht="11.25">
      <c r="A2222" s="8634" t="s">
        <v>2182</v>
      </c>
      <c r="B2222" s="8634" t="s">
        <v>14</v>
      </c>
      <c r="C2222" s="8634" t="s">
        <v>7003</v>
      </c>
      <c r="D2222" s="8634" t="s">
        <v>4050</v>
      </c>
      <c r="E2222" s="8634" t="s">
        <v>4051</v>
      </c>
      <c r="F2222" s="8634" t="s">
        <v>2899</v>
      </c>
      <c r="G2222" s="8634" t="s">
        <v>24</v>
      </c>
      <c r="H2222" s="8634" t="s">
        <v>3446</v>
      </c>
      <c r="I2222" s="8634" t="s">
        <v>768</v>
      </c>
    </row>
    <row customHeight="1" ht="11.25">
      <c r="A2223" s="8634" t="s">
        <v>2182</v>
      </c>
      <c r="B2223" s="8634" t="s">
        <v>14</v>
      </c>
      <c r="C2223" s="8634" t="s">
        <v>4052</v>
      </c>
      <c r="D2223" s="8634" t="s">
        <v>4053</v>
      </c>
      <c r="E2223" s="8634" t="s">
        <v>4054</v>
      </c>
      <c r="F2223" s="8634" t="s">
        <v>2213</v>
      </c>
      <c r="G2223" s="8634" t="s">
        <v>24</v>
      </c>
      <c r="H2223" s="8634" t="s">
        <v>24</v>
      </c>
      <c r="I2223" s="8634" t="s">
        <v>768</v>
      </c>
    </row>
    <row customHeight="1" ht="11.25">
      <c r="A2224" s="8634" t="s">
        <v>2182</v>
      </c>
      <c r="B2224" s="8634" t="s">
        <v>14</v>
      </c>
      <c r="C2224" s="8634" t="s">
        <v>4058</v>
      </c>
      <c r="D2224" s="8634" t="s">
        <v>4059</v>
      </c>
      <c r="E2224" s="8634" t="s">
        <v>4060</v>
      </c>
      <c r="F2224" s="8634" t="s">
        <v>3130</v>
      </c>
      <c r="G2224" s="8634" t="s">
        <v>24</v>
      </c>
      <c r="H2224" s="8634" t="s">
        <v>24</v>
      </c>
      <c r="I2224" s="8634" t="s">
        <v>768</v>
      </c>
    </row>
    <row customHeight="1" ht="11.25">
      <c r="A2225" s="8634" t="s">
        <v>2182</v>
      </c>
      <c r="B2225" s="8634" t="s">
        <v>14</v>
      </c>
      <c r="C2225" s="8634" t="s">
        <v>7004</v>
      </c>
      <c r="D2225" s="8634" t="s">
        <v>7005</v>
      </c>
      <c r="E2225" s="8634" t="s">
        <v>7006</v>
      </c>
      <c r="F2225" s="8634" t="s">
        <v>7007</v>
      </c>
      <c r="G2225" s="8634" t="s">
        <v>24</v>
      </c>
      <c r="H2225" s="8634" t="s">
        <v>7008</v>
      </c>
      <c r="I2225" s="8634" t="s">
        <v>768</v>
      </c>
    </row>
    <row customHeight="1" ht="11.25">
      <c r="A2226" s="8634" t="s">
        <v>2182</v>
      </c>
      <c r="B2226" s="8634" t="s">
        <v>14</v>
      </c>
      <c r="C2226" s="8634" t="s">
        <v>4081</v>
      </c>
      <c r="D2226" s="8634" t="s">
        <v>4082</v>
      </c>
      <c r="E2226" s="8634" t="s">
        <v>4083</v>
      </c>
      <c r="F2226" s="8634" t="s">
        <v>2213</v>
      </c>
      <c r="G2226" s="8634" t="s">
        <v>24</v>
      </c>
      <c r="H2226" s="8634" t="s">
        <v>2187</v>
      </c>
      <c r="I2226" s="8634" t="s">
        <v>768</v>
      </c>
    </row>
    <row customHeight="1" ht="11.25">
      <c r="A2227" s="8634" t="s">
        <v>2182</v>
      </c>
      <c r="B2227" s="8634" t="s">
        <v>14</v>
      </c>
      <c r="C2227" s="8634" t="s">
        <v>4087</v>
      </c>
      <c r="D2227" s="8634" t="s">
        <v>4088</v>
      </c>
      <c r="E2227" s="8634" t="s">
        <v>4089</v>
      </c>
      <c r="F2227" s="8634" t="s">
        <v>4090</v>
      </c>
      <c r="G2227" s="8634" t="s">
        <v>24</v>
      </c>
      <c r="H2227" s="8634" t="s">
        <v>24</v>
      </c>
      <c r="I2227" s="8634" t="s">
        <v>768</v>
      </c>
    </row>
    <row customHeight="1" ht="11.25">
      <c r="A2228" s="8634" t="s">
        <v>2182</v>
      </c>
      <c r="B2228" s="8634" t="s">
        <v>14</v>
      </c>
      <c r="C2228" s="8634" t="s">
        <v>4098</v>
      </c>
      <c r="D2228" s="8634" t="s">
        <v>4099</v>
      </c>
      <c r="E2228" s="8634" t="s">
        <v>4100</v>
      </c>
      <c r="F2228" s="8634" t="s">
        <v>2339</v>
      </c>
      <c r="G2228" s="8634" t="s">
        <v>24</v>
      </c>
      <c r="H2228" s="8634" t="s">
        <v>24</v>
      </c>
      <c r="I2228" s="8634" t="s">
        <v>768</v>
      </c>
    </row>
    <row customHeight="1" ht="11.25">
      <c r="A2229" s="8634" t="s">
        <v>2182</v>
      </c>
      <c r="B2229" s="8634" t="s">
        <v>14</v>
      </c>
      <c r="C2229" s="8634" t="s">
        <v>4101</v>
      </c>
      <c r="D2229" s="8634" t="s">
        <v>4102</v>
      </c>
      <c r="E2229" s="8634" t="s">
        <v>3039</v>
      </c>
      <c r="F2229" s="8634" t="s">
        <v>4103</v>
      </c>
      <c r="G2229" s="8634" t="s">
        <v>24</v>
      </c>
      <c r="H2229" s="8634" t="s">
        <v>4104</v>
      </c>
      <c r="I2229" s="8634" t="s">
        <v>768</v>
      </c>
    </row>
    <row customHeight="1" ht="11.25">
      <c r="A2230" s="8634" t="s">
        <v>2182</v>
      </c>
      <c r="B2230" s="8634" t="s">
        <v>14</v>
      </c>
      <c r="C2230" s="8634" t="s">
        <v>4105</v>
      </c>
      <c r="D2230" s="8634" t="s">
        <v>4106</v>
      </c>
      <c r="E2230" s="8634" t="s">
        <v>3039</v>
      </c>
      <c r="F2230" s="8634" t="s">
        <v>4107</v>
      </c>
      <c r="G2230" s="8634" t="s">
        <v>4108</v>
      </c>
      <c r="H2230" s="8634" t="s">
        <v>4109</v>
      </c>
      <c r="I2230" s="8634" t="s">
        <v>768</v>
      </c>
    </row>
    <row customHeight="1" ht="11.25">
      <c r="A2231" s="8634" t="s">
        <v>2182</v>
      </c>
      <c r="B2231" s="8634" t="s">
        <v>14</v>
      </c>
      <c r="C2231" s="8634" t="s">
        <v>7009</v>
      </c>
      <c r="D2231" s="8634" t="s">
        <v>7010</v>
      </c>
      <c r="E2231" s="8634" t="s">
        <v>3039</v>
      </c>
      <c r="F2231" s="8634" t="s">
        <v>7011</v>
      </c>
      <c r="G2231" s="8634" t="s">
        <v>4109</v>
      </c>
      <c r="H2231" s="8634" t="s">
        <v>24</v>
      </c>
      <c r="I2231" s="8634" t="s">
        <v>768</v>
      </c>
    </row>
    <row customHeight="1" ht="11.25">
      <c r="A2232" s="8634" t="s">
        <v>2182</v>
      </c>
      <c r="B2232" s="8634" t="s">
        <v>14</v>
      </c>
      <c r="C2232" s="8634" t="s">
        <v>4113</v>
      </c>
      <c r="D2232" s="8634" t="s">
        <v>4114</v>
      </c>
      <c r="E2232" s="8634" t="s">
        <v>4115</v>
      </c>
      <c r="F2232" s="8634" t="s">
        <v>2213</v>
      </c>
      <c r="G2232" s="8634" t="s">
        <v>24</v>
      </c>
      <c r="H2232" s="8634" t="s">
        <v>2187</v>
      </c>
      <c r="I2232" s="8634" t="s">
        <v>768</v>
      </c>
    </row>
    <row customHeight="1" ht="11.25">
      <c r="A2233" s="8634" t="s">
        <v>2182</v>
      </c>
      <c r="B2233" s="8634" t="s">
        <v>14</v>
      </c>
      <c r="C2233" s="8634" t="s">
        <v>7012</v>
      </c>
      <c r="D2233" s="8634" t="s">
        <v>7013</v>
      </c>
      <c r="E2233" s="8634" t="s">
        <v>7014</v>
      </c>
      <c r="F2233" s="8634" t="s">
        <v>2213</v>
      </c>
      <c r="G2233" s="8634" t="s">
        <v>24</v>
      </c>
      <c r="H2233" s="8634" t="s">
        <v>7015</v>
      </c>
      <c r="I2233" s="8634" t="s">
        <v>768</v>
      </c>
    </row>
    <row customHeight="1" ht="11.25">
      <c r="A2234" s="8634" t="s">
        <v>2182</v>
      </c>
      <c r="B2234" s="8634" t="s">
        <v>14</v>
      </c>
      <c r="C2234" s="8634" t="s">
        <v>6326</v>
      </c>
      <c r="D2234" s="8634" t="s">
        <v>6327</v>
      </c>
      <c r="E2234" s="8634" t="s">
        <v>6328</v>
      </c>
      <c r="F2234" s="8634" t="s">
        <v>2213</v>
      </c>
      <c r="G2234" s="8634" t="s">
        <v>24</v>
      </c>
      <c r="H2234" s="8634" t="s">
        <v>2187</v>
      </c>
      <c r="I2234" s="8634" t="s">
        <v>768</v>
      </c>
    </row>
    <row customHeight="1" ht="11.25">
      <c r="A2235" s="8634" t="s">
        <v>2182</v>
      </c>
      <c r="B2235" s="8634" t="s">
        <v>14</v>
      </c>
      <c r="C2235" s="8634" t="s">
        <v>4116</v>
      </c>
      <c r="D2235" s="8634" t="s">
        <v>4117</v>
      </c>
      <c r="E2235" s="8634" t="s">
        <v>4118</v>
      </c>
      <c r="F2235" s="8634" t="s">
        <v>2213</v>
      </c>
      <c r="G2235" s="8634" t="s">
        <v>24</v>
      </c>
      <c r="H2235" s="8634" t="s">
        <v>2187</v>
      </c>
      <c r="I2235" s="8634" t="s">
        <v>768</v>
      </c>
    </row>
    <row customHeight="1" ht="11.25">
      <c r="A2236" s="8634" t="s">
        <v>2182</v>
      </c>
      <c r="B2236" s="8634" t="s">
        <v>14</v>
      </c>
      <c r="C2236" s="8634" t="s">
        <v>4119</v>
      </c>
      <c r="D2236" s="8634" t="s">
        <v>4120</v>
      </c>
      <c r="E2236" s="8634" t="s">
        <v>4121</v>
      </c>
      <c r="F2236" s="8634" t="s">
        <v>2563</v>
      </c>
      <c r="G2236" s="8634" t="s">
        <v>24</v>
      </c>
      <c r="H2236" s="8634" t="s">
        <v>2187</v>
      </c>
      <c r="I2236" s="8634" t="s">
        <v>768</v>
      </c>
    </row>
    <row customHeight="1" ht="11.25">
      <c r="A2237" s="8634" t="s">
        <v>2182</v>
      </c>
      <c r="B2237" s="8634" t="s">
        <v>14</v>
      </c>
      <c r="C2237" s="8634" t="s">
        <v>7016</v>
      </c>
      <c r="D2237" s="8634" t="s">
        <v>7017</v>
      </c>
      <c r="E2237" s="8634" t="s">
        <v>7018</v>
      </c>
      <c r="F2237" s="8634" t="s">
        <v>2563</v>
      </c>
      <c r="G2237" s="8634" t="s">
        <v>24</v>
      </c>
      <c r="H2237" s="8634" t="s">
        <v>24</v>
      </c>
      <c r="I2237" s="8634" t="s">
        <v>768</v>
      </c>
    </row>
    <row customHeight="1" ht="11.25">
      <c r="A2238" s="8634" t="s">
        <v>2182</v>
      </c>
      <c r="B2238" s="8634" t="s">
        <v>14</v>
      </c>
      <c r="C2238" s="8634" t="s">
        <v>7019</v>
      </c>
      <c r="D2238" s="8634" t="s">
        <v>7020</v>
      </c>
      <c r="E2238" s="8634" t="s">
        <v>7021</v>
      </c>
      <c r="F2238" s="8634" t="s">
        <v>2563</v>
      </c>
      <c r="G2238" s="8634" t="s">
        <v>24</v>
      </c>
      <c r="H2238" s="8634" t="s">
        <v>24</v>
      </c>
      <c r="I2238" s="8634" t="s">
        <v>768</v>
      </c>
    </row>
    <row customHeight="1" ht="11.25">
      <c r="A2239" s="8634" t="s">
        <v>2182</v>
      </c>
      <c r="B2239" s="8634" t="s">
        <v>14</v>
      </c>
      <c r="C2239" s="8634" t="s">
        <v>4128</v>
      </c>
      <c r="D2239" s="8634" t="s">
        <v>4126</v>
      </c>
      <c r="E2239" s="8634" t="s">
        <v>4127</v>
      </c>
      <c r="F2239" s="8634" t="s">
        <v>2899</v>
      </c>
      <c r="G2239" s="8634" t="s">
        <v>4129</v>
      </c>
      <c r="H2239" s="8634" t="s">
        <v>4130</v>
      </c>
      <c r="I2239" s="8634" t="s">
        <v>768</v>
      </c>
    </row>
    <row customHeight="1" ht="11.25">
      <c r="A2240" s="8634" t="s">
        <v>2182</v>
      </c>
      <c r="B2240" s="8634" t="s">
        <v>14</v>
      </c>
      <c r="C2240" s="8634" t="s">
        <v>4131</v>
      </c>
      <c r="D2240" s="8634" t="s">
        <v>4132</v>
      </c>
      <c r="E2240" s="8634" t="s">
        <v>4133</v>
      </c>
      <c r="F2240" s="8634" t="s">
        <v>3007</v>
      </c>
      <c r="G2240" s="8634" t="s">
        <v>4134</v>
      </c>
      <c r="H2240" s="8634" t="s">
        <v>2870</v>
      </c>
      <c r="I2240" s="8634" t="s">
        <v>768</v>
      </c>
    </row>
    <row customHeight="1" ht="11.25">
      <c r="A2241" s="8634" t="s">
        <v>2182</v>
      </c>
      <c r="B2241" s="8634" t="s">
        <v>14</v>
      </c>
      <c r="C2241" s="8634" t="s">
        <v>7022</v>
      </c>
      <c r="D2241" s="8634" t="s">
        <v>7023</v>
      </c>
      <c r="E2241" s="8634" t="s">
        <v>6512</v>
      </c>
      <c r="F2241" s="8634" t="s">
        <v>6402</v>
      </c>
      <c r="G2241" s="8634" t="s">
        <v>6514</v>
      </c>
      <c r="H2241" s="8634" t="s">
        <v>6515</v>
      </c>
      <c r="I2241" s="8634" t="s">
        <v>768</v>
      </c>
    </row>
    <row customHeight="1" ht="11.25">
      <c r="A2242" s="8634" t="s">
        <v>2182</v>
      </c>
      <c r="B2242" s="8634" t="s">
        <v>14</v>
      </c>
      <c r="C2242" s="8634" t="s">
        <v>7024</v>
      </c>
      <c r="D2242" s="8634" t="s">
        <v>7025</v>
      </c>
      <c r="E2242" s="8634" t="s">
        <v>6512</v>
      </c>
      <c r="F2242" s="8634" t="s">
        <v>2751</v>
      </c>
      <c r="G2242" s="8634" t="s">
        <v>6514</v>
      </c>
      <c r="H2242" s="8634" t="s">
        <v>6515</v>
      </c>
      <c r="I2242" s="8634" t="s">
        <v>768</v>
      </c>
    </row>
    <row customHeight="1" ht="11.25">
      <c r="A2243" s="8634" t="s">
        <v>2182</v>
      </c>
      <c r="B2243" s="8634" t="s">
        <v>14</v>
      </c>
      <c r="C2243" s="8634" t="s">
        <v>7026</v>
      </c>
      <c r="D2243" s="8634" t="s">
        <v>7027</v>
      </c>
      <c r="E2243" s="8634" t="s">
        <v>6512</v>
      </c>
      <c r="F2243" s="8634" t="s">
        <v>7028</v>
      </c>
      <c r="G2243" s="8634" t="s">
        <v>24</v>
      </c>
      <c r="H2243" s="8634" t="s">
        <v>6515</v>
      </c>
      <c r="I2243" s="8634" t="s">
        <v>768</v>
      </c>
    </row>
    <row customHeight="1" ht="11.25">
      <c r="A2244" s="8634" t="s">
        <v>2182</v>
      </c>
      <c r="B2244" s="8634" t="s">
        <v>14</v>
      </c>
      <c r="C2244" s="8634" t="s">
        <v>7029</v>
      </c>
      <c r="D2244" s="8634" t="s">
        <v>7030</v>
      </c>
      <c r="E2244" s="8634" t="s">
        <v>6512</v>
      </c>
      <c r="F2244" s="8634" t="s">
        <v>7031</v>
      </c>
      <c r="G2244" s="8634" t="s">
        <v>7032</v>
      </c>
      <c r="H2244" s="8634" t="s">
        <v>6515</v>
      </c>
      <c r="I2244" s="8634" t="s">
        <v>768</v>
      </c>
    </row>
    <row customHeight="1" ht="11.25">
      <c r="A2245" s="8634" t="s">
        <v>2182</v>
      </c>
      <c r="B2245" s="8634" t="s">
        <v>14</v>
      </c>
      <c r="C2245" s="8634" t="s">
        <v>4154</v>
      </c>
      <c r="D2245" s="8634" t="s">
        <v>4155</v>
      </c>
      <c r="E2245" s="8634" t="s">
        <v>4156</v>
      </c>
      <c r="F2245" s="8634" t="s">
        <v>2300</v>
      </c>
      <c r="G2245" s="8634" t="s">
        <v>4157</v>
      </c>
      <c r="H2245" s="8634" t="s">
        <v>24</v>
      </c>
      <c r="I2245" s="8634" t="s">
        <v>768</v>
      </c>
    </row>
    <row customHeight="1" ht="11.25">
      <c r="A2246" s="8634" t="s">
        <v>2182</v>
      </c>
      <c r="B2246" s="8634" t="s">
        <v>14</v>
      </c>
      <c r="C2246" s="8634" t="s">
        <v>4158</v>
      </c>
      <c r="D2246" s="8634" t="s">
        <v>4159</v>
      </c>
      <c r="E2246" s="8634" t="s">
        <v>4160</v>
      </c>
      <c r="F2246" s="8634" t="s">
        <v>2696</v>
      </c>
      <c r="G2246" s="8634" t="s">
        <v>24</v>
      </c>
      <c r="H2246" s="8634" t="s">
        <v>2993</v>
      </c>
      <c r="I2246" s="8634" t="s">
        <v>768</v>
      </c>
    </row>
    <row customHeight="1" ht="11.25">
      <c r="A2247" s="8634" t="s">
        <v>2182</v>
      </c>
      <c r="B2247" s="8634" t="s">
        <v>14</v>
      </c>
      <c r="C2247" s="8634" t="s">
        <v>4161</v>
      </c>
      <c r="D2247" s="8634" t="s">
        <v>4162</v>
      </c>
      <c r="E2247" s="8634" t="s">
        <v>4163</v>
      </c>
      <c r="F2247" s="8634" t="s">
        <v>2186</v>
      </c>
      <c r="G2247" s="8634" t="s">
        <v>4164</v>
      </c>
      <c r="H2247" s="8634" t="s">
        <v>24</v>
      </c>
      <c r="I2247" s="8634" t="s">
        <v>768</v>
      </c>
    </row>
    <row customHeight="1" ht="11.25">
      <c r="A2248" s="8634" t="s">
        <v>2182</v>
      </c>
      <c r="B2248" s="8634" t="s">
        <v>14</v>
      </c>
      <c r="C2248" s="8634" t="s">
        <v>7033</v>
      </c>
      <c r="D2248" s="8634" t="s">
        <v>7034</v>
      </c>
      <c r="E2248" s="8634" t="s">
        <v>7035</v>
      </c>
      <c r="F2248" s="8634" t="s">
        <v>2213</v>
      </c>
      <c r="G2248" s="8634" t="s">
        <v>24</v>
      </c>
      <c r="H2248" s="8634" t="s">
        <v>24</v>
      </c>
      <c r="I2248" s="8634" t="s">
        <v>768</v>
      </c>
    </row>
    <row customHeight="1" ht="11.25">
      <c r="A2249" s="8634" t="s">
        <v>2182</v>
      </c>
      <c r="B2249" s="8634" t="s">
        <v>14</v>
      </c>
      <c r="C2249" s="8634" t="s">
        <v>7036</v>
      </c>
      <c r="D2249" s="8634" t="s">
        <v>7037</v>
      </c>
      <c r="E2249" s="8634" t="s">
        <v>7038</v>
      </c>
      <c r="F2249" s="8634" t="s">
        <v>2438</v>
      </c>
      <c r="G2249" s="8634" t="s">
        <v>24</v>
      </c>
      <c r="H2249" s="8634" t="s">
        <v>24</v>
      </c>
      <c r="I2249" s="8634" t="s">
        <v>768</v>
      </c>
    </row>
    <row customHeight="1" ht="11.25">
      <c r="A2250" s="8634" t="s">
        <v>2182</v>
      </c>
      <c r="B2250" s="8634" t="s">
        <v>14</v>
      </c>
      <c r="C2250" s="8634" t="s">
        <v>7039</v>
      </c>
      <c r="D2250" s="8634" t="s">
        <v>7040</v>
      </c>
      <c r="E2250" s="8634" t="s">
        <v>7041</v>
      </c>
      <c r="F2250" s="8634" t="s">
        <v>2228</v>
      </c>
      <c r="G2250" s="8634" t="s">
        <v>24</v>
      </c>
      <c r="H2250" s="8634" t="s">
        <v>24</v>
      </c>
      <c r="I2250" s="8634" t="s">
        <v>768</v>
      </c>
    </row>
    <row customHeight="1" ht="11.25">
      <c r="A2251" s="8634" t="s">
        <v>2182</v>
      </c>
      <c r="B2251" s="8634" t="s">
        <v>14</v>
      </c>
      <c r="C2251" s="8634" t="s">
        <v>7042</v>
      </c>
      <c r="D2251" s="8634" t="s">
        <v>7043</v>
      </c>
      <c r="E2251" s="8634" t="s">
        <v>7044</v>
      </c>
      <c r="F2251" s="8634" t="s">
        <v>2269</v>
      </c>
      <c r="G2251" s="8634" t="s">
        <v>24</v>
      </c>
      <c r="H2251" s="8634" t="s">
        <v>24</v>
      </c>
      <c r="I2251" s="8634" t="s">
        <v>768</v>
      </c>
    </row>
    <row customHeight="1" ht="11.25">
      <c r="A2252" s="8634" t="s">
        <v>2182</v>
      </c>
      <c r="B2252" s="8634" t="s">
        <v>14</v>
      </c>
      <c r="C2252" s="8634" t="s">
        <v>7045</v>
      </c>
      <c r="D2252" s="8634" t="s">
        <v>7046</v>
      </c>
      <c r="E2252" s="8634" t="s">
        <v>7047</v>
      </c>
      <c r="F2252" s="8634" t="s">
        <v>2600</v>
      </c>
      <c r="G2252" s="8634" t="s">
        <v>24</v>
      </c>
      <c r="H2252" s="8634" t="s">
        <v>24</v>
      </c>
      <c r="I2252" s="8634" t="s">
        <v>768</v>
      </c>
    </row>
    <row customHeight="1" ht="11.25">
      <c r="A2253" s="8634" t="s">
        <v>2182</v>
      </c>
      <c r="B2253" s="8634" t="s">
        <v>14</v>
      </c>
      <c r="C2253" s="8634" t="s">
        <v>4190</v>
      </c>
      <c r="D2253" s="8634" t="s">
        <v>4191</v>
      </c>
      <c r="E2253" s="8634" t="s">
        <v>4192</v>
      </c>
      <c r="F2253" s="8634" t="s">
        <v>2269</v>
      </c>
      <c r="G2253" s="8634" t="s">
        <v>24</v>
      </c>
      <c r="H2253" s="8634" t="s">
        <v>2187</v>
      </c>
      <c r="I2253" s="8634" t="s">
        <v>768</v>
      </c>
    </row>
    <row customHeight="1" ht="11.25">
      <c r="A2254" s="8634" t="s">
        <v>2182</v>
      </c>
      <c r="B2254" s="8634" t="s">
        <v>14</v>
      </c>
      <c r="C2254" s="8634" t="s">
        <v>7048</v>
      </c>
      <c r="D2254" s="8634" t="s">
        <v>7049</v>
      </c>
      <c r="E2254" s="8634" t="s">
        <v>7050</v>
      </c>
      <c r="F2254" s="8634" t="s">
        <v>4717</v>
      </c>
      <c r="G2254" s="8634" t="s">
        <v>24</v>
      </c>
      <c r="H2254" s="8634" t="s">
        <v>24</v>
      </c>
      <c r="I2254" s="8634" t="s">
        <v>768</v>
      </c>
    </row>
    <row customHeight="1" ht="11.25">
      <c r="A2255" s="8634" t="s">
        <v>2182</v>
      </c>
      <c r="B2255" s="8634" t="s">
        <v>14</v>
      </c>
      <c r="C2255" s="8634" t="s">
        <v>7051</v>
      </c>
      <c r="D2255" s="8634" t="s">
        <v>7052</v>
      </c>
      <c r="E2255" s="8634" t="s">
        <v>7053</v>
      </c>
      <c r="F2255" s="8634" t="s">
        <v>2563</v>
      </c>
      <c r="G2255" s="8634" t="s">
        <v>24</v>
      </c>
      <c r="H2255" s="8634" t="s">
        <v>24</v>
      </c>
      <c r="I2255" s="8634" t="s">
        <v>768</v>
      </c>
    </row>
    <row customHeight="1" ht="11.25">
      <c r="A2256" s="8634" t="s">
        <v>2182</v>
      </c>
      <c r="B2256" s="8634" t="s">
        <v>14</v>
      </c>
      <c r="C2256" s="8634" t="s">
        <v>7054</v>
      </c>
      <c r="D2256" s="8634" t="s">
        <v>7055</v>
      </c>
      <c r="E2256" s="8634" t="s">
        <v>7056</v>
      </c>
      <c r="F2256" s="8634" t="s">
        <v>2269</v>
      </c>
      <c r="G2256" s="8634" t="s">
        <v>24</v>
      </c>
      <c r="H2256" s="8634" t="s">
        <v>24</v>
      </c>
      <c r="I2256" s="8634" t="s">
        <v>768</v>
      </c>
    </row>
    <row customHeight="1" ht="11.25">
      <c r="A2257" s="8634" t="s">
        <v>2182</v>
      </c>
      <c r="B2257" s="8634" t="s">
        <v>14</v>
      </c>
      <c r="C2257" s="8634" t="s">
        <v>7057</v>
      </c>
      <c r="D2257" s="8634" t="s">
        <v>7058</v>
      </c>
      <c r="E2257" s="8634" t="s">
        <v>6512</v>
      </c>
      <c r="F2257" s="8634" t="s">
        <v>5584</v>
      </c>
      <c r="G2257" s="8634" t="s">
        <v>7059</v>
      </c>
      <c r="H2257" s="8634" t="s">
        <v>6515</v>
      </c>
      <c r="I2257" s="8634" t="s">
        <v>768</v>
      </c>
    </row>
    <row customHeight="1" ht="11.25">
      <c r="A2258" s="8634" t="s">
        <v>2182</v>
      </c>
      <c r="B2258" s="8634" t="s">
        <v>14</v>
      </c>
      <c r="C2258" s="8634" t="s">
        <v>7060</v>
      </c>
      <c r="D2258" s="8634" t="s">
        <v>7061</v>
      </c>
      <c r="E2258" s="8634" t="s">
        <v>6512</v>
      </c>
      <c r="F2258" s="8634" t="s">
        <v>7062</v>
      </c>
      <c r="G2258" s="8634" t="s">
        <v>6514</v>
      </c>
      <c r="H2258" s="8634" t="s">
        <v>6515</v>
      </c>
      <c r="I2258" s="8634" t="s">
        <v>768</v>
      </c>
    </row>
    <row customHeight="1" ht="11.25">
      <c r="A2259" s="8634" t="s">
        <v>2182</v>
      </c>
      <c r="B2259" s="8634" t="s">
        <v>14</v>
      </c>
      <c r="C2259" s="8634" t="s">
        <v>4228</v>
      </c>
      <c r="D2259" s="8634" t="s">
        <v>4229</v>
      </c>
      <c r="E2259" s="8634" t="s">
        <v>4230</v>
      </c>
      <c r="F2259" s="8634" t="s">
        <v>2213</v>
      </c>
      <c r="G2259" s="8634" t="s">
        <v>24</v>
      </c>
      <c r="H2259" s="8634" t="s">
        <v>2187</v>
      </c>
      <c r="I2259" s="8634" t="s">
        <v>768</v>
      </c>
    </row>
    <row customHeight="1" ht="11.25">
      <c r="A2260" s="8634" t="s">
        <v>2182</v>
      </c>
      <c r="B2260" s="8634" t="s">
        <v>14</v>
      </c>
      <c r="C2260" s="8634" t="s">
        <v>4231</v>
      </c>
      <c r="D2260" s="8634" t="s">
        <v>4232</v>
      </c>
      <c r="E2260" s="8634" t="s">
        <v>3956</v>
      </c>
      <c r="F2260" s="8634" t="s">
        <v>2438</v>
      </c>
      <c r="G2260" s="8634" t="s">
        <v>24</v>
      </c>
      <c r="H2260" s="8634" t="s">
        <v>24</v>
      </c>
      <c r="I2260" s="8634" t="s">
        <v>768</v>
      </c>
    </row>
    <row customHeight="1" ht="11.25">
      <c r="A2261" s="8634" t="s">
        <v>2182</v>
      </c>
      <c r="B2261" s="8634" t="s">
        <v>14</v>
      </c>
      <c r="C2261" s="8634" t="s">
        <v>4233</v>
      </c>
      <c r="D2261" s="8634" t="s">
        <v>4234</v>
      </c>
      <c r="E2261" s="8634" t="s">
        <v>4235</v>
      </c>
      <c r="F2261" s="8634" t="s">
        <v>2339</v>
      </c>
      <c r="G2261" s="8634" t="s">
        <v>24</v>
      </c>
      <c r="H2261" s="8634" t="s">
        <v>2187</v>
      </c>
      <c r="I2261" s="8634" t="s">
        <v>768</v>
      </c>
    </row>
    <row customHeight="1" ht="11.25">
      <c r="A2262" s="8634" t="s">
        <v>2182</v>
      </c>
      <c r="B2262" s="8634" t="s">
        <v>14</v>
      </c>
      <c r="C2262" s="8634" t="s">
        <v>4239</v>
      </c>
      <c r="D2262" s="8634" t="s">
        <v>4240</v>
      </c>
      <c r="E2262" s="8634" t="s">
        <v>4241</v>
      </c>
      <c r="F2262" s="8634" t="s">
        <v>2213</v>
      </c>
      <c r="G2262" s="8634" t="s">
        <v>24</v>
      </c>
      <c r="H2262" s="8634" t="s">
        <v>2187</v>
      </c>
      <c r="I2262" s="8634" t="s">
        <v>768</v>
      </c>
    </row>
    <row customHeight="1" ht="11.25">
      <c r="A2263" s="8634" t="s">
        <v>2182</v>
      </c>
      <c r="B2263" s="8634" t="s">
        <v>14</v>
      </c>
      <c r="C2263" s="8634" t="s">
        <v>4242</v>
      </c>
      <c r="D2263" s="8634" t="s">
        <v>4243</v>
      </c>
      <c r="E2263" s="8634" t="s">
        <v>4244</v>
      </c>
      <c r="F2263" s="8634" t="s">
        <v>2213</v>
      </c>
      <c r="G2263" s="8634" t="s">
        <v>24</v>
      </c>
      <c r="H2263" s="8634" t="s">
        <v>2187</v>
      </c>
      <c r="I2263" s="8634" t="s">
        <v>768</v>
      </c>
    </row>
    <row customHeight="1" ht="11.25">
      <c r="A2264" s="8634" t="s">
        <v>2182</v>
      </c>
      <c r="B2264" s="8634" t="s">
        <v>14</v>
      </c>
      <c r="C2264" s="8634" t="s">
        <v>4248</v>
      </c>
      <c r="D2264" s="8634" t="s">
        <v>4249</v>
      </c>
      <c r="E2264" s="8634" t="s">
        <v>4250</v>
      </c>
      <c r="F2264" s="8634" t="s">
        <v>2854</v>
      </c>
      <c r="G2264" s="8634" t="s">
        <v>24</v>
      </c>
      <c r="H2264" s="8634" t="s">
        <v>2187</v>
      </c>
      <c r="I2264" s="8634" t="s">
        <v>768</v>
      </c>
    </row>
    <row customHeight="1" ht="11.25">
      <c r="A2265" s="8634" t="s">
        <v>2182</v>
      </c>
      <c r="B2265" s="8634" t="s">
        <v>14</v>
      </c>
      <c r="C2265" s="8634" t="s">
        <v>7063</v>
      </c>
      <c r="D2265" s="8634" t="s">
        <v>7064</v>
      </c>
      <c r="E2265" s="8634" t="s">
        <v>7065</v>
      </c>
      <c r="F2265" s="8634" t="s">
        <v>2349</v>
      </c>
      <c r="G2265" s="8634" t="s">
        <v>24</v>
      </c>
      <c r="H2265" s="8634" t="s">
        <v>24</v>
      </c>
      <c r="I2265" s="8634" t="s">
        <v>768</v>
      </c>
    </row>
    <row customHeight="1" ht="11.25">
      <c r="A2266" s="8634" t="s">
        <v>2182</v>
      </c>
      <c r="B2266" s="8634" t="s">
        <v>14</v>
      </c>
      <c r="C2266" s="8634" t="s">
        <v>6329</v>
      </c>
      <c r="D2266" s="8634" t="s">
        <v>6330</v>
      </c>
      <c r="E2266" s="8634" t="s">
        <v>6331</v>
      </c>
      <c r="F2266" s="8634" t="s">
        <v>2228</v>
      </c>
      <c r="G2266" s="8634" t="s">
        <v>24</v>
      </c>
      <c r="H2266" s="8634" t="s">
        <v>2187</v>
      </c>
      <c r="I2266" s="8634" t="s">
        <v>768</v>
      </c>
    </row>
    <row customHeight="1" ht="11.25">
      <c r="A2267" s="8634" t="s">
        <v>2182</v>
      </c>
      <c r="B2267" s="8634" t="s">
        <v>14</v>
      </c>
      <c r="C2267" s="8634" t="s">
        <v>4260</v>
      </c>
      <c r="D2267" s="8634" t="s">
        <v>4261</v>
      </c>
      <c r="E2267" s="8634" t="s">
        <v>4262</v>
      </c>
      <c r="F2267" s="8634" t="s">
        <v>2213</v>
      </c>
      <c r="G2267" s="8634" t="s">
        <v>4263</v>
      </c>
      <c r="H2267" s="8634" t="s">
        <v>24</v>
      </c>
      <c r="I2267" s="8634" t="s">
        <v>768</v>
      </c>
    </row>
    <row customHeight="1" ht="11.25">
      <c r="A2268" s="8634" t="s">
        <v>2182</v>
      </c>
      <c r="B2268" s="8634" t="s">
        <v>14</v>
      </c>
      <c r="C2268" s="8634" t="s">
        <v>4267</v>
      </c>
      <c r="D2268" s="8634" t="s">
        <v>4268</v>
      </c>
      <c r="E2268" s="8634" t="s">
        <v>4269</v>
      </c>
      <c r="F2268" s="8634" t="s">
        <v>2492</v>
      </c>
      <c r="G2268" s="8634" t="s">
        <v>2555</v>
      </c>
      <c r="H2268" s="8634" t="s">
        <v>24</v>
      </c>
      <c r="I2268" s="8634" t="s">
        <v>768</v>
      </c>
    </row>
    <row customHeight="1" ht="11.25">
      <c r="A2269" s="8634" t="s">
        <v>2182</v>
      </c>
      <c r="B2269" s="8634" t="s">
        <v>14</v>
      </c>
      <c r="C2269" s="8634" t="s">
        <v>4270</v>
      </c>
      <c r="D2269" s="8634" t="s">
        <v>4271</v>
      </c>
      <c r="E2269" s="8634" t="s">
        <v>4272</v>
      </c>
      <c r="F2269" s="8634" t="s">
        <v>2751</v>
      </c>
      <c r="G2269" s="8634" t="s">
        <v>4273</v>
      </c>
      <c r="H2269" s="8634" t="s">
        <v>24</v>
      </c>
      <c r="I2269" s="8634" t="s">
        <v>768</v>
      </c>
    </row>
    <row customHeight="1" ht="11.25">
      <c r="A2270" s="8634" t="s">
        <v>2182</v>
      </c>
      <c r="B2270" s="8634" t="s">
        <v>14</v>
      </c>
      <c r="C2270" s="8634" t="s">
        <v>4278</v>
      </c>
      <c r="D2270" s="8634" t="s">
        <v>4279</v>
      </c>
      <c r="E2270" s="8634" t="s">
        <v>4280</v>
      </c>
      <c r="F2270" s="8634" t="s">
        <v>2245</v>
      </c>
      <c r="G2270" s="8634" t="s">
        <v>4281</v>
      </c>
      <c r="H2270" s="8634" t="s">
        <v>4282</v>
      </c>
      <c r="I2270" s="8634" t="s">
        <v>768</v>
      </c>
    </row>
    <row customHeight="1" ht="11.25">
      <c r="A2271" s="8634" t="s">
        <v>2182</v>
      </c>
      <c r="B2271" s="8634" t="s">
        <v>14</v>
      </c>
      <c r="C2271" s="8634" t="s">
        <v>4283</v>
      </c>
      <c r="D2271" s="8634" t="s">
        <v>4279</v>
      </c>
      <c r="E2271" s="8634" t="s">
        <v>4284</v>
      </c>
      <c r="F2271" s="8634" t="s">
        <v>2245</v>
      </c>
      <c r="G2271" s="8634" t="s">
        <v>4285</v>
      </c>
      <c r="H2271" s="8634" t="s">
        <v>24</v>
      </c>
      <c r="I2271" s="8634" t="s">
        <v>768</v>
      </c>
    </row>
    <row customHeight="1" ht="11.25">
      <c r="A2272" s="8634" t="s">
        <v>2182</v>
      </c>
      <c r="B2272" s="8634" t="s">
        <v>14</v>
      </c>
      <c r="C2272" s="8634" t="s">
        <v>6332</v>
      </c>
      <c r="D2272" s="8634" t="s">
        <v>6333</v>
      </c>
      <c r="E2272" s="8634" t="s">
        <v>6334</v>
      </c>
      <c r="F2272" s="8634" t="s">
        <v>4645</v>
      </c>
      <c r="G2272" s="8634" t="s">
        <v>6335</v>
      </c>
      <c r="H2272" s="8634" t="s">
        <v>24</v>
      </c>
      <c r="I2272" s="8634" t="s">
        <v>768</v>
      </c>
    </row>
    <row customHeight="1" ht="11.25">
      <c r="A2273" s="8634" t="s">
        <v>2182</v>
      </c>
      <c r="B2273" s="8634" t="s">
        <v>14</v>
      </c>
      <c r="C2273" s="8634" t="s">
        <v>7066</v>
      </c>
      <c r="D2273" s="8634" t="s">
        <v>7067</v>
      </c>
      <c r="E2273" s="8634" t="s">
        <v>7068</v>
      </c>
      <c r="F2273" s="8634" t="s">
        <v>2334</v>
      </c>
      <c r="G2273" s="8634" t="s">
        <v>24</v>
      </c>
      <c r="H2273" s="8634" t="s">
        <v>24</v>
      </c>
      <c r="I2273" s="8634" t="s">
        <v>768</v>
      </c>
    </row>
    <row customHeight="1" ht="11.25">
      <c r="A2274" s="8634" t="s">
        <v>2182</v>
      </c>
      <c r="B2274" s="8634" t="s">
        <v>14</v>
      </c>
      <c r="C2274" s="8634" t="s">
        <v>7069</v>
      </c>
      <c r="D2274" s="8634" t="s">
        <v>7070</v>
      </c>
      <c r="E2274" s="8634" t="s">
        <v>7071</v>
      </c>
      <c r="F2274" s="8634" t="s">
        <v>2339</v>
      </c>
      <c r="G2274" s="8634" t="s">
        <v>24</v>
      </c>
      <c r="H2274" s="8634" t="s">
        <v>24</v>
      </c>
      <c r="I2274" s="8634" t="s">
        <v>768</v>
      </c>
    </row>
    <row customHeight="1" ht="11.25">
      <c r="A2275" s="8634" t="s">
        <v>2182</v>
      </c>
      <c r="B2275" s="8634" t="s">
        <v>14</v>
      </c>
      <c r="C2275" s="8634" t="s">
        <v>7072</v>
      </c>
      <c r="D2275" s="8634" t="s">
        <v>7073</v>
      </c>
      <c r="E2275" s="8634" t="s">
        <v>7074</v>
      </c>
      <c r="F2275" s="8634" t="s">
        <v>2721</v>
      </c>
      <c r="G2275" s="8634" t="s">
        <v>7075</v>
      </c>
      <c r="H2275" s="8634" t="s">
        <v>24</v>
      </c>
      <c r="I2275" s="8634" t="s">
        <v>768</v>
      </c>
    </row>
    <row customHeight="1" ht="11.25">
      <c r="A2276" s="8634" t="s">
        <v>2182</v>
      </c>
      <c r="B2276" s="8634" t="s">
        <v>14</v>
      </c>
      <c r="C2276" s="8634" t="s">
        <v>4298</v>
      </c>
      <c r="D2276" s="8634" t="s">
        <v>4299</v>
      </c>
      <c r="E2276" s="8634" t="s">
        <v>4300</v>
      </c>
      <c r="F2276" s="8634" t="s">
        <v>2492</v>
      </c>
      <c r="G2276" s="8634" t="s">
        <v>4301</v>
      </c>
      <c r="H2276" s="8634" t="s">
        <v>24</v>
      </c>
      <c r="I2276" s="8634" t="s">
        <v>768</v>
      </c>
    </row>
    <row customHeight="1" ht="11.25">
      <c r="A2277" s="8634" t="s">
        <v>2182</v>
      </c>
      <c r="B2277" s="8634" t="s">
        <v>14</v>
      </c>
      <c r="C2277" s="8634" t="s">
        <v>7076</v>
      </c>
      <c r="D2277" s="8634" t="s">
        <v>7077</v>
      </c>
      <c r="E2277" s="8634" t="s">
        <v>7078</v>
      </c>
      <c r="F2277" s="8634" t="s">
        <v>4150</v>
      </c>
      <c r="G2277" s="8634" t="s">
        <v>24</v>
      </c>
      <c r="H2277" s="8634" t="s">
        <v>2187</v>
      </c>
      <c r="I2277" s="8634" t="s">
        <v>768</v>
      </c>
    </row>
    <row customHeight="1" ht="11.25">
      <c r="A2278" s="8634" t="s">
        <v>2182</v>
      </c>
      <c r="B2278" s="8634" t="s">
        <v>14</v>
      </c>
      <c r="C2278" s="8634" t="s">
        <v>7079</v>
      </c>
      <c r="D2278" s="8634" t="s">
        <v>7077</v>
      </c>
      <c r="E2278" s="8634" t="s">
        <v>7078</v>
      </c>
      <c r="F2278" s="8634" t="s">
        <v>2832</v>
      </c>
      <c r="G2278" s="8634" t="s">
        <v>24</v>
      </c>
      <c r="H2278" s="8634" t="s">
        <v>24</v>
      </c>
      <c r="I2278" s="8634" t="s">
        <v>768</v>
      </c>
    </row>
    <row customHeight="1" ht="11.25">
      <c r="A2279" s="8634" t="s">
        <v>2182</v>
      </c>
      <c r="B2279" s="8634" t="s">
        <v>14</v>
      </c>
      <c r="C2279" s="8634" t="s">
        <v>7080</v>
      </c>
      <c r="D2279" s="8634" t="s">
        <v>7081</v>
      </c>
      <c r="E2279" s="8634" t="s">
        <v>7082</v>
      </c>
      <c r="F2279" s="8634" t="s">
        <v>2334</v>
      </c>
      <c r="G2279" s="8634" t="s">
        <v>7083</v>
      </c>
      <c r="H2279" s="8634" t="s">
        <v>24</v>
      </c>
      <c r="I2279" s="8634" t="s">
        <v>768</v>
      </c>
    </row>
    <row customHeight="1" ht="11.25">
      <c r="A2280" s="8634" t="s">
        <v>2182</v>
      </c>
      <c r="B2280" s="8634" t="s">
        <v>14</v>
      </c>
      <c r="C2280" s="8634" t="s">
        <v>7084</v>
      </c>
      <c r="D2280" s="8634" t="s">
        <v>7085</v>
      </c>
      <c r="E2280" s="8634" t="s">
        <v>7086</v>
      </c>
      <c r="F2280" s="8634" t="s">
        <v>2213</v>
      </c>
      <c r="G2280" s="8634" t="s">
        <v>7087</v>
      </c>
      <c r="H2280" s="8634" t="s">
        <v>24</v>
      </c>
      <c r="I2280" s="8634" t="s">
        <v>768</v>
      </c>
    </row>
    <row customHeight="1" ht="11.25">
      <c r="A2281" s="8634" t="s">
        <v>2182</v>
      </c>
      <c r="B2281" s="8634" t="s">
        <v>14</v>
      </c>
      <c r="C2281" s="8634" t="s">
        <v>7088</v>
      </c>
      <c r="D2281" s="8634" t="s">
        <v>7089</v>
      </c>
      <c r="E2281" s="8634" t="s">
        <v>7090</v>
      </c>
      <c r="F2281" s="8634" t="s">
        <v>4764</v>
      </c>
      <c r="G2281" s="8634" t="s">
        <v>7091</v>
      </c>
      <c r="H2281" s="8634" t="s">
        <v>7092</v>
      </c>
      <c r="I2281" s="8634" t="s">
        <v>768</v>
      </c>
    </row>
    <row customHeight="1" ht="11.25">
      <c r="A2282" s="8634" t="s">
        <v>2182</v>
      </c>
      <c r="B2282" s="8634" t="s">
        <v>14</v>
      </c>
      <c r="C2282" s="8634" t="s">
        <v>7093</v>
      </c>
      <c r="D2282" s="8634" t="s">
        <v>7094</v>
      </c>
      <c r="E2282" s="8634" t="s">
        <v>7095</v>
      </c>
      <c r="F2282" s="8634" t="s">
        <v>2322</v>
      </c>
      <c r="G2282" s="8634" t="s">
        <v>7096</v>
      </c>
      <c r="H2282" s="8634" t="s">
        <v>24</v>
      </c>
      <c r="I2282" s="8634" t="s">
        <v>768</v>
      </c>
    </row>
    <row customHeight="1" ht="11.25">
      <c r="A2283" s="8634" t="s">
        <v>2182</v>
      </c>
      <c r="B2283" s="8634" t="s">
        <v>14</v>
      </c>
      <c r="C2283" s="8634" t="s">
        <v>4305</v>
      </c>
      <c r="D2283" s="8634" t="s">
        <v>4306</v>
      </c>
      <c r="E2283" s="8634" t="s">
        <v>4307</v>
      </c>
      <c r="F2283" s="8634" t="s">
        <v>2218</v>
      </c>
      <c r="G2283" s="8634" t="s">
        <v>4308</v>
      </c>
      <c r="H2283" s="8634" t="s">
        <v>24</v>
      </c>
      <c r="I2283" s="8634" t="s">
        <v>768</v>
      </c>
    </row>
    <row customHeight="1" ht="11.25">
      <c r="A2284" s="8634" t="s">
        <v>2182</v>
      </c>
      <c r="B2284" s="8634" t="s">
        <v>14</v>
      </c>
      <c r="C2284" s="8634" t="s">
        <v>7097</v>
      </c>
      <c r="D2284" s="8634" t="s">
        <v>4317</v>
      </c>
      <c r="E2284" s="8634" t="s">
        <v>7098</v>
      </c>
      <c r="F2284" s="8634" t="s">
        <v>2250</v>
      </c>
      <c r="G2284" s="8634" t="s">
        <v>24</v>
      </c>
      <c r="H2284" s="8634" t="s">
        <v>7099</v>
      </c>
      <c r="I2284" s="8634" t="s">
        <v>768</v>
      </c>
    </row>
    <row customHeight="1" ht="11.25">
      <c r="A2285" s="8634" t="s">
        <v>2182</v>
      </c>
      <c r="B2285" s="8634" t="s">
        <v>14</v>
      </c>
      <c r="C2285" s="8634" t="s">
        <v>4320</v>
      </c>
      <c r="D2285" s="8634" t="s">
        <v>4321</v>
      </c>
      <c r="E2285" s="8634" t="s">
        <v>4322</v>
      </c>
      <c r="F2285" s="8634" t="s">
        <v>2245</v>
      </c>
      <c r="G2285" s="8634" t="s">
        <v>24</v>
      </c>
      <c r="H2285" s="8634" t="s">
        <v>24</v>
      </c>
      <c r="I2285" s="8634" t="s">
        <v>768</v>
      </c>
    </row>
    <row customHeight="1" ht="11.25">
      <c r="A2286" s="8634" t="s">
        <v>2182</v>
      </c>
      <c r="B2286" s="8634" t="s">
        <v>14</v>
      </c>
      <c r="C2286" s="8634" t="s">
        <v>7100</v>
      </c>
      <c r="D2286" s="8634" t="s">
        <v>7101</v>
      </c>
      <c r="E2286" s="8634" t="s">
        <v>7102</v>
      </c>
      <c r="F2286" s="8634" t="s">
        <v>2218</v>
      </c>
      <c r="G2286" s="8634" t="s">
        <v>24</v>
      </c>
      <c r="H2286" s="8634" t="s">
        <v>2773</v>
      </c>
      <c r="I2286" s="8634" t="s">
        <v>768</v>
      </c>
    </row>
    <row customHeight="1" ht="11.25">
      <c r="A2287" s="8634" t="s">
        <v>2182</v>
      </c>
      <c r="B2287" s="8634" t="s">
        <v>14</v>
      </c>
      <c r="C2287" s="8634" t="s">
        <v>7103</v>
      </c>
      <c r="D2287" s="8634" t="s">
        <v>7104</v>
      </c>
      <c r="E2287" s="8634" t="s">
        <v>7105</v>
      </c>
      <c r="F2287" s="8634" t="s">
        <v>2213</v>
      </c>
      <c r="G2287" s="8634" t="s">
        <v>24</v>
      </c>
      <c r="H2287" s="8634" t="s">
        <v>2187</v>
      </c>
      <c r="I2287" s="8634" t="s">
        <v>768</v>
      </c>
    </row>
    <row customHeight="1" ht="11.25">
      <c r="A2288" s="8634" t="s">
        <v>2182</v>
      </c>
      <c r="B2288" s="8634" t="s">
        <v>14</v>
      </c>
      <c r="C2288" s="8634" t="s">
        <v>7106</v>
      </c>
      <c r="D2288" s="8634" t="s">
        <v>7107</v>
      </c>
      <c r="E2288" s="8634" t="s">
        <v>7108</v>
      </c>
      <c r="F2288" s="8634" t="s">
        <v>2976</v>
      </c>
      <c r="G2288" s="8634" t="s">
        <v>24</v>
      </c>
      <c r="H2288" s="8634" t="s">
        <v>2187</v>
      </c>
      <c r="I2288" s="8634" t="s">
        <v>768</v>
      </c>
    </row>
    <row customHeight="1" ht="11.25">
      <c r="A2289" s="8634" t="s">
        <v>2182</v>
      </c>
      <c r="B2289" s="8634" t="s">
        <v>14</v>
      </c>
      <c r="C2289" s="8634" t="s">
        <v>7109</v>
      </c>
      <c r="D2289" s="8634" t="s">
        <v>7110</v>
      </c>
      <c r="E2289" s="8634" t="s">
        <v>7111</v>
      </c>
      <c r="F2289" s="8634" t="s">
        <v>2218</v>
      </c>
      <c r="G2289" s="8634" t="s">
        <v>7112</v>
      </c>
      <c r="H2289" s="8634" t="s">
        <v>24</v>
      </c>
      <c r="I2289" s="8634" t="s">
        <v>768</v>
      </c>
    </row>
    <row customHeight="1" ht="11.25">
      <c r="A2290" s="8634" t="s">
        <v>2182</v>
      </c>
      <c r="B2290" s="8634" t="s">
        <v>14</v>
      </c>
      <c r="C2290" s="8634" t="s">
        <v>4326</v>
      </c>
      <c r="D2290" s="8634" t="s">
        <v>4327</v>
      </c>
      <c r="E2290" s="8634" t="s">
        <v>4328</v>
      </c>
      <c r="F2290" s="8634" t="s">
        <v>2233</v>
      </c>
      <c r="G2290" s="8634" t="s">
        <v>2368</v>
      </c>
      <c r="H2290" s="8634" t="s">
        <v>24</v>
      </c>
      <c r="I2290" s="8634" t="s">
        <v>768</v>
      </c>
    </row>
    <row customHeight="1" ht="11.25">
      <c r="A2291" s="8634" t="s">
        <v>2182</v>
      </c>
      <c r="B2291" s="8634" t="s">
        <v>14</v>
      </c>
      <c r="C2291" s="8634" t="s">
        <v>4331</v>
      </c>
      <c r="D2291" s="8634" t="s">
        <v>4327</v>
      </c>
      <c r="E2291" s="8634" t="s">
        <v>4330</v>
      </c>
      <c r="F2291" s="8634" t="s">
        <v>4332</v>
      </c>
      <c r="G2291" s="8634" t="s">
        <v>4333</v>
      </c>
      <c r="H2291" s="8634" t="s">
        <v>24</v>
      </c>
      <c r="I2291" s="8634" t="s">
        <v>768</v>
      </c>
    </row>
    <row customHeight="1" ht="11.25">
      <c r="A2292" s="8634" t="s">
        <v>2182</v>
      </c>
      <c r="B2292" s="8634" t="s">
        <v>14</v>
      </c>
      <c r="C2292" s="8634" t="s">
        <v>4342</v>
      </c>
      <c r="D2292" s="8634" t="s">
        <v>4343</v>
      </c>
      <c r="E2292" s="8634" t="s">
        <v>4344</v>
      </c>
      <c r="F2292" s="8634" t="s">
        <v>2250</v>
      </c>
      <c r="G2292" s="8634" t="s">
        <v>4345</v>
      </c>
      <c r="H2292" s="8634" t="s">
        <v>24</v>
      </c>
      <c r="I2292" s="8634" t="s">
        <v>768</v>
      </c>
    </row>
    <row customHeight="1" ht="11.25">
      <c r="A2293" s="8634" t="s">
        <v>2182</v>
      </c>
      <c r="B2293" s="8634" t="s">
        <v>14</v>
      </c>
      <c r="C2293" s="8634" t="s">
        <v>4346</v>
      </c>
      <c r="D2293" s="8634" t="s">
        <v>4347</v>
      </c>
      <c r="E2293" s="8634" t="s">
        <v>4348</v>
      </c>
      <c r="F2293" s="8634" t="s">
        <v>2213</v>
      </c>
      <c r="G2293" s="8634" t="s">
        <v>24</v>
      </c>
      <c r="H2293" s="8634" t="s">
        <v>24</v>
      </c>
      <c r="I2293" s="8634" t="s">
        <v>768</v>
      </c>
    </row>
    <row customHeight="1" ht="11.25">
      <c r="A2294" s="8634" t="s">
        <v>2182</v>
      </c>
      <c r="B2294" s="8634" t="s">
        <v>14</v>
      </c>
      <c r="C2294" s="8634" t="s">
        <v>7113</v>
      </c>
      <c r="D2294" s="8634" t="s">
        <v>7114</v>
      </c>
      <c r="E2294" s="8634" t="s">
        <v>7115</v>
      </c>
      <c r="F2294" s="8634" t="s">
        <v>2233</v>
      </c>
      <c r="G2294" s="8634" t="s">
        <v>24</v>
      </c>
      <c r="H2294" s="8634" t="s">
        <v>7116</v>
      </c>
      <c r="I2294" s="8634" t="s">
        <v>768</v>
      </c>
    </row>
    <row customHeight="1" ht="11.25">
      <c r="A2295" s="8634" t="s">
        <v>2182</v>
      </c>
      <c r="B2295" s="8634" t="s">
        <v>14</v>
      </c>
      <c r="C2295" s="8634" t="s">
        <v>7117</v>
      </c>
      <c r="D2295" s="8634" t="s">
        <v>7118</v>
      </c>
      <c r="E2295" s="8634" t="s">
        <v>7119</v>
      </c>
      <c r="F2295" s="8634" t="s">
        <v>2250</v>
      </c>
      <c r="G2295" s="8634" t="s">
        <v>24</v>
      </c>
      <c r="H2295" s="8634" t="s">
        <v>2773</v>
      </c>
      <c r="I2295" s="8634" t="s">
        <v>768</v>
      </c>
    </row>
    <row customHeight="1" ht="11.25">
      <c r="A2296" s="8634" t="s">
        <v>2182</v>
      </c>
      <c r="B2296" s="8634" t="s">
        <v>14</v>
      </c>
      <c r="C2296" s="8634" t="s">
        <v>7120</v>
      </c>
      <c r="D2296" s="8634" t="s">
        <v>7121</v>
      </c>
      <c r="E2296" s="8634" t="s">
        <v>7122</v>
      </c>
      <c r="F2296" s="8634" t="s">
        <v>7123</v>
      </c>
      <c r="G2296" s="8634" t="s">
        <v>24</v>
      </c>
      <c r="H2296" s="8634" t="s">
        <v>24</v>
      </c>
      <c r="I2296" s="8634" t="s">
        <v>768</v>
      </c>
    </row>
    <row customHeight="1" ht="11.25">
      <c r="A2297" s="8634" t="s">
        <v>2182</v>
      </c>
      <c r="B2297" s="8634" t="s">
        <v>14</v>
      </c>
      <c r="C2297" s="8634" t="s">
        <v>7124</v>
      </c>
      <c r="D2297" s="8634" t="s">
        <v>7125</v>
      </c>
      <c r="E2297" s="8634" t="s">
        <v>7126</v>
      </c>
      <c r="F2297" s="8634" t="s">
        <v>2563</v>
      </c>
      <c r="G2297" s="8634" t="s">
        <v>2368</v>
      </c>
      <c r="H2297" s="8634" t="s">
        <v>24</v>
      </c>
      <c r="I2297" s="8634" t="s">
        <v>768</v>
      </c>
    </row>
    <row customHeight="1" ht="11.25">
      <c r="A2298" s="8634" t="s">
        <v>2182</v>
      </c>
      <c r="B2298" s="8634" t="s">
        <v>14</v>
      </c>
      <c r="C2298" s="8634" t="s">
        <v>7127</v>
      </c>
      <c r="D2298" s="8634" t="s">
        <v>7128</v>
      </c>
      <c r="E2298" s="8634" t="s">
        <v>7129</v>
      </c>
      <c r="F2298" s="8634" t="s">
        <v>2250</v>
      </c>
      <c r="G2298" s="8634" t="s">
        <v>24</v>
      </c>
      <c r="H2298" s="8634" t="s">
        <v>2773</v>
      </c>
      <c r="I2298" s="8634" t="s">
        <v>768</v>
      </c>
    </row>
    <row customHeight="1" ht="11.25">
      <c r="A2299" s="8634" t="s">
        <v>2182</v>
      </c>
      <c r="B2299" s="8634" t="s">
        <v>14</v>
      </c>
      <c r="C2299" s="8634" t="s">
        <v>7130</v>
      </c>
      <c r="D2299" s="8634" t="s">
        <v>7131</v>
      </c>
      <c r="E2299" s="8634" t="s">
        <v>7132</v>
      </c>
      <c r="F2299" s="8634" t="s">
        <v>2223</v>
      </c>
      <c r="G2299" s="8634" t="s">
        <v>7133</v>
      </c>
      <c r="H2299" s="8634" t="s">
        <v>24</v>
      </c>
      <c r="I2299" s="8634" t="s">
        <v>768</v>
      </c>
    </row>
    <row customHeight="1" ht="11.25">
      <c r="A2300" s="8634" t="s">
        <v>2182</v>
      </c>
      <c r="B2300" s="8634" t="s">
        <v>14</v>
      </c>
      <c r="C2300" s="8634" t="s">
        <v>4370</v>
      </c>
      <c r="D2300" s="8634" t="s">
        <v>4371</v>
      </c>
      <c r="E2300" s="8634" t="s">
        <v>4372</v>
      </c>
      <c r="F2300" s="8634" t="s">
        <v>2696</v>
      </c>
      <c r="G2300" s="8634" t="s">
        <v>4373</v>
      </c>
      <c r="H2300" s="8634" t="s">
        <v>2187</v>
      </c>
      <c r="I2300" s="8634" t="s">
        <v>768</v>
      </c>
    </row>
    <row customHeight="1" ht="11.25">
      <c r="A2301" s="8634" t="s">
        <v>2182</v>
      </c>
      <c r="B2301" s="8634" t="s">
        <v>14</v>
      </c>
      <c r="C2301" s="8634" t="s">
        <v>4374</v>
      </c>
      <c r="D2301" s="8634" t="s">
        <v>4375</v>
      </c>
      <c r="E2301" s="8634" t="s">
        <v>4376</v>
      </c>
      <c r="F2301" s="8634" t="s">
        <v>2600</v>
      </c>
      <c r="G2301" s="8634" t="s">
        <v>24</v>
      </c>
      <c r="H2301" s="8634" t="s">
        <v>2187</v>
      </c>
      <c r="I2301" s="8634" t="s">
        <v>768</v>
      </c>
    </row>
    <row customHeight="1" ht="11.25">
      <c r="A2302" s="8634" t="s">
        <v>2182</v>
      </c>
      <c r="B2302" s="8634" t="s">
        <v>14</v>
      </c>
      <c r="C2302" s="8634" t="s">
        <v>7134</v>
      </c>
      <c r="D2302" s="8634" t="s">
        <v>7135</v>
      </c>
      <c r="E2302" s="8634" t="s">
        <v>7136</v>
      </c>
      <c r="F2302" s="8634" t="s">
        <v>2334</v>
      </c>
      <c r="G2302" s="8634" t="s">
        <v>5879</v>
      </c>
      <c r="H2302" s="8634" t="s">
        <v>2870</v>
      </c>
      <c r="I2302" s="8634" t="s">
        <v>768</v>
      </c>
    </row>
    <row customHeight="1" ht="11.25">
      <c r="A2303" s="8634" t="s">
        <v>2182</v>
      </c>
      <c r="B2303" s="8634" t="s">
        <v>14</v>
      </c>
      <c r="C2303" s="8634" t="s">
        <v>4381</v>
      </c>
      <c r="D2303" s="8634" t="s">
        <v>4382</v>
      </c>
      <c r="E2303" s="8634" t="s">
        <v>4383</v>
      </c>
      <c r="F2303" s="8634" t="s">
        <v>2300</v>
      </c>
      <c r="G2303" s="8634" t="s">
        <v>24</v>
      </c>
      <c r="H2303" s="8634" t="s">
        <v>24</v>
      </c>
      <c r="I2303" s="8634" t="s">
        <v>768</v>
      </c>
    </row>
    <row customHeight="1" ht="11.25">
      <c r="A2304" s="8634" t="s">
        <v>2182</v>
      </c>
      <c r="B2304" s="8634" t="s">
        <v>14</v>
      </c>
      <c r="C2304" s="8634" t="s">
        <v>4384</v>
      </c>
      <c r="D2304" s="8634" t="s">
        <v>4385</v>
      </c>
      <c r="E2304" s="8634" t="s">
        <v>4386</v>
      </c>
      <c r="F2304" s="8634" t="s">
        <v>2250</v>
      </c>
      <c r="G2304" s="8634" t="s">
        <v>24</v>
      </c>
      <c r="H2304" s="8634" t="s">
        <v>24</v>
      </c>
      <c r="I2304" s="8634" t="s">
        <v>768</v>
      </c>
    </row>
    <row customHeight="1" ht="11.25">
      <c r="A2305" s="8634" t="s">
        <v>2182</v>
      </c>
      <c r="B2305" s="8634" t="s">
        <v>14</v>
      </c>
      <c r="C2305" s="8634" t="s">
        <v>7137</v>
      </c>
      <c r="D2305" s="8634" t="s">
        <v>7138</v>
      </c>
      <c r="E2305" s="8634" t="s">
        <v>7139</v>
      </c>
      <c r="F2305" s="8634" t="s">
        <v>2218</v>
      </c>
      <c r="G2305" s="8634" t="s">
        <v>7140</v>
      </c>
      <c r="H2305" s="8634" t="s">
        <v>7141</v>
      </c>
      <c r="I2305" s="8634" t="s">
        <v>768</v>
      </c>
    </row>
    <row customHeight="1" ht="11.25">
      <c r="A2306" s="8634" t="s">
        <v>2182</v>
      </c>
      <c r="B2306" s="8634" t="s">
        <v>14</v>
      </c>
      <c r="C2306" s="8634" t="s">
        <v>4391</v>
      </c>
      <c r="D2306" s="8634" t="s">
        <v>4392</v>
      </c>
      <c r="E2306" s="8634" t="s">
        <v>4393</v>
      </c>
      <c r="F2306" s="8634" t="s">
        <v>2322</v>
      </c>
      <c r="G2306" s="8634" t="s">
        <v>24</v>
      </c>
      <c r="H2306" s="8634" t="s">
        <v>2187</v>
      </c>
      <c r="I2306" s="8634" t="s">
        <v>768</v>
      </c>
    </row>
    <row customHeight="1" ht="11.25">
      <c r="A2307" s="8634" t="s">
        <v>2182</v>
      </c>
      <c r="B2307" s="8634" t="s">
        <v>14</v>
      </c>
      <c r="C2307" s="8634" t="s">
        <v>4394</v>
      </c>
      <c r="D2307" s="8634" t="s">
        <v>4392</v>
      </c>
      <c r="E2307" s="8634" t="s">
        <v>4395</v>
      </c>
      <c r="F2307" s="8634" t="s">
        <v>2186</v>
      </c>
      <c r="G2307" s="8634" t="s">
        <v>4396</v>
      </c>
      <c r="H2307" s="8634" t="s">
        <v>24</v>
      </c>
      <c r="I2307" s="8634" t="s">
        <v>768</v>
      </c>
    </row>
    <row customHeight="1" ht="11.25">
      <c r="A2308" s="8634" t="s">
        <v>2182</v>
      </c>
      <c r="B2308" s="8634" t="s">
        <v>14</v>
      </c>
      <c r="C2308" s="8634" t="s">
        <v>7142</v>
      </c>
      <c r="D2308" s="8634" t="s">
        <v>7143</v>
      </c>
      <c r="E2308" s="8634" t="s">
        <v>7144</v>
      </c>
      <c r="F2308" s="8634" t="s">
        <v>2250</v>
      </c>
      <c r="G2308" s="8634" t="s">
        <v>24</v>
      </c>
      <c r="H2308" s="8634" t="s">
        <v>2773</v>
      </c>
      <c r="I2308" s="8634" t="s">
        <v>768</v>
      </c>
    </row>
    <row customHeight="1" ht="11.25">
      <c r="A2309" s="8634" t="s">
        <v>2182</v>
      </c>
      <c r="B2309" s="8634" t="s">
        <v>14</v>
      </c>
      <c r="C2309" s="8634" t="s">
        <v>7145</v>
      </c>
      <c r="D2309" s="8634" t="s">
        <v>7146</v>
      </c>
      <c r="E2309" s="8634" t="s">
        <v>7147</v>
      </c>
      <c r="F2309" s="8634" t="s">
        <v>2213</v>
      </c>
      <c r="G2309" s="8634" t="s">
        <v>7148</v>
      </c>
      <c r="H2309" s="8634" t="s">
        <v>7149</v>
      </c>
      <c r="I2309" s="8634" t="s">
        <v>768</v>
      </c>
    </row>
    <row customHeight="1" ht="11.25">
      <c r="A2310" s="8634" t="s">
        <v>2182</v>
      </c>
      <c r="B2310" s="8634" t="s">
        <v>14</v>
      </c>
      <c r="C2310" s="8634" t="s">
        <v>7150</v>
      </c>
      <c r="D2310" s="8634" t="s">
        <v>7151</v>
      </c>
      <c r="E2310" s="8634" t="s">
        <v>7152</v>
      </c>
      <c r="F2310" s="8634" t="s">
        <v>2339</v>
      </c>
      <c r="G2310" s="8634" t="s">
        <v>24</v>
      </c>
      <c r="H2310" s="8634" t="s">
        <v>24</v>
      </c>
      <c r="I2310" s="8634" t="s">
        <v>768</v>
      </c>
    </row>
    <row customHeight="1" ht="11.25">
      <c r="A2311" s="8634" t="s">
        <v>2182</v>
      </c>
      <c r="B2311" s="8634" t="s">
        <v>14</v>
      </c>
      <c r="C2311" s="8634" t="s">
        <v>7153</v>
      </c>
      <c r="D2311" s="8634" t="s">
        <v>7154</v>
      </c>
      <c r="E2311" s="8634" t="s">
        <v>7155</v>
      </c>
      <c r="F2311" s="8634" t="s">
        <v>2727</v>
      </c>
      <c r="G2311" s="8634" t="s">
        <v>7156</v>
      </c>
      <c r="H2311" s="8634" t="s">
        <v>24</v>
      </c>
      <c r="I2311" s="8634" t="s">
        <v>768</v>
      </c>
    </row>
    <row customHeight="1" ht="11.25">
      <c r="A2312" s="8634" t="s">
        <v>2182</v>
      </c>
      <c r="B2312" s="8634" t="s">
        <v>14</v>
      </c>
      <c r="C2312" s="8634" t="s">
        <v>7157</v>
      </c>
      <c r="D2312" s="8634" t="s">
        <v>7158</v>
      </c>
      <c r="E2312" s="8634" t="s">
        <v>7159</v>
      </c>
      <c r="F2312" s="8634" t="s">
        <v>2250</v>
      </c>
      <c r="G2312" s="8634" t="s">
        <v>24</v>
      </c>
      <c r="H2312" s="8634" t="s">
        <v>7160</v>
      </c>
      <c r="I2312" s="8634" t="s">
        <v>768</v>
      </c>
    </row>
    <row customHeight="1" ht="11.25">
      <c r="A2313" s="8634" t="s">
        <v>2182</v>
      </c>
      <c r="B2313" s="8634" t="s">
        <v>14</v>
      </c>
      <c r="C2313" s="8634" t="s">
        <v>7161</v>
      </c>
      <c r="D2313" s="8634" t="s">
        <v>7162</v>
      </c>
      <c r="E2313" s="8634" t="s">
        <v>7163</v>
      </c>
      <c r="F2313" s="8634" t="s">
        <v>7164</v>
      </c>
      <c r="G2313" s="8634" t="s">
        <v>7165</v>
      </c>
      <c r="H2313" s="8634" t="s">
        <v>24</v>
      </c>
      <c r="I2313" s="8634" t="s">
        <v>768</v>
      </c>
    </row>
    <row customHeight="1" ht="11.25">
      <c r="A2314" s="8634" t="s">
        <v>2182</v>
      </c>
      <c r="B2314" s="8634" t="s">
        <v>14</v>
      </c>
      <c r="C2314" s="8634" t="s">
        <v>7166</v>
      </c>
      <c r="D2314" s="8634" t="s">
        <v>7167</v>
      </c>
      <c r="E2314" s="8634" t="s">
        <v>7168</v>
      </c>
      <c r="F2314" s="8634" t="s">
        <v>2411</v>
      </c>
      <c r="G2314" s="8634" t="s">
        <v>7169</v>
      </c>
      <c r="H2314" s="8634" t="s">
        <v>24</v>
      </c>
      <c r="I2314" s="8634" t="s">
        <v>768</v>
      </c>
    </row>
    <row customHeight="1" ht="11.25">
      <c r="A2315" s="8634" t="s">
        <v>2182</v>
      </c>
      <c r="B2315" s="8634" t="s">
        <v>14</v>
      </c>
      <c r="C2315" s="8634" t="s">
        <v>7170</v>
      </c>
      <c r="D2315" s="8634" t="s">
        <v>7171</v>
      </c>
      <c r="E2315" s="8634" t="s">
        <v>7172</v>
      </c>
      <c r="F2315" s="8634" t="s">
        <v>2394</v>
      </c>
      <c r="G2315" s="8634" t="s">
        <v>6582</v>
      </c>
      <c r="H2315" s="8634" t="s">
        <v>24</v>
      </c>
      <c r="I2315" s="8634" t="s">
        <v>768</v>
      </c>
    </row>
    <row customHeight="1" ht="11.25">
      <c r="A2316" s="8634" t="s">
        <v>2182</v>
      </c>
      <c r="B2316" s="8634" t="s">
        <v>14</v>
      </c>
      <c r="C2316" s="8634" t="s">
        <v>7173</v>
      </c>
      <c r="D2316" s="8634" t="s">
        <v>7174</v>
      </c>
      <c r="E2316" s="8634" t="s">
        <v>7175</v>
      </c>
      <c r="F2316" s="8634" t="s">
        <v>2250</v>
      </c>
      <c r="G2316" s="8634" t="s">
        <v>24</v>
      </c>
      <c r="H2316" s="8634" t="s">
        <v>24</v>
      </c>
      <c r="I2316" s="8634" t="s">
        <v>768</v>
      </c>
    </row>
    <row customHeight="1" ht="11.25">
      <c r="A2317" s="8634" t="s">
        <v>2182</v>
      </c>
      <c r="B2317" s="8634" t="s">
        <v>14</v>
      </c>
      <c r="C2317" s="8634" t="s">
        <v>7176</v>
      </c>
      <c r="D2317" s="8634" t="s">
        <v>7177</v>
      </c>
      <c r="E2317" s="8634" t="s">
        <v>4431</v>
      </c>
      <c r="F2317" s="8634" t="s">
        <v>7178</v>
      </c>
      <c r="G2317" s="8634" t="s">
        <v>24</v>
      </c>
      <c r="H2317" s="8634" t="s">
        <v>7179</v>
      </c>
      <c r="I2317" s="8634" t="s">
        <v>768</v>
      </c>
    </row>
    <row customHeight="1" ht="11.25">
      <c r="A2318" s="8634" t="s">
        <v>2182</v>
      </c>
      <c r="B2318" s="8634" t="s">
        <v>14</v>
      </c>
      <c r="C2318" s="8634" t="s">
        <v>4435</v>
      </c>
      <c r="D2318" s="8634" t="s">
        <v>4436</v>
      </c>
      <c r="E2318" s="8634" t="s">
        <v>4437</v>
      </c>
      <c r="F2318" s="8634" t="s">
        <v>2233</v>
      </c>
      <c r="G2318" s="8634" t="s">
        <v>4438</v>
      </c>
      <c r="H2318" s="8634" t="s">
        <v>24</v>
      </c>
      <c r="I2318" s="8634" t="s">
        <v>768</v>
      </c>
    </row>
    <row customHeight="1" ht="11.25">
      <c r="A2319" s="8634" t="s">
        <v>2182</v>
      </c>
      <c r="B2319" s="8634" t="s">
        <v>14</v>
      </c>
      <c r="C2319" s="8634" t="s">
        <v>7180</v>
      </c>
      <c r="D2319" s="8634" t="s">
        <v>7181</v>
      </c>
      <c r="E2319" s="8634" t="s">
        <v>7182</v>
      </c>
      <c r="F2319" s="8634" t="s">
        <v>2788</v>
      </c>
      <c r="G2319" s="8634" t="s">
        <v>7183</v>
      </c>
      <c r="H2319" s="8634" t="s">
        <v>24</v>
      </c>
      <c r="I2319" s="8634" t="s">
        <v>768</v>
      </c>
    </row>
    <row customHeight="1" ht="11.25">
      <c r="A2320" s="8634" t="s">
        <v>2182</v>
      </c>
      <c r="B2320" s="8634" t="s">
        <v>14</v>
      </c>
      <c r="C2320" s="8634" t="s">
        <v>4448</v>
      </c>
      <c r="D2320" s="8634" t="s">
        <v>4449</v>
      </c>
      <c r="E2320" s="8634" t="s">
        <v>4450</v>
      </c>
      <c r="F2320" s="8634" t="s">
        <v>2245</v>
      </c>
      <c r="G2320" s="8634" t="s">
        <v>24</v>
      </c>
      <c r="H2320" s="8634" t="s">
        <v>24</v>
      </c>
      <c r="I2320" s="8634" t="s">
        <v>768</v>
      </c>
    </row>
    <row customHeight="1" ht="11.25">
      <c r="A2321" s="8634" t="s">
        <v>2182</v>
      </c>
      <c r="B2321" s="8634" t="s">
        <v>14</v>
      </c>
      <c r="C2321" s="8634" t="s">
        <v>4451</v>
      </c>
      <c r="D2321" s="8634" t="s">
        <v>4452</v>
      </c>
      <c r="E2321" s="8634" t="s">
        <v>4453</v>
      </c>
      <c r="F2321" s="8634" t="s">
        <v>2344</v>
      </c>
      <c r="G2321" s="8634" t="s">
        <v>3142</v>
      </c>
      <c r="H2321" s="8634" t="s">
        <v>24</v>
      </c>
      <c r="I2321" s="8634" t="s">
        <v>768</v>
      </c>
    </row>
    <row customHeight="1" ht="11.25">
      <c r="A2322" s="8634" t="s">
        <v>2182</v>
      </c>
      <c r="B2322" s="8634" t="s">
        <v>14</v>
      </c>
      <c r="C2322" s="8634" t="s">
        <v>4460</v>
      </c>
      <c r="D2322" s="8634" t="s">
        <v>4461</v>
      </c>
      <c r="E2322" s="8634" t="s">
        <v>4462</v>
      </c>
      <c r="F2322" s="8634" t="s">
        <v>2322</v>
      </c>
      <c r="G2322" s="8634" t="s">
        <v>24</v>
      </c>
      <c r="H2322" s="8634" t="s">
        <v>2400</v>
      </c>
      <c r="I2322" s="8634" t="s">
        <v>768</v>
      </c>
    </row>
    <row customHeight="1" ht="11.25">
      <c r="A2323" s="8634" t="s">
        <v>2182</v>
      </c>
      <c r="B2323" s="8634" t="s">
        <v>14</v>
      </c>
      <c r="C2323" s="8634" t="s">
        <v>7184</v>
      </c>
      <c r="D2323" s="8634" t="s">
        <v>7185</v>
      </c>
      <c r="E2323" s="8634" t="s">
        <v>7186</v>
      </c>
      <c r="F2323" s="8634" t="s">
        <v>2363</v>
      </c>
      <c r="G2323" s="8634" t="s">
        <v>7187</v>
      </c>
      <c r="H2323" s="8634" t="s">
        <v>24</v>
      </c>
      <c r="I2323" s="8634" t="s">
        <v>768</v>
      </c>
    </row>
    <row customHeight="1" ht="11.25">
      <c r="A2324" s="8634" t="s">
        <v>2182</v>
      </c>
      <c r="B2324" s="8634" t="s">
        <v>14</v>
      </c>
      <c r="C2324" s="8634" t="s">
        <v>7188</v>
      </c>
      <c r="D2324" s="8634" t="s">
        <v>7189</v>
      </c>
      <c r="E2324" s="8634" t="s">
        <v>7190</v>
      </c>
      <c r="F2324" s="8634" t="s">
        <v>2213</v>
      </c>
      <c r="G2324" s="8634" t="s">
        <v>7191</v>
      </c>
      <c r="H2324" s="8634" t="s">
        <v>24</v>
      </c>
      <c r="I2324" s="8634" t="s">
        <v>768</v>
      </c>
    </row>
    <row customHeight="1" ht="11.25">
      <c r="A2325" s="8634" t="s">
        <v>2182</v>
      </c>
      <c r="B2325" s="8634" t="s">
        <v>14</v>
      </c>
      <c r="C2325" s="8634" t="s">
        <v>7192</v>
      </c>
      <c r="D2325" s="8634" t="s">
        <v>7193</v>
      </c>
      <c r="E2325" s="8634" t="s">
        <v>7194</v>
      </c>
      <c r="F2325" s="8634" t="s">
        <v>2477</v>
      </c>
      <c r="G2325" s="8634" t="s">
        <v>24</v>
      </c>
      <c r="H2325" s="8634" t="s">
        <v>24</v>
      </c>
      <c r="I2325" s="8634" t="s">
        <v>768</v>
      </c>
    </row>
    <row customHeight="1" ht="11.25">
      <c r="A2326" s="8634" t="s">
        <v>2182</v>
      </c>
      <c r="B2326" s="8634" t="s">
        <v>14</v>
      </c>
      <c r="C2326" s="8634" t="s">
        <v>7195</v>
      </c>
      <c r="D2326" s="8634" t="s">
        <v>7196</v>
      </c>
      <c r="E2326" s="8634" t="s">
        <v>7197</v>
      </c>
      <c r="F2326" s="8634" t="s">
        <v>2245</v>
      </c>
      <c r="G2326" s="8634" t="s">
        <v>24</v>
      </c>
      <c r="H2326" s="8634" t="s">
        <v>2773</v>
      </c>
      <c r="I2326" s="8634" t="s">
        <v>768</v>
      </c>
    </row>
    <row customHeight="1" ht="11.25">
      <c r="A2327" s="8634" t="s">
        <v>2182</v>
      </c>
      <c r="B2327" s="8634" t="s">
        <v>14</v>
      </c>
      <c r="C2327" s="8634" t="s">
        <v>7198</v>
      </c>
      <c r="D2327" s="8634" t="s">
        <v>7199</v>
      </c>
      <c r="E2327" s="8634" t="s">
        <v>7200</v>
      </c>
      <c r="F2327" s="8634" t="s">
        <v>2245</v>
      </c>
      <c r="G2327" s="8634" t="s">
        <v>24</v>
      </c>
      <c r="H2327" s="8634" t="s">
        <v>24</v>
      </c>
      <c r="I2327" s="8634" t="s">
        <v>768</v>
      </c>
    </row>
    <row customHeight="1" ht="11.25">
      <c r="A2328" s="8634" t="s">
        <v>2182</v>
      </c>
      <c r="B2328" s="8634" t="s">
        <v>14</v>
      </c>
      <c r="C2328" s="8634" t="s">
        <v>7201</v>
      </c>
      <c r="D2328" s="8634" t="s">
        <v>4474</v>
      </c>
      <c r="E2328" s="8634" t="s">
        <v>4475</v>
      </c>
      <c r="F2328" s="8634" t="s">
        <v>7202</v>
      </c>
      <c r="G2328" s="8634" t="s">
        <v>24</v>
      </c>
      <c r="H2328" s="8634" t="s">
        <v>24</v>
      </c>
      <c r="I2328" s="8634" t="s">
        <v>768</v>
      </c>
    </row>
    <row customHeight="1" ht="11.25">
      <c r="A2329" s="8634" t="s">
        <v>2182</v>
      </c>
      <c r="B2329" s="8634" t="s">
        <v>14</v>
      </c>
      <c r="C2329" s="8634" t="s">
        <v>7203</v>
      </c>
      <c r="D2329" s="8634" t="s">
        <v>7204</v>
      </c>
      <c r="E2329" s="8634" t="s">
        <v>7205</v>
      </c>
      <c r="F2329" s="8634" t="s">
        <v>2389</v>
      </c>
      <c r="G2329" s="8634" t="s">
        <v>7206</v>
      </c>
      <c r="H2329" s="8634" t="s">
        <v>24</v>
      </c>
      <c r="I2329" s="8634" t="s">
        <v>768</v>
      </c>
    </row>
    <row customHeight="1" ht="11.25">
      <c r="A2330" s="8634" t="s">
        <v>2182</v>
      </c>
      <c r="B2330" s="8634" t="s">
        <v>14</v>
      </c>
      <c r="C2330" s="8634" t="s">
        <v>7207</v>
      </c>
      <c r="D2330" s="8634" t="s">
        <v>7208</v>
      </c>
      <c r="E2330" s="8634" t="s">
        <v>7209</v>
      </c>
      <c r="F2330" s="8634" t="s">
        <v>2322</v>
      </c>
      <c r="G2330" s="8634" t="s">
        <v>7210</v>
      </c>
      <c r="H2330" s="8634" t="s">
        <v>24</v>
      </c>
      <c r="I2330" s="8634" t="s">
        <v>768</v>
      </c>
    </row>
    <row customHeight="1" ht="11.25">
      <c r="A2331" s="8634" t="s">
        <v>2182</v>
      </c>
      <c r="B2331" s="8634" t="s">
        <v>14</v>
      </c>
      <c r="C2331" s="8634" t="s">
        <v>4496</v>
      </c>
      <c r="D2331" s="8634" t="s">
        <v>4497</v>
      </c>
      <c r="E2331" s="8634" t="s">
        <v>4498</v>
      </c>
      <c r="F2331" s="8634" t="s">
        <v>2349</v>
      </c>
      <c r="G2331" s="8634" t="s">
        <v>24</v>
      </c>
      <c r="H2331" s="8634" t="s">
        <v>24</v>
      </c>
      <c r="I2331" s="8634" t="s">
        <v>768</v>
      </c>
    </row>
    <row customHeight="1" ht="11.25">
      <c r="A2332" s="8634" t="s">
        <v>2182</v>
      </c>
      <c r="B2332" s="8634" t="s">
        <v>14</v>
      </c>
      <c r="C2332" s="8634" t="s">
        <v>4499</v>
      </c>
      <c r="D2332" s="8634" t="s">
        <v>4500</v>
      </c>
      <c r="E2332" s="8634" t="s">
        <v>4501</v>
      </c>
      <c r="F2332" s="8634" t="s">
        <v>2213</v>
      </c>
      <c r="G2332" s="8634" t="s">
        <v>4502</v>
      </c>
      <c r="H2332" s="8634" t="s">
        <v>24</v>
      </c>
      <c r="I2332" s="8634" t="s">
        <v>768</v>
      </c>
    </row>
    <row customHeight="1" ht="11.25">
      <c r="A2333" s="8634" t="s">
        <v>2182</v>
      </c>
      <c r="B2333" s="8634" t="s">
        <v>14</v>
      </c>
      <c r="C2333" s="8634" t="s">
        <v>7211</v>
      </c>
      <c r="D2333" s="8634" t="s">
        <v>7212</v>
      </c>
      <c r="E2333" s="8634" t="s">
        <v>7213</v>
      </c>
      <c r="F2333" s="8634" t="s">
        <v>2600</v>
      </c>
      <c r="G2333" s="8634" t="s">
        <v>24</v>
      </c>
      <c r="H2333" s="8634" t="s">
        <v>6850</v>
      </c>
      <c r="I2333" s="8634" t="s">
        <v>768</v>
      </c>
    </row>
    <row customHeight="1" ht="11.25">
      <c r="A2334" s="8634" t="s">
        <v>2182</v>
      </c>
      <c r="B2334" s="8634" t="s">
        <v>14</v>
      </c>
      <c r="C2334" s="8634" t="s">
        <v>4509</v>
      </c>
      <c r="D2334" s="8634" t="s">
        <v>4510</v>
      </c>
      <c r="E2334" s="8634" t="s">
        <v>4511</v>
      </c>
      <c r="F2334" s="8634" t="s">
        <v>4512</v>
      </c>
      <c r="G2334" s="8634" t="s">
        <v>4360</v>
      </c>
      <c r="H2334" s="8634" t="s">
        <v>24</v>
      </c>
      <c r="I2334" s="8634" t="s">
        <v>768</v>
      </c>
    </row>
    <row customHeight="1" ht="11.25">
      <c r="A2335" s="8634" t="s">
        <v>2182</v>
      </c>
      <c r="B2335" s="8634" t="s">
        <v>14</v>
      </c>
      <c r="C2335" s="8634" t="s">
        <v>7214</v>
      </c>
      <c r="D2335" s="8634" t="s">
        <v>7215</v>
      </c>
      <c r="E2335" s="8634" t="s">
        <v>7216</v>
      </c>
      <c r="F2335" s="8634" t="s">
        <v>2492</v>
      </c>
      <c r="G2335" s="8634" t="s">
        <v>7217</v>
      </c>
      <c r="H2335" s="8634" t="s">
        <v>24</v>
      </c>
      <c r="I2335" s="8634" t="s">
        <v>768</v>
      </c>
    </row>
    <row customHeight="1" ht="11.25">
      <c r="A2336" s="8634" t="s">
        <v>2182</v>
      </c>
      <c r="B2336" s="8634" t="s">
        <v>14</v>
      </c>
      <c r="C2336" s="8634" t="s">
        <v>4513</v>
      </c>
      <c r="D2336" s="8634" t="s">
        <v>4514</v>
      </c>
      <c r="E2336" s="8634" t="s">
        <v>4515</v>
      </c>
      <c r="F2336" s="8634" t="s">
        <v>2626</v>
      </c>
      <c r="G2336" s="8634" t="s">
        <v>24</v>
      </c>
      <c r="H2336" s="8634" t="s">
        <v>2187</v>
      </c>
      <c r="I2336" s="8634" t="s">
        <v>768</v>
      </c>
    </row>
    <row customHeight="1" ht="11.25">
      <c r="A2337" s="8634" t="s">
        <v>2182</v>
      </c>
      <c r="B2337" s="8634" t="s">
        <v>14</v>
      </c>
      <c r="C2337" s="8634" t="s">
        <v>7218</v>
      </c>
      <c r="D2337" s="8634" t="s">
        <v>7219</v>
      </c>
      <c r="E2337" s="8634" t="s">
        <v>7220</v>
      </c>
      <c r="F2337" s="8634" t="s">
        <v>3011</v>
      </c>
      <c r="G2337" s="8634" t="s">
        <v>7221</v>
      </c>
      <c r="H2337" s="8634" t="s">
        <v>24</v>
      </c>
      <c r="I2337" s="8634" t="s">
        <v>768</v>
      </c>
    </row>
    <row customHeight="1" ht="11.25">
      <c r="A2338" s="8634" t="s">
        <v>2182</v>
      </c>
      <c r="B2338" s="8634" t="s">
        <v>14</v>
      </c>
      <c r="C2338" s="8634" t="s">
        <v>7222</v>
      </c>
      <c r="D2338" s="8634" t="s">
        <v>7223</v>
      </c>
      <c r="E2338" s="8634" t="s">
        <v>7220</v>
      </c>
      <c r="F2338" s="8634" t="s">
        <v>7224</v>
      </c>
      <c r="G2338" s="8634" t="s">
        <v>24</v>
      </c>
      <c r="H2338" s="8634" t="s">
        <v>24</v>
      </c>
      <c r="I2338" s="8634" t="s">
        <v>768</v>
      </c>
    </row>
    <row customHeight="1" ht="11.25">
      <c r="A2339" s="8634" t="s">
        <v>2182</v>
      </c>
      <c r="B2339" s="8634" t="s">
        <v>14</v>
      </c>
      <c r="C2339" s="8634" t="s">
        <v>4516</v>
      </c>
      <c r="D2339" s="8634" t="s">
        <v>4517</v>
      </c>
      <c r="E2339" s="8634" t="s">
        <v>4518</v>
      </c>
      <c r="F2339" s="8634" t="s">
        <v>2626</v>
      </c>
      <c r="G2339" s="8634" t="s">
        <v>24</v>
      </c>
      <c r="H2339" s="8634" t="s">
        <v>24</v>
      </c>
      <c r="I2339" s="8634" t="s">
        <v>768</v>
      </c>
    </row>
    <row customHeight="1" ht="11.25">
      <c r="A2340" s="8634" t="s">
        <v>2182</v>
      </c>
      <c r="B2340" s="8634" t="s">
        <v>14</v>
      </c>
      <c r="C2340" s="8634" t="s">
        <v>4519</v>
      </c>
      <c r="D2340" s="8634" t="s">
        <v>4520</v>
      </c>
      <c r="E2340" s="8634" t="s">
        <v>4521</v>
      </c>
      <c r="F2340" s="8634" t="s">
        <v>2626</v>
      </c>
      <c r="G2340" s="8634" t="s">
        <v>4522</v>
      </c>
      <c r="H2340" s="8634" t="s">
        <v>24</v>
      </c>
      <c r="I2340" s="8634" t="s">
        <v>768</v>
      </c>
    </row>
    <row customHeight="1" ht="11.25">
      <c r="A2341" s="8634" t="s">
        <v>2182</v>
      </c>
      <c r="B2341" s="8634" t="s">
        <v>14</v>
      </c>
      <c r="C2341" s="8634" t="s">
        <v>7225</v>
      </c>
      <c r="D2341" s="8634" t="s">
        <v>4520</v>
      </c>
      <c r="E2341" s="8634" t="s">
        <v>7226</v>
      </c>
      <c r="F2341" s="8634" t="s">
        <v>2250</v>
      </c>
      <c r="G2341" s="8634" t="s">
        <v>24</v>
      </c>
      <c r="H2341" s="8634" t="s">
        <v>24</v>
      </c>
      <c r="I2341" s="8634" t="s">
        <v>768</v>
      </c>
    </row>
    <row customHeight="1" ht="11.25">
      <c r="A2342" s="8634" t="s">
        <v>2182</v>
      </c>
      <c r="B2342" s="8634" t="s">
        <v>14</v>
      </c>
      <c r="C2342" s="8634" t="s">
        <v>4523</v>
      </c>
      <c r="D2342" s="8634" t="s">
        <v>4524</v>
      </c>
      <c r="E2342" s="8634" t="s">
        <v>4525</v>
      </c>
      <c r="F2342" s="8634" t="s">
        <v>2411</v>
      </c>
      <c r="G2342" s="8634" t="s">
        <v>24</v>
      </c>
      <c r="H2342" s="8634" t="s">
        <v>3222</v>
      </c>
      <c r="I2342" s="8634" t="s">
        <v>768</v>
      </c>
    </row>
    <row customHeight="1" ht="11.25">
      <c r="A2343" s="8634" t="s">
        <v>2182</v>
      </c>
      <c r="B2343" s="8634" t="s">
        <v>14</v>
      </c>
      <c r="C2343" s="8634" t="s">
        <v>4526</v>
      </c>
      <c r="D2343" s="8634" t="s">
        <v>4527</v>
      </c>
      <c r="E2343" s="8634" t="s">
        <v>4528</v>
      </c>
      <c r="F2343" s="8634" t="s">
        <v>2477</v>
      </c>
      <c r="G2343" s="8634" t="s">
        <v>24</v>
      </c>
      <c r="H2343" s="8634" t="s">
        <v>24</v>
      </c>
      <c r="I2343" s="8634" t="s">
        <v>768</v>
      </c>
    </row>
    <row customHeight="1" ht="11.25">
      <c r="A2344" s="8634" t="s">
        <v>2182</v>
      </c>
      <c r="B2344" s="8634" t="s">
        <v>14</v>
      </c>
      <c r="C2344" s="8634" t="s">
        <v>4533</v>
      </c>
      <c r="D2344" s="8634" t="s">
        <v>4534</v>
      </c>
      <c r="E2344" s="8634" t="s">
        <v>4535</v>
      </c>
      <c r="F2344" s="8634" t="s">
        <v>2376</v>
      </c>
      <c r="G2344" s="8634" t="s">
        <v>24</v>
      </c>
      <c r="H2344" s="8634" t="s">
        <v>24</v>
      </c>
      <c r="I2344" s="8634" t="s">
        <v>768</v>
      </c>
    </row>
    <row customHeight="1" ht="11.25">
      <c r="A2345" s="8634" t="s">
        <v>2182</v>
      </c>
      <c r="B2345" s="8634" t="s">
        <v>14</v>
      </c>
      <c r="C2345" s="8634" t="s">
        <v>4536</v>
      </c>
      <c r="D2345" s="8634" t="s">
        <v>4537</v>
      </c>
      <c r="E2345" s="8634" t="s">
        <v>4538</v>
      </c>
      <c r="F2345" s="8634" t="s">
        <v>2349</v>
      </c>
      <c r="G2345" s="8634" t="s">
        <v>24</v>
      </c>
      <c r="H2345" s="8634" t="s">
        <v>24</v>
      </c>
      <c r="I2345" s="8634" t="s">
        <v>768</v>
      </c>
    </row>
    <row customHeight="1" ht="11.25">
      <c r="A2346" s="8634" t="s">
        <v>2182</v>
      </c>
      <c r="B2346" s="8634" t="s">
        <v>14</v>
      </c>
      <c r="C2346" s="8634" t="s">
        <v>7227</v>
      </c>
      <c r="D2346" s="8634" t="s">
        <v>7228</v>
      </c>
      <c r="E2346" s="8634" t="s">
        <v>7229</v>
      </c>
      <c r="F2346" s="8634" t="s">
        <v>2477</v>
      </c>
      <c r="G2346" s="8634" t="s">
        <v>7230</v>
      </c>
      <c r="H2346" s="8634" t="s">
        <v>24</v>
      </c>
      <c r="I2346" s="8634" t="s">
        <v>768</v>
      </c>
    </row>
    <row customHeight="1" ht="11.25">
      <c r="A2347" s="8634" t="s">
        <v>2182</v>
      </c>
      <c r="B2347" s="8634" t="s">
        <v>14</v>
      </c>
      <c r="C2347" s="8634" t="s">
        <v>7231</v>
      </c>
      <c r="D2347" s="8634" t="s">
        <v>7232</v>
      </c>
      <c r="E2347" s="8634" t="s">
        <v>7233</v>
      </c>
      <c r="F2347" s="8634" t="s">
        <v>2245</v>
      </c>
      <c r="G2347" s="8634" t="s">
        <v>7234</v>
      </c>
      <c r="H2347" s="8634" t="s">
        <v>24</v>
      </c>
      <c r="I2347" s="8634" t="s">
        <v>768</v>
      </c>
    </row>
    <row customHeight="1" ht="11.25">
      <c r="A2348" s="8634" t="s">
        <v>2182</v>
      </c>
      <c r="B2348" s="8634" t="s">
        <v>14</v>
      </c>
      <c r="C2348" s="8634" t="s">
        <v>4560</v>
      </c>
      <c r="D2348" s="8634" t="s">
        <v>4561</v>
      </c>
      <c r="E2348" s="8634" t="s">
        <v>4562</v>
      </c>
      <c r="F2348" s="8634" t="s">
        <v>2339</v>
      </c>
      <c r="G2348" s="8634" t="s">
        <v>4563</v>
      </c>
      <c r="H2348" s="8634" t="s">
        <v>24</v>
      </c>
      <c r="I2348" s="8634" t="s">
        <v>768</v>
      </c>
    </row>
    <row customHeight="1" ht="11.25">
      <c r="A2349" s="8634" t="s">
        <v>2182</v>
      </c>
      <c r="B2349" s="8634" t="s">
        <v>14</v>
      </c>
      <c r="C2349" s="8634" t="s">
        <v>4564</v>
      </c>
      <c r="D2349" s="8634" t="s">
        <v>4565</v>
      </c>
      <c r="E2349" s="8634" t="s">
        <v>4566</v>
      </c>
      <c r="F2349" s="8634" t="s">
        <v>4090</v>
      </c>
      <c r="G2349" s="8634" t="s">
        <v>24</v>
      </c>
      <c r="H2349" s="8634" t="s">
        <v>2993</v>
      </c>
      <c r="I2349" s="8634" t="s">
        <v>768</v>
      </c>
    </row>
    <row customHeight="1" ht="11.25">
      <c r="A2350" s="8634" t="s">
        <v>2182</v>
      </c>
      <c r="B2350" s="8634" t="s">
        <v>14</v>
      </c>
      <c r="C2350" s="8634" t="s">
        <v>4574</v>
      </c>
      <c r="D2350" s="8634" t="s">
        <v>4575</v>
      </c>
      <c r="E2350" s="8634" t="s">
        <v>4576</v>
      </c>
      <c r="F2350" s="8634" t="s">
        <v>2411</v>
      </c>
      <c r="G2350" s="8634" t="s">
        <v>24</v>
      </c>
      <c r="H2350" s="8634" t="s">
        <v>24</v>
      </c>
      <c r="I2350" s="8634" t="s">
        <v>768</v>
      </c>
    </row>
    <row customHeight="1" ht="11.25">
      <c r="A2351" s="8634" t="s">
        <v>2182</v>
      </c>
      <c r="B2351" s="8634" t="s">
        <v>14</v>
      </c>
      <c r="C2351" s="8634" t="s">
        <v>4577</v>
      </c>
      <c r="D2351" s="8634" t="s">
        <v>4578</v>
      </c>
      <c r="E2351" s="8634" t="s">
        <v>4579</v>
      </c>
      <c r="F2351" s="8634" t="s">
        <v>2563</v>
      </c>
      <c r="G2351" s="8634" t="s">
        <v>24</v>
      </c>
      <c r="H2351" s="8634" t="s">
        <v>3093</v>
      </c>
      <c r="I2351" s="8634" t="s">
        <v>768</v>
      </c>
    </row>
    <row customHeight="1" ht="11.25">
      <c r="A2352" s="8634" t="s">
        <v>2182</v>
      </c>
      <c r="B2352" s="8634" t="s">
        <v>14</v>
      </c>
      <c r="C2352" s="8634" t="s">
        <v>7235</v>
      </c>
      <c r="D2352" s="8634" t="s">
        <v>7236</v>
      </c>
      <c r="E2352" s="8634" t="s">
        <v>7237</v>
      </c>
      <c r="F2352" s="8634" t="s">
        <v>3278</v>
      </c>
      <c r="G2352" s="8634" t="s">
        <v>7238</v>
      </c>
      <c r="H2352" s="8634" t="s">
        <v>24</v>
      </c>
      <c r="I2352" s="8634" t="s">
        <v>768</v>
      </c>
    </row>
    <row customHeight="1" ht="11.25">
      <c r="A2353" s="8634" t="s">
        <v>2182</v>
      </c>
      <c r="B2353" s="8634" t="s">
        <v>14</v>
      </c>
      <c r="C2353" s="8634" t="s">
        <v>7239</v>
      </c>
      <c r="D2353" s="8634" t="s">
        <v>7240</v>
      </c>
      <c r="E2353" s="8634" t="s">
        <v>7241</v>
      </c>
      <c r="F2353" s="8634" t="s">
        <v>3200</v>
      </c>
      <c r="G2353" s="8634" t="s">
        <v>6214</v>
      </c>
      <c r="H2353" s="8634" t="s">
        <v>24</v>
      </c>
      <c r="I2353" s="8634" t="s">
        <v>768</v>
      </c>
    </row>
    <row customHeight="1" ht="11.25">
      <c r="A2354" s="8634" t="s">
        <v>2182</v>
      </c>
      <c r="B2354" s="8634" t="s">
        <v>14</v>
      </c>
      <c r="C2354" s="8634" t="s">
        <v>4588</v>
      </c>
      <c r="D2354" s="8634" t="s">
        <v>4589</v>
      </c>
      <c r="E2354" s="8634" t="s">
        <v>4590</v>
      </c>
      <c r="F2354" s="8634" t="s">
        <v>2218</v>
      </c>
      <c r="G2354" s="8634" t="s">
        <v>4591</v>
      </c>
      <c r="H2354" s="8634" t="s">
        <v>2400</v>
      </c>
      <c r="I2354" s="8634" t="s">
        <v>768</v>
      </c>
    </row>
    <row customHeight="1" ht="11.25">
      <c r="A2355" s="8634" t="s">
        <v>2182</v>
      </c>
      <c r="B2355" s="8634" t="s">
        <v>14</v>
      </c>
      <c r="C2355" s="8634" t="s">
        <v>4600</v>
      </c>
      <c r="D2355" s="8634" t="s">
        <v>4601</v>
      </c>
      <c r="E2355" s="8634" t="s">
        <v>4602</v>
      </c>
      <c r="F2355" s="8634" t="s">
        <v>2438</v>
      </c>
      <c r="G2355" s="8634" t="s">
        <v>24</v>
      </c>
      <c r="H2355" s="8634" t="s">
        <v>2187</v>
      </c>
      <c r="I2355" s="8634" t="s">
        <v>768</v>
      </c>
    </row>
    <row customHeight="1" ht="11.25">
      <c r="A2356" s="8634" t="s">
        <v>2182</v>
      </c>
      <c r="B2356" s="8634" t="s">
        <v>14</v>
      </c>
      <c r="C2356" s="8634" t="s">
        <v>7242</v>
      </c>
      <c r="D2356" s="8634" t="s">
        <v>7243</v>
      </c>
      <c r="E2356" s="8634" t="s">
        <v>7244</v>
      </c>
      <c r="F2356" s="8634" t="s">
        <v>2334</v>
      </c>
      <c r="G2356" s="8634" t="s">
        <v>24</v>
      </c>
      <c r="H2356" s="8634" t="s">
        <v>24</v>
      </c>
      <c r="I2356" s="8634" t="s">
        <v>768</v>
      </c>
    </row>
    <row customHeight="1" ht="11.25">
      <c r="A2357" s="8634" t="s">
        <v>2182</v>
      </c>
      <c r="B2357" s="8634" t="s">
        <v>14</v>
      </c>
      <c r="C2357" s="8634" t="s">
        <v>7245</v>
      </c>
      <c r="D2357" s="8634" t="s">
        <v>7246</v>
      </c>
      <c r="E2357" s="8634" t="s">
        <v>7247</v>
      </c>
      <c r="F2357" s="8634" t="s">
        <v>7248</v>
      </c>
      <c r="G2357" s="8634" t="s">
        <v>7249</v>
      </c>
      <c r="H2357" s="8634" t="s">
        <v>24</v>
      </c>
      <c r="I2357" s="8634" t="s">
        <v>768</v>
      </c>
    </row>
    <row customHeight="1" ht="11.25">
      <c r="A2358" s="8634" t="s">
        <v>2182</v>
      </c>
      <c r="B2358" s="8634" t="s">
        <v>14</v>
      </c>
      <c r="C2358" s="8634" t="s">
        <v>4603</v>
      </c>
      <c r="D2358" s="8634" t="s">
        <v>4604</v>
      </c>
      <c r="E2358" s="8634" t="s">
        <v>4605</v>
      </c>
      <c r="F2358" s="8634" t="s">
        <v>2600</v>
      </c>
      <c r="G2358" s="8634" t="s">
        <v>4606</v>
      </c>
      <c r="H2358" s="8634" t="s">
        <v>24</v>
      </c>
      <c r="I2358" s="8634" t="s">
        <v>768</v>
      </c>
    </row>
    <row customHeight="1" ht="11.25">
      <c r="A2359" s="8634" t="s">
        <v>2182</v>
      </c>
      <c r="B2359" s="8634" t="s">
        <v>14</v>
      </c>
      <c r="C2359" s="8634" t="s">
        <v>4610</v>
      </c>
      <c r="D2359" s="8634" t="s">
        <v>4611</v>
      </c>
      <c r="E2359" s="8634" t="s">
        <v>4612</v>
      </c>
      <c r="F2359" s="8634" t="s">
        <v>2213</v>
      </c>
      <c r="G2359" s="8634" t="s">
        <v>4613</v>
      </c>
      <c r="H2359" s="8634" t="s">
        <v>24</v>
      </c>
      <c r="I2359" s="8634" t="s">
        <v>768</v>
      </c>
    </row>
    <row customHeight="1" ht="11.25">
      <c r="A2360" s="8634" t="s">
        <v>2182</v>
      </c>
      <c r="B2360" s="8634" t="s">
        <v>14</v>
      </c>
      <c r="C2360" s="8634" t="s">
        <v>7250</v>
      </c>
      <c r="D2360" s="8634" t="s">
        <v>7251</v>
      </c>
      <c r="E2360" s="8634" t="s">
        <v>7252</v>
      </c>
      <c r="F2360" s="8634" t="s">
        <v>2269</v>
      </c>
      <c r="G2360" s="8634" t="s">
        <v>7253</v>
      </c>
      <c r="H2360" s="8634" t="s">
        <v>24</v>
      </c>
      <c r="I2360" s="8634" t="s">
        <v>768</v>
      </c>
    </row>
    <row customHeight="1" ht="11.25">
      <c r="A2361" s="8634" t="s">
        <v>2182</v>
      </c>
      <c r="B2361" s="8634" t="s">
        <v>14</v>
      </c>
      <c r="C2361" s="8634" t="s">
        <v>4621</v>
      </c>
      <c r="D2361" s="8634" t="s">
        <v>4622</v>
      </c>
      <c r="E2361" s="8634" t="s">
        <v>4623</v>
      </c>
      <c r="F2361" s="8634" t="s">
        <v>2322</v>
      </c>
      <c r="G2361" s="8634" t="s">
        <v>4624</v>
      </c>
      <c r="H2361" s="8634" t="s">
        <v>24</v>
      </c>
      <c r="I2361" s="8634" t="s">
        <v>768</v>
      </c>
    </row>
    <row customHeight="1" ht="11.25">
      <c r="A2362" s="8634" t="s">
        <v>2182</v>
      </c>
      <c r="B2362" s="8634" t="s">
        <v>14</v>
      </c>
      <c r="C2362" s="8634" t="s">
        <v>7254</v>
      </c>
      <c r="D2362" s="8634" t="s">
        <v>7255</v>
      </c>
      <c r="E2362" s="8634" t="s">
        <v>7256</v>
      </c>
      <c r="F2362" s="8634" t="s">
        <v>2563</v>
      </c>
      <c r="G2362" s="8634" t="s">
        <v>24</v>
      </c>
      <c r="H2362" s="8634" t="s">
        <v>24</v>
      </c>
      <c r="I2362" s="8634" t="s">
        <v>768</v>
      </c>
    </row>
    <row customHeight="1" ht="11.25">
      <c r="A2363" s="8634" t="s">
        <v>2182</v>
      </c>
      <c r="B2363" s="8634" t="s">
        <v>14</v>
      </c>
      <c r="C2363" s="8634" t="s">
        <v>7257</v>
      </c>
      <c r="D2363" s="8634" t="s">
        <v>7258</v>
      </c>
      <c r="E2363" s="8634" t="s">
        <v>7259</v>
      </c>
      <c r="F2363" s="8634" t="s">
        <v>2512</v>
      </c>
      <c r="G2363" s="8634" t="s">
        <v>7260</v>
      </c>
      <c r="H2363" s="8634" t="s">
        <v>7261</v>
      </c>
      <c r="I2363" s="8634" t="s">
        <v>768</v>
      </c>
    </row>
    <row customHeight="1" ht="11.25">
      <c r="A2364" s="8634" t="s">
        <v>2182</v>
      </c>
      <c r="B2364" s="8634" t="s">
        <v>14</v>
      </c>
      <c r="C2364" s="8634" t="s">
        <v>4625</v>
      </c>
      <c r="D2364" s="8634" t="s">
        <v>4626</v>
      </c>
      <c r="E2364" s="8634" t="s">
        <v>4627</v>
      </c>
      <c r="F2364" s="8634" t="s">
        <v>2245</v>
      </c>
      <c r="G2364" s="8634" t="s">
        <v>4628</v>
      </c>
      <c r="H2364" s="8634" t="s">
        <v>24</v>
      </c>
      <c r="I2364" s="8634" t="s">
        <v>768</v>
      </c>
    </row>
    <row customHeight="1" ht="11.25">
      <c r="A2365" s="8634" t="s">
        <v>2182</v>
      </c>
      <c r="B2365" s="8634" t="s">
        <v>14</v>
      </c>
      <c r="C2365" s="8634" t="s">
        <v>7262</v>
      </c>
      <c r="D2365" s="8634" t="s">
        <v>7263</v>
      </c>
      <c r="E2365" s="8634" t="s">
        <v>7264</v>
      </c>
      <c r="F2365" s="8634" t="s">
        <v>3437</v>
      </c>
      <c r="G2365" s="8634" t="s">
        <v>24</v>
      </c>
      <c r="H2365" s="8634" t="s">
        <v>24</v>
      </c>
      <c r="I2365" s="8634" t="s">
        <v>768</v>
      </c>
    </row>
    <row customHeight="1" ht="11.25">
      <c r="A2366" s="8634" t="s">
        <v>2182</v>
      </c>
      <c r="B2366" s="8634" t="s">
        <v>14</v>
      </c>
      <c r="C2366" s="8634" t="s">
        <v>7265</v>
      </c>
      <c r="D2366" s="8634" t="s">
        <v>7266</v>
      </c>
      <c r="E2366" s="8634" t="s">
        <v>7267</v>
      </c>
      <c r="F2366" s="8634" t="s">
        <v>2186</v>
      </c>
      <c r="G2366" s="8634" t="s">
        <v>24</v>
      </c>
      <c r="H2366" s="8634" t="s">
        <v>7268</v>
      </c>
      <c r="I2366" s="8634" t="s">
        <v>768</v>
      </c>
    </row>
    <row customHeight="1" ht="11.25">
      <c r="A2367" s="8634" t="s">
        <v>2182</v>
      </c>
      <c r="B2367" s="8634" t="s">
        <v>14</v>
      </c>
      <c r="C2367" s="8634" t="s">
        <v>4632</v>
      </c>
      <c r="D2367" s="8634" t="s">
        <v>4633</v>
      </c>
      <c r="E2367" s="8634" t="s">
        <v>4634</v>
      </c>
      <c r="F2367" s="8634" t="s">
        <v>2696</v>
      </c>
      <c r="G2367" s="8634" t="s">
        <v>24</v>
      </c>
      <c r="H2367" s="8634" t="s">
        <v>24</v>
      </c>
      <c r="I2367" s="8634" t="s">
        <v>768</v>
      </c>
    </row>
    <row customHeight="1" ht="11.25">
      <c r="A2368" s="8634" t="s">
        <v>2182</v>
      </c>
      <c r="B2368" s="8634" t="s">
        <v>14</v>
      </c>
      <c r="C2368" s="8634" t="s">
        <v>4635</v>
      </c>
      <c r="D2368" s="8634" t="s">
        <v>4636</v>
      </c>
      <c r="E2368" s="8634" t="s">
        <v>4637</v>
      </c>
      <c r="F2368" s="8634" t="s">
        <v>2398</v>
      </c>
      <c r="G2368" s="8634" t="s">
        <v>24</v>
      </c>
      <c r="H2368" s="8634" t="s">
        <v>2937</v>
      </c>
      <c r="I2368" s="8634" t="s">
        <v>768</v>
      </c>
    </row>
    <row customHeight="1" ht="11.25">
      <c r="A2369" s="8634" t="s">
        <v>2182</v>
      </c>
      <c r="B2369" s="8634" t="s">
        <v>14</v>
      </c>
      <c r="C2369" s="8634" t="s">
        <v>7269</v>
      </c>
      <c r="D2369" s="8634" t="s">
        <v>7270</v>
      </c>
      <c r="E2369" s="8634" t="s">
        <v>7271</v>
      </c>
      <c r="F2369" s="8634" t="s">
        <v>2477</v>
      </c>
      <c r="G2369" s="8634" t="s">
        <v>7272</v>
      </c>
      <c r="H2369" s="8634" t="s">
        <v>2187</v>
      </c>
      <c r="I2369" s="8634" t="s">
        <v>768</v>
      </c>
    </row>
    <row customHeight="1" ht="11.25">
      <c r="A2370" s="8634" t="s">
        <v>2182</v>
      </c>
      <c r="B2370" s="8634" t="s">
        <v>14</v>
      </c>
      <c r="C2370" s="8634" t="s">
        <v>7273</v>
      </c>
      <c r="D2370" s="8634" t="s">
        <v>7270</v>
      </c>
      <c r="E2370" s="8634" t="s">
        <v>7271</v>
      </c>
      <c r="F2370" s="8634" t="s">
        <v>7274</v>
      </c>
      <c r="G2370" s="8634" t="s">
        <v>7272</v>
      </c>
      <c r="H2370" s="8634" t="s">
        <v>24</v>
      </c>
      <c r="I2370" s="8634" t="s">
        <v>768</v>
      </c>
    </row>
    <row customHeight="1" ht="11.25">
      <c r="A2371" s="8634" t="s">
        <v>2182</v>
      </c>
      <c r="B2371" s="8634" t="s">
        <v>14</v>
      </c>
      <c r="C2371" s="8634" t="s">
        <v>7275</v>
      </c>
      <c r="D2371" s="8634" t="s">
        <v>7276</v>
      </c>
      <c r="E2371" s="8634" t="s">
        <v>7277</v>
      </c>
      <c r="F2371" s="8634" t="s">
        <v>2213</v>
      </c>
      <c r="G2371" s="8634" t="s">
        <v>7278</v>
      </c>
      <c r="H2371" s="8634" t="s">
        <v>24</v>
      </c>
      <c r="I2371" s="8634" t="s">
        <v>768</v>
      </c>
    </row>
    <row customHeight="1" ht="11.25">
      <c r="A2372" s="8634" t="s">
        <v>2182</v>
      </c>
      <c r="B2372" s="8634" t="s">
        <v>14</v>
      </c>
      <c r="C2372" s="8634" t="s">
        <v>7279</v>
      </c>
      <c r="D2372" s="8634" t="s">
        <v>7280</v>
      </c>
      <c r="E2372" s="8634" t="s">
        <v>7281</v>
      </c>
      <c r="F2372" s="8634" t="s">
        <v>2626</v>
      </c>
      <c r="G2372" s="8634" t="s">
        <v>7282</v>
      </c>
      <c r="H2372" s="8634" t="s">
        <v>24</v>
      </c>
      <c r="I2372" s="8634" t="s">
        <v>768</v>
      </c>
    </row>
    <row customHeight="1" ht="11.25">
      <c r="A2373" s="8634" t="s">
        <v>2182</v>
      </c>
      <c r="B2373" s="8634" t="s">
        <v>14</v>
      </c>
      <c r="C2373" s="8634" t="s">
        <v>4642</v>
      </c>
      <c r="D2373" s="8634" t="s">
        <v>4643</v>
      </c>
      <c r="E2373" s="8634" t="s">
        <v>4644</v>
      </c>
      <c r="F2373" s="8634" t="s">
        <v>4645</v>
      </c>
      <c r="G2373" s="8634" t="s">
        <v>4646</v>
      </c>
      <c r="H2373" s="8634" t="s">
        <v>24</v>
      </c>
      <c r="I2373" s="8634" t="s">
        <v>768</v>
      </c>
    </row>
    <row customHeight="1" ht="11.25">
      <c r="A2374" s="8634" t="s">
        <v>2182</v>
      </c>
      <c r="B2374" s="8634" t="s">
        <v>14</v>
      </c>
      <c r="C2374" s="8634" t="s">
        <v>7283</v>
      </c>
      <c r="D2374" s="8634" t="s">
        <v>7284</v>
      </c>
      <c r="E2374" s="8634" t="s">
        <v>7285</v>
      </c>
      <c r="F2374" s="8634" t="s">
        <v>2213</v>
      </c>
      <c r="G2374" s="8634" t="s">
        <v>24</v>
      </c>
      <c r="H2374" s="8634" t="s">
        <v>24</v>
      </c>
      <c r="I2374" s="8634" t="s">
        <v>768</v>
      </c>
    </row>
    <row customHeight="1" ht="11.25">
      <c r="A2375" s="8634" t="s">
        <v>2182</v>
      </c>
      <c r="B2375" s="8634" t="s">
        <v>14</v>
      </c>
      <c r="C2375" s="8634" t="s">
        <v>4650</v>
      </c>
      <c r="D2375" s="8634" t="s">
        <v>4651</v>
      </c>
      <c r="E2375" s="8634" t="s">
        <v>4652</v>
      </c>
      <c r="F2375" s="8634" t="s">
        <v>2600</v>
      </c>
      <c r="G2375" s="8634" t="s">
        <v>24</v>
      </c>
      <c r="H2375" s="8634" t="s">
        <v>2993</v>
      </c>
      <c r="I2375" s="8634" t="s">
        <v>768</v>
      </c>
    </row>
    <row customHeight="1" ht="11.25">
      <c r="A2376" s="8634" t="s">
        <v>2182</v>
      </c>
      <c r="B2376" s="8634" t="s">
        <v>14</v>
      </c>
      <c r="C2376" s="8634" t="s">
        <v>4653</v>
      </c>
      <c r="D2376" s="8634" t="s">
        <v>4654</v>
      </c>
      <c r="E2376" s="8634" t="s">
        <v>4655</v>
      </c>
      <c r="F2376" s="8634" t="s">
        <v>2600</v>
      </c>
      <c r="G2376" s="8634" t="s">
        <v>4656</v>
      </c>
      <c r="H2376" s="8634" t="s">
        <v>24</v>
      </c>
      <c r="I2376" s="8634" t="s">
        <v>768</v>
      </c>
    </row>
    <row customHeight="1" ht="11.25">
      <c r="A2377" s="8634" t="s">
        <v>2182</v>
      </c>
      <c r="B2377" s="8634" t="s">
        <v>14</v>
      </c>
      <c r="C2377" s="8634" t="s">
        <v>7286</v>
      </c>
      <c r="D2377" s="8634" t="s">
        <v>7287</v>
      </c>
      <c r="E2377" s="8634" t="s">
        <v>7288</v>
      </c>
      <c r="F2377" s="8634" t="s">
        <v>2563</v>
      </c>
      <c r="G2377" s="8634" t="s">
        <v>7289</v>
      </c>
      <c r="H2377" s="8634" t="s">
        <v>24</v>
      </c>
      <c r="I2377" s="8634" t="s">
        <v>768</v>
      </c>
    </row>
    <row customHeight="1" ht="11.25">
      <c r="A2378" s="8634" t="s">
        <v>2182</v>
      </c>
      <c r="B2378" s="8634" t="s">
        <v>14</v>
      </c>
      <c r="C2378" s="8634" t="s">
        <v>7290</v>
      </c>
      <c r="D2378" s="8634" t="s">
        <v>7291</v>
      </c>
      <c r="E2378" s="8634" t="s">
        <v>7292</v>
      </c>
      <c r="F2378" s="8634" t="s">
        <v>4150</v>
      </c>
      <c r="G2378" s="8634" t="s">
        <v>7293</v>
      </c>
      <c r="H2378" s="8634" t="s">
        <v>24</v>
      </c>
      <c r="I2378" s="8634" t="s">
        <v>768</v>
      </c>
    </row>
    <row customHeight="1" ht="11.25">
      <c r="A2379" s="8634" t="s">
        <v>2182</v>
      </c>
      <c r="B2379" s="8634" t="s">
        <v>14</v>
      </c>
      <c r="C2379" s="8634" t="s">
        <v>7294</v>
      </c>
      <c r="D2379" s="8634" t="s">
        <v>7295</v>
      </c>
      <c r="E2379" s="8634" t="s">
        <v>7296</v>
      </c>
      <c r="F2379" s="8634" t="s">
        <v>2477</v>
      </c>
      <c r="G2379" s="8634" t="s">
        <v>24</v>
      </c>
      <c r="H2379" s="8634" t="s">
        <v>24</v>
      </c>
      <c r="I2379" s="8634" t="s">
        <v>768</v>
      </c>
    </row>
    <row customHeight="1" ht="11.25">
      <c r="A2380" s="8634" t="s">
        <v>2182</v>
      </c>
      <c r="B2380" s="8634" t="s">
        <v>14</v>
      </c>
      <c r="C2380" s="8634" t="s">
        <v>4665</v>
      </c>
      <c r="D2380" s="8634" t="s">
        <v>4666</v>
      </c>
      <c r="E2380" s="8634" t="s">
        <v>4667</v>
      </c>
      <c r="F2380" s="8634" t="s">
        <v>2563</v>
      </c>
      <c r="G2380" s="8634" t="s">
        <v>4668</v>
      </c>
      <c r="H2380" s="8634" t="s">
        <v>24</v>
      </c>
      <c r="I2380" s="8634" t="s">
        <v>768</v>
      </c>
    </row>
    <row customHeight="1" ht="11.25">
      <c r="A2381" s="8634" t="s">
        <v>2182</v>
      </c>
      <c r="B2381" s="8634" t="s">
        <v>14</v>
      </c>
      <c r="C2381" s="8634" t="s">
        <v>7297</v>
      </c>
      <c r="D2381" s="8634" t="s">
        <v>7298</v>
      </c>
      <c r="E2381" s="8634" t="s">
        <v>7299</v>
      </c>
      <c r="F2381" s="8634" t="s">
        <v>2250</v>
      </c>
      <c r="G2381" s="8634" t="s">
        <v>7300</v>
      </c>
      <c r="H2381" s="8634" t="s">
        <v>24</v>
      </c>
      <c r="I2381" s="8634" t="s">
        <v>768</v>
      </c>
    </row>
    <row customHeight="1" ht="11.25">
      <c r="A2382" s="8634" t="s">
        <v>2182</v>
      </c>
      <c r="B2382" s="8634" t="s">
        <v>14</v>
      </c>
      <c r="C2382" s="8634" t="s">
        <v>7301</v>
      </c>
      <c r="D2382" s="8634" t="s">
        <v>7302</v>
      </c>
      <c r="E2382" s="8634" t="s">
        <v>7303</v>
      </c>
      <c r="F2382" s="8634" t="s">
        <v>2186</v>
      </c>
      <c r="G2382" s="8634" t="s">
        <v>7304</v>
      </c>
      <c r="H2382" s="8634" t="s">
        <v>24</v>
      </c>
      <c r="I2382" s="8634" t="s">
        <v>768</v>
      </c>
    </row>
    <row customHeight="1" ht="11.25">
      <c r="A2383" s="8634" t="s">
        <v>2182</v>
      </c>
      <c r="B2383" s="8634" t="s">
        <v>14</v>
      </c>
      <c r="C2383" s="8634" t="s">
        <v>7305</v>
      </c>
      <c r="D2383" s="8634" t="s">
        <v>7306</v>
      </c>
      <c r="E2383" s="8634" t="s">
        <v>7307</v>
      </c>
      <c r="F2383" s="8634" t="s">
        <v>2218</v>
      </c>
      <c r="G2383" s="8634" t="s">
        <v>24</v>
      </c>
      <c r="H2383" s="8634" t="s">
        <v>24</v>
      </c>
      <c r="I2383" s="8634" t="s">
        <v>768</v>
      </c>
    </row>
    <row customHeight="1" ht="11.25">
      <c r="A2384" s="8634" t="s">
        <v>2182</v>
      </c>
      <c r="B2384" s="8634" t="s">
        <v>14</v>
      </c>
      <c r="C2384" s="8634" t="s">
        <v>7308</v>
      </c>
      <c r="D2384" s="8634" t="s">
        <v>7309</v>
      </c>
      <c r="E2384" s="8634" t="s">
        <v>7310</v>
      </c>
      <c r="F2384" s="8634" t="s">
        <v>2213</v>
      </c>
      <c r="G2384" s="8634" t="s">
        <v>24</v>
      </c>
      <c r="H2384" s="8634" t="s">
        <v>24</v>
      </c>
      <c r="I2384" s="8634" t="s">
        <v>768</v>
      </c>
    </row>
    <row customHeight="1" ht="11.25">
      <c r="A2385" s="8634" t="s">
        <v>2182</v>
      </c>
      <c r="B2385" s="8634" t="s">
        <v>14</v>
      </c>
      <c r="C2385" s="8634" t="s">
        <v>4672</v>
      </c>
      <c r="D2385" s="8634" t="s">
        <v>4673</v>
      </c>
      <c r="E2385" s="8634" t="s">
        <v>4674</v>
      </c>
      <c r="F2385" s="8634" t="s">
        <v>2354</v>
      </c>
      <c r="G2385" s="8634" t="s">
        <v>24</v>
      </c>
      <c r="H2385" s="8634" t="s">
        <v>24</v>
      </c>
      <c r="I2385" s="8634" t="s">
        <v>768</v>
      </c>
    </row>
    <row customHeight="1" ht="11.25">
      <c r="A2386" s="8634" t="s">
        <v>2182</v>
      </c>
      <c r="B2386" s="8634" t="s">
        <v>14</v>
      </c>
      <c r="C2386" s="8634" t="s">
        <v>4675</v>
      </c>
      <c r="D2386" s="8634" t="s">
        <v>4676</v>
      </c>
      <c r="E2386" s="8634" t="s">
        <v>4677</v>
      </c>
      <c r="F2386" s="8634" t="s">
        <v>4678</v>
      </c>
      <c r="G2386" s="8634" t="s">
        <v>24</v>
      </c>
      <c r="H2386" s="8634" t="s">
        <v>24</v>
      </c>
      <c r="I2386" s="8634" t="s">
        <v>768</v>
      </c>
    </row>
    <row customHeight="1" ht="11.25">
      <c r="A2387" s="8634" t="s">
        <v>2182</v>
      </c>
      <c r="B2387" s="8634" t="s">
        <v>14</v>
      </c>
      <c r="C2387" s="8634" t="s">
        <v>4679</v>
      </c>
      <c r="D2387" s="8634" t="s">
        <v>4680</v>
      </c>
      <c r="E2387" s="8634" t="s">
        <v>4681</v>
      </c>
      <c r="F2387" s="8634" t="s">
        <v>2492</v>
      </c>
      <c r="G2387" s="8634" t="s">
        <v>24</v>
      </c>
      <c r="H2387" s="8634" t="s">
        <v>24</v>
      </c>
      <c r="I2387" s="8634" t="s">
        <v>768</v>
      </c>
    </row>
    <row customHeight="1" ht="11.25">
      <c r="A2388" s="8634" t="s">
        <v>2182</v>
      </c>
      <c r="B2388" s="8634" t="s">
        <v>14</v>
      </c>
      <c r="C2388" s="8634" t="s">
        <v>4685</v>
      </c>
      <c r="D2388" s="8634" t="s">
        <v>4686</v>
      </c>
      <c r="E2388" s="8634" t="s">
        <v>4687</v>
      </c>
      <c r="F2388" s="8634" t="s">
        <v>2890</v>
      </c>
      <c r="G2388" s="8634" t="s">
        <v>24</v>
      </c>
      <c r="H2388" s="8634" t="s">
        <v>24</v>
      </c>
      <c r="I2388" s="8634" t="s">
        <v>768</v>
      </c>
    </row>
    <row customHeight="1" ht="11.25">
      <c r="A2389" s="8634" t="s">
        <v>2182</v>
      </c>
      <c r="B2389" s="8634" t="s">
        <v>14</v>
      </c>
      <c r="C2389" s="8634" t="s">
        <v>4695</v>
      </c>
      <c r="D2389" s="8634" t="s">
        <v>4696</v>
      </c>
      <c r="E2389" s="8634" t="s">
        <v>4697</v>
      </c>
      <c r="F2389" s="8634" t="s">
        <v>2411</v>
      </c>
      <c r="G2389" s="8634" t="s">
        <v>3559</v>
      </c>
      <c r="H2389" s="8634" t="s">
        <v>24</v>
      </c>
      <c r="I2389" s="8634" t="s">
        <v>768</v>
      </c>
    </row>
    <row customHeight="1" ht="11.25">
      <c r="A2390" s="8634" t="s">
        <v>2182</v>
      </c>
      <c r="B2390" s="8634" t="s">
        <v>14</v>
      </c>
      <c r="C2390" s="8634" t="s">
        <v>4698</v>
      </c>
      <c r="D2390" s="8634" t="s">
        <v>4699</v>
      </c>
      <c r="E2390" s="8634" t="s">
        <v>4700</v>
      </c>
      <c r="F2390" s="8634" t="s">
        <v>2398</v>
      </c>
      <c r="G2390" s="8634" t="s">
        <v>4701</v>
      </c>
      <c r="H2390" s="8634" t="s">
        <v>24</v>
      </c>
      <c r="I2390" s="8634" t="s">
        <v>768</v>
      </c>
    </row>
    <row customHeight="1" ht="11.25">
      <c r="A2391" s="8634" t="s">
        <v>2182</v>
      </c>
      <c r="B2391" s="8634" t="s">
        <v>14</v>
      </c>
      <c r="C2391" s="8634" t="s">
        <v>7311</v>
      </c>
      <c r="D2391" s="8634" t="s">
        <v>7312</v>
      </c>
      <c r="E2391" s="8634" t="s">
        <v>7313</v>
      </c>
      <c r="F2391" s="8634" t="s">
        <v>2213</v>
      </c>
      <c r="G2391" s="8634" t="s">
        <v>7314</v>
      </c>
      <c r="H2391" s="8634" t="s">
        <v>24</v>
      </c>
      <c r="I2391" s="8634" t="s">
        <v>768</v>
      </c>
    </row>
    <row customHeight="1" ht="11.25">
      <c r="A2392" s="8634" t="s">
        <v>2182</v>
      </c>
      <c r="B2392" s="8634" t="s">
        <v>14</v>
      </c>
      <c r="C2392" s="8634" t="s">
        <v>7315</v>
      </c>
      <c r="D2392" s="8634" t="s">
        <v>7316</v>
      </c>
      <c r="E2392" s="8634" t="s">
        <v>7317</v>
      </c>
      <c r="F2392" s="8634" t="s">
        <v>2245</v>
      </c>
      <c r="G2392" s="8634" t="s">
        <v>7318</v>
      </c>
      <c r="H2392" s="8634" t="s">
        <v>24</v>
      </c>
      <c r="I2392" s="8634" t="s">
        <v>768</v>
      </c>
    </row>
    <row customHeight="1" ht="11.25">
      <c r="A2393" s="8634" t="s">
        <v>2182</v>
      </c>
      <c r="B2393" s="8634" t="s">
        <v>14</v>
      </c>
      <c r="C2393" s="8634" t="s">
        <v>7319</v>
      </c>
      <c r="D2393" s="8634" t="s">
        <v>7320</v>
      </c>
      <c r="E2393" s="8634" t="s">
        <v>7321</v>
      </c>
      <c r="F2393" s="8634" t="s">
        <v>2339</v>
      </c>
      <c r="G2393" s="8634" t="s">
        <v>7322</v>
      </c>
      <c r="H2393" s="8634" t="s">
        <v>24</v>
      </c>
      <c r="I2393" s="8634" t="s">
        <v>768</v>
      </c>
    </row>
    <row customHeight="1" ht="11.25">
      <c r="A2394" s="8634" t="s">
        <v>2182</v>
      </c>
      <c r="B2394" s="8634" t="s">
        <v>14</v>
      </c>
      <c r="C2394" s="8634" t="s">
        <v>7323</v>
      </c>
      <c r="D2394" s="8634" t="s">
        <v>7324</v>
      </c>
      <c r="E2394" s="8634" t="s">
        <v>7325</v>
      </c>
      <c r="F2394" s="8634" t="s">
        <v>2213</v>
      </c>
      <c r="G2394" s="8634" t="s">
        <v>7326</v>
      </c>
      <c r="H2394" s="8634" t="s">
        <v>24</v>
      </c>
      <c r="I2394" s="8634" t="s">
        <v>768</v>
      </c>
    </row>
    <row customHeight="1" ht="11.25">
      <c r="A2395" s="8634" t="s">
        <v>2182</v>
      </c>
      <c r="B2395" s="8634" t="s">
        <v>14</v>
      </c>
      <c r="C2395" s="8634" t="s">
        <v>4721</v>
      </c>
      <c r="D2395" s="8634" t="s">
        <v>4722</v>
      </c>
      <c r="E2395" s="8634" t="s">
        <v>4723</v>
      </c>
      <c r="F2395" s="8634" t="s">
        <v>2460</v>
      </c>
      <c r="G2395" s="8634" t="s">
        <v>24</v>
      </c>
      <c r="H2395" s="8634" t="s">
        <v>2187</v>
      </c>
      <c r="I2395" s="8634" t="s">
        <v>768</v>
      </c>
    </row>
    <row customHeight="1" ht="11.25">
      <c r="A2396" s="8634" t="s">
        <v>2182</v>
      </c>
      <c r="B2396" s="8634" t="s">
        <v>14</v>
      </c>
      <c r="C2396" s="8634" t="s">
        <v>4728</v>
      </c>
      <c r="D2396" s="8634" t="s">
        <v>4729</v>
      </c>
      <c r="E2396" s="8634" t="s">
        <v>4730</v>
      </c>
      <c r="F2396" s="8634" t="s">
        <v>2245</v>
      </c>
      <c r="G2396" s="8634" t="s">
        <v>4731</v>
      </c>
      <c r="H2396" s="8634" t="s">
        <v>2187</v>
      </c>
      <c r="I2396" s="8634" t="s">
        <v>768</v>
      </c>
    </row>
    <row customHeight="1" ht="11.25">
      <c r="A2397" s="8634" t="s">
        <v>2182</v>
      </c>
      <c r="B2397" s="8634" t="s">
        <v>14</v>
      </c>
      <c r="C2397" s="8634" t="s">
        <v>7327</v>
      </c>
      <c r="D2397" s="8634" t="s">
        <v>7328</v>
      </c>
      <c r="E2397" s="8634" t="s">
        <v>7329</v>
      </c>
      <c r="F2397" s="8634" t="s">
        <v>2322</v>
      </c>
      <c r="G2397" s="8634" t="s">
        <v>24</v>
      </c>
      <c r="H2397" s="8634" t="s">
        <v>2773</v>
      </c>
      <c r="I2397" s="8634" t="s">
        <v>768</v>
      </c>
    </row>
    <row customHeight="1" ht="11.25">
      <c r="A2398" s="8634" t="s">
        <v>2182</v>
      </c>
      <c r="B2398" s="8634" t="s">
        <v>14</v>
      </c>
      <c r="C2398" s="8634" t="s">
        <v>7330</v>
      </c>
      <c r="D2398" s="8634" t="s">
        <v>7331</v>
      </c>
      <c r="E2398" s="8634" t="s">
        <v>7332</v>
      </c>
      <c r="F2398" s="8634" t="s">
        <v>2218</v>
      </c>
      <c r="G2398" s="8634" t="s">
        <v>7333</v>
      </c>
      <c r="H2398" s="8634" t="s">
        <v>24</v>
      </c>
      <c r="I2398" s="8634" t="s">
        <v>768</v>
      </c>
    </row>
    <row customHeight="1" ht="11.25">
      <c r="A2399" s="8634" t="s">
        <v>2182</v>
      </c>
      <c r="B2399" s="8634" t="s">
        <v>14</v>
      </c>
      <c r="C2399" s="8634" t="s">
        <v>7334</v>
      </c>
      <c r="D2399" s="8634" t="s">
        <v>7335</v>
      </c>
      <c r="E2399" s="8634" t="s">
        <v>7336</v>
      </c>
      <c r="F2399" s="8634" t="s">
        <v>2218</v>
      </c>
      <c r="G2399" s="8634" t="s">
        <v>7337</v>
      </c>
      <c r="H2399" s="8634" t="s">
        <v>24</v>
      </c>
      <c r="I2399" s="8634" t="s">
        <v>768</v>
      </c>
    </row>
    <row customHeight="1" ht="11.25">
      <c r="A2400" s="8634" t="s">
        <v>2182</v>
      </c>
      <c r="B2400" s="8634" t="s">
        <v>14</v>
      </c>
      <c r="C2400" s="8634" t="s">
        <v>7338</v>
      </c>
      <c r="D2400" s="8634" t="s">
        <v>7339</v>
      </c>
      <c r="E2400" s="8634" t="s">
        <v>7340</v>
      </c>
      <c r="F2400" s="8634" t="s">
        <v>2245</v>
      </c>
      <c r="G2400" s="8634" t="s">
        <v>24</v>
      </c>
      <c r="H2400" s="8634" t="s">
        <v>24</v>
      </c>
      <c r="I2400" s="8634" t="s">
        <v>768</v>
      </c>
    </row>
    <row customHeight="1" ht="11.25">
      <c r="A2401" s="8634" t="s">
        <v>2182</v>
      </c>
      <c r="B2401" s="8634" t="s">
        <v>14</v>
      </c>
      <c r="C2401" s="8634" t="s">
        <v>6343</v>
      </c>
      <c r="D2401" s="8634" t="s">
        <v>6344</v>
      </c>
      <c r="E2401" s="8634" t="s">
        <v>6345</v>
      </c>
      <c r="F2401" s="8634" t="s">
        <v>2269</v>
      </c>
      <c r="G2401" s="8634" t="s">
        <v>6346</v>
      </c>
      <c r="H2401" s="8634" t="s">
        <v>24</v>
      </c>
      <c r="I2401" s="8634" t="s">
        <v>768</v>
      </c>
    </row>
    <row customHeight="1" ht="11.25">
      <c r="A2402" s="8634" t="s">
        <v>2182</v>
      </c>
      <c r="B2402" s="8634" t="s">
        <v>14</v>
      </c>
      <c r="C2402" s="8634" t="s">
        <v>4761</v>
      </c>
      <c r="D2402" s="8634" t="s">
        <v>4762</v>
      </c>
      <c r="E2402" s="8634" t="s">
        <v>4763</v>
      </c>
      <c r="F2402" s="8634" t="s">
        <v>4764</v>
      </c>
      <c r="G2402" s="8634" t="s">
        <v>4765</v>
      </c>
      <c r="H2402" s="8634" t="s">
        <v>24</v>
      </c>
      <c r="I2402" s="8634" t="s">
        <v>768</v>
      </c>
    </row>
    <row customHeight="1" ht="11.25">
      <c r="A2403" s="8634" t="s">
        <v>2182</v>
      </c>
      <c r="B2403" s="8634" t="s">
        <v>14</v>
      </c>
      <c r="C2403" s="8634" t="s">
        <v>4777</v>
      </c>
      <c r="D2403" s="8634" t="s">
        <v>4778</v>
      </c>
      <c r="E2403" s="8634" t="s">
        <v>4779</v>
      </c>
      <c r="F2403" s="8634" t="s">
        <v>2477</v>
      </c>
      <c r="G2403" s="8634" t="s">
        <v>4780</v>
      </c>
      <c r="H2403" s="8634" t="s">
        <v>24</v>
      </c>
      <c r="I2403" s="8634" t="s">
        <v>768</v>
      </c>
    </row>
    <row customHeight="1" ht="11.25">
      <c r="A2404" s="8634" t="s">
        <v>2182</v>
      </c>
      <c r="B2404" s="8634" t="s">
        <v>14</v>
      </c>
      <c r="C2404" s="8634" t="s">
        <v>7341</v>
      </c>
      <c r="D2404" s="8634" t="s">
        <v>7342</v>
      </c>
      <c r="E2404" s="8634" t="s">
        <v>7343</v>
      </c>
      <c r="F2404" s="8634" t="s">
        <v>2186</v>
      </c>
      <c r="G2404" s="8634" t="s">
        <v>24</v>
      </c>
      <c r="H2404" s="8634" t="s">
        <v>24</v>
      </c>
      <c r="I2404" s="8634" t="s">
        <v>768</v>
      </c>
    </row>
    <row customHeight="1" ht="11.25">
      <c r="A2405" s="8634" t="s">
        <v>2182</v>
      </c>
      <c r="B2405" s="8634" t="s">
        <v>14</v>
      </c>
      <c r="C2405" s="8634" t="s">
        <v>7344</v>
      </c>
      <c r="D2405" s="8634" t="s">
        <v>7345</v>
      </c>
      <c r="E2405" s="8634" t="s">
        <v>7346</v>
      </c>
      <c r="F2405" s="8634" t="s">
        <v>4717</v>
      </c>
      <c r="G2405" s="8634" t="s">
        <v>7347</v>
      </c>
      <c r="H2405" s="8634" t="s">
        <v>24</v>
      </c>
      <c r="I2405" s="8634" t="s">
        <v>768</v>
      </c>
    </row>
    <row customHeight="1" ht="11.25">
      <c r="A2406" s="8634" t="s">
        <v>2182</v>
      </c>
      <c r="B2406" s="8634" t="s">
        <v>14</v>
      </c>
      <c r="C2406" s="8634" t="s">
        <v>4798</v>
      </c>
      <c r="D2406" s="8634" t="s">
        <v>4799</v>
      </c>
      <c r="E2406" s="8634" t="s">
        <v>4800</v>
      </c>
      <c r="F2406" s="8634" t="s">
        <v>2218</v>
      </c>
      <c r="G2406" s="8634" t="s">
        <v>4801</v>
      </c>
      <c r="H2406" s="8634" t="s">
        <v>4802</v>
      </c>
      <c r="I2406" s="8634" t="s">
        <v>768</v>
      </c>
    </row>
    <row customHeight="1" ht="11.25">
      <c r="A2407" s="8634" t="s">
        <v>2182</v>
      </c>
      <c r="B2407" s="8634" t="s">
        <v>14</v>
      </c>
      <c r="C2407" s="8634" t="s">
        <v>4806</v>
      </c>
      <c r="D2407" s="8634" t="s">
        <v>4807</v>
      </c>
      <c r="E2407" s="8634" t="s">
        <v>4808</v>
      </c>
      <c r="F2407" s="8634" t="s">
        <v>2339</v>
      </c>
      <c r="G2407" s="8634" t="s">
        <v>24</v>
      </c>
      <c r="H2407" s="8634" t="s">
        <v>2870</v>
      </c>
      <c r="I2407" s="8634" t="s">
        <v>768</v>
      </c>
    </row>
    <row customHeight="1" ht="11.25">
      <c r="A2408" s="8634" t="s">
        <v>2182</v>
      </c>
      <c r="B2408" s="8634" t="s">
        <v>14</v>
      </c>
      <c r="C2408" s="8634" t="s">
        <v>4809</v>
      </c>
      <c r="D2408" s="8634" t="s">
        <v>4807</v>
      </c>
      <c r="E2408" s="8634" t="s">
        <v>4810</v>
      </c>
      <c r="F2408" s="8634" t="s">
        <v>2339</v>
      </c>
      <c r="G2408" s="8634" t="s">
        <v>4811</v>
      </c>
      <c r="H2408" s="8634" t="s">
        <v>24</v>
      </c>
      <c r="I2408" s="8634" t="s">
        <v>768</v>
      </c>
    </row>
    <row customHeight="1" ht="11.25">
      <c r="A2409" s="8634" t="s">
        <v>2182</v>
      </c>
      <c r="B2409" s="8634" t="s">
        <v>14</v>
      </c>
      <c r="C2409" s="8634" t="s">
        <v>7348</v>
      </c>
      <c r="D2409" s="8634" t="s">
        <v>7349</v>
      </c>
      <c r="E2409" s="8634" t="s">
        <v>7350</v>
      </c>
      <c r="F2409" s="8634" t="s">
        <v>2218</v>
      </c>
      <c r="G2409" s="8634" t="s">
        <v>24</v>
      </c>
      <c r="H2409" s="8634" t="s">
        <v>24</v>
      </c>
      <c r="I2409" s="8634" t="s">
        <v>768</v>
      </c>
    </row>
    <row customHeight="1" ht="11.25">
      <c r="A2410" s="8634" t="s">
        <v>2182</v>
      </c>
      <c r="B2410" s="8634" t="s">
        <v>14</v>
      </c>
      <c r="C2410" s="8634" t="s">
        <v>6347</v>
      </c>
      <c r="D2410" s="8634" t="s">
        <v>6348</v>
      </c>
      <c r="E2410" s="8634" t="s">
        <v>6349</v>
      </c>
      <c r="F2410" s="8634" t="s">
        <v>2213</v>
      </c>
      <c r="G2410" s="8634" t="s">
        <v>6350</v>
      </c>
      <c r="H2410" s="8634" t="s">
        <v>24</v>
      </c>
      <c r="I2410" s="8634" t="s">
        <v>768</v>
      </c>
    </row>
    <row customHeight="1" ht="11.25">
      <c r="A2411" s="8634" t="s">
        <v>2182</v>
      </c>
      <c r="B2411" s="8634" t="s">
        <v>14</v>
      </c>
      <c r="C2411" s="8634" t="s">
        <v>6351</v>
      </c>
      <c r="D2411" s="8634" t="s">
        <v>6352</v>
      </c>
      <c r="E2411" s="8634" t="s">
        <v>6353</v>
      </c>
      <c r="F2411" s="8634" t="s">
        <v>2376</v>
      </c>
      <c r="G2411" s="8634" t="s">
        <v>24</v>
      </c>
      <c r="H2411" s="8634" t="s">
        <v>2400</v>
      </c>
      <c r="I2411" s="8634" t="s">
        <v>768</v>
      </c>
    </row>
    <row customHeight="1" ht="11.25">
      <c r="A2412" s="8634" t="s">
        <v>2182</v>
      </c>
      <c r="B2412" s="8634" t="s">
        <v>14</v>
      </c>
      <c r="C2412" s="8634" t="s">
        <v>4816</v>
      </c>
      <c r="D2412" s="8634" t="s">
        <v>4817</v>
      </c>
      <c r="E2412" s="8634" t="s">
        <v>4818</v>
      </c>
      <c r="F2412" s="8634" t="s">
        <v>2269</v>
      </c>
      <c r="G2412" s="8634" t="s">
        <v>4819</v>
      </c>
      <c r="H2412" s="8634" t="s">
        <v>24</v>
      </c>
      <c r="I2412" s="8634" t="s">
        <v>768</v>
      </c>
    </row>
    <row customHeight="1" ht="11.25">
      <c r="A2413" s="8634" t="s">
        <v>2182</v>
      </c>
      <c r="B2413" s="8634" t="s">
        <v>14</v>
      </c>
      <c r="C2413" s="8634" t="s">
        <v>4823</v>
      </c>
      <c r="D2413" s="8634" t="s">
        <v>4824</v>
      </c>
      <c r="E2413" s="8634" t="s">
        <v>4825</v>
      </c>
      <c r="F2413" s="8634" t="s">
        <v>2322</v>
      </c>
      <c r="G2413" s="8634" t="s">
        <v>24</v>
      </c>
      <c r="H2413" s="8634" t="s">
        <v>2993</v>
      </c>
      <c r="I2413" s="8634" t="s">
        <v>768</v>
      </c>
    </row>
    <row customHeight="1" ht="11.25">
      <c r="A2414" s="8634" t="s">
        <v>2182</v>
      </c>
      <c r="B2414" s="8634" t="s">
        <v>14</v>
      </c>
      <c r="C2414" s="8634" t="s">
        <v>7351</v>
      </c>
      <c r="D2414" s="8634" t="s">
        <v>7352</v>
      </c>
      <c r="E2414" s="8634" t="s">
        <v>7353</v>
      </c>
      <c r="F2414" s="8634" t="s">
        <v>2334</v>
      </c>
      <c r="G2414" s="8634" t="s">
        <v>7354</v>
      </c>
      <c r="H2414" s="8634" t="s">
        <v>24</v>
      </c>
      <c r="I2414" s="8634" t="s">
        <v>768</v>
      </c>
    </row>
    <row customHeight="1" ht="11.25">
      <c r="A2415" s="8634" t="s">
        <v>2182</v>
      </c>
      <c r="B2415" s="8634" t="s">
        <v>14</v>
      </c>
      <c r="C2415" s="8634" t="s">
        <v>7355</v>
      </c>
      <c r="D2415" s="8634" t="s">
        <v>7356</v>
      </c>
      <c r="E2415" s="8634" t="s">
        <v>7357</v>
      </c>
      <c r="F2415" s="8634" t="s">
        <v>2213</v>
      </c>
      <c r="G2415" s="8634" t="s">
        <v>24</v>
      </c>
      <c r="H2415" s="8634" t="s">
        <v>24</v>
      </c>
      <c r="I2415" s="8634" t="s">
        <v>768</v>
      </c>
    </row>
    <row customHeight="1" ht="11.25">
      <c r="A2416" s="8634" t="s">
        <v>2182</v>
      </c>
      <c r="B2416" s="8634" t="s">
        <v>14</v>
      </c>
      <c r="C2416" s="8634" t="s">
        <v>7358</v>
      </c>
      <c r="D2416" s="8634" t="s">
        <v>7359</v>
      </c>
      <c r="E2416" s="8634" t="s">
        <v>7360</v>
      </c>
      <c r="F2416" s="8634" t="s">
        <v>2250</v>
      </c>
      <c r="G2416" s="8634" t="s">
        <v>24</v>
      </c>
      <c r="H2416" s="8634" t="s">
        <v>24</v>
      </c>
      <c r="I2416" s="8634" t="s">
        <v>768</v>
      </c>
    </row>
    <row customHeight="1" ht="11.25">
      <c r="A2417" s="8634" t="s">
        <v>2182</v>
      </c>
      <c r="B2417" s="8634" t="s">
        <v>14</v>
      </c>
      <c r="C2417" s="8634" t="s">
        <v>7361</v>
      </c>
      <c r="D2417" s="8634" t="s">
        <v>7362</v>
      </c>
      <c r="E2417" s="8634" t="s">
        <v>7363</v>
      </c>
      <c r="F2417" s="8634" t="s">
        <v>2322</v>
      </c>
      <c r="G2417" s="8634" t="s">
        <v>6493</v>
      </c>
      <c r="H2417" s="8634" t="s">
        <v>24</v>
      </c>
      <c r="I2417" s="8634" t="s">
        <v>768</v>
      </c>
    </row>
    <row customHeight="1" ht="11.25">
      <c r="A2418" s="8634" t="s">
        <v>2182</v>
      </c>
      <c r="B2418" s="8634" t="s">
        <v>14</v>
      </c>
      <c r="C2418" s="8634" t="s">
        <v>7364</v>
      </c>
      <c r="D2418" s="8634" t="s">
        <v>7365</v>
      </c>
      <c r="E2418" s="8634" t="s">
        <v>7366</v>
      </c>
      <c r="F2418" s="8634" t="s">
        <v>2389</v>
      </c>
      <c r="G2418" s="8634" t="s">
        <v>24</v>
      </c>
      <c r="H2418" s="8634" t="s">
        <v>24</v>
      </c>
      <c r="I2418" s="8634" t="s">
        <v>768</v>
      </c>
    </row>
    <row customHeight="1" ht="11.25">
      <c r="A2419" s="8634" t="s">
        <v>2182</v>
      </c>
      <c r="B2419" s="8634" t="s">
        <v>14</v>
      </c>
      <c r="C2419" s="8634" t="s">
        <v>4844</v>
      </c>
      <c r="D2419" s="8634" t="s">
        <v>4845</v>
      </c>
      <c r="E2419" s="8634" t="s">
        <v>4846</v>
      </c>
      <c r="F2419" s="8634" t="s">
        <v>2300</v>
      </c>
      <c r="G2419" s="8634" t="s">
        <v>2368</v>
      </c>
      <c r="H2419" s="8634" t="s">
        <v>24</v>
      </c>
      <c r="I2419" s="8634" t="s">
        <v>768</v>
      </c>
    </row>
    <row customHeight="1" ht="11.25">
      <c r="A2420" s="8634" t="s">
        <v>2182</v>
      </c>
      <c r="B2420" s="8634" t="s">
        <v>14</v>
      </c>
      <c r="C2420" s="8634" t="s">
        <v>7367</v>
      </c>
      <c r="D2420" s="8634" t="s">
        <v>7368</v>
      </c>
      <c r="E2420" s="8634" t="s">
        <v>7369</v>
      </c>
      <c r="F2420" s="8634" t="s">
        <v>2213</v>
      </c>
      <c r="G2420" s="8634" t="s">
        <v>7370</v>
      </c>
      <c r="H2420" s="8634" t="s">
        <v>24</v>
      </c>
      <c r="I2420" s="8634" t="s">
        <v>768</v>
      </c>
    </row>
    <row customHeight="1" ht="11.25">
      <c r="A2421" s="8634" t="s">
        <v>2182</v>
      </c>
      <c r="B2421" s="8634" t="s">
        <v>14</v>
      </c>
      <c r="C2421" s="8634" t="s">
        <v>7371</v>
      </c>
      <c r="D2421" s="8634" t="s">
        <v>7372</v>
      </c>
      <c r="E2421" s="8634" t="s">
        <v>7373</v>
      </c>
      <c r="F2421" s="8634" t="s">
        <v>2245</v>
      </c>
      <c r="G2421" s="8634" t="s">
        <v>24</v>
      </c>
      <c r="H2421" s="8634" t="s">
        <v>7374</v>
      </c>
      <c r="I2421" s="8634" t="s">
        <v>768</v>
      </c>
    </row>
    <row customHeight="1" ht="11.25">
      <c r="A2422" s="8634" t="s">
        <v>2182</v>
      </c>
      <c r="B2422" s="8634" t="s">
        <v>14</v>
      </c>
      <c r="C2422" s="8634" t="s">
        <v>7375</v>
      </c>
      <c r="D2422" s="8634" t="s">
        <v>7376</v>
      </c>
      <c r="E2422" s="8634" t="s">
        <v>7377</v>
      </c>
      <c r="F2422" s="8634" t="s">
        <v>5856</v>
      </c>
      <c r="G2422" s="8634" t="s">
        <v>7378</v>
      </c>
      <c r="H2422" s="8634" t="s">
        <v>24</v>
      </c>
      <c r="I2422" s="8634" t="s">
        <v>768</v>
      </c>
    </row>
    <row customHeight="1" ht="11.25">
      <c r="A2423" s="8634" t="s">
        <v>2182</v>
      </c>
      <c r="B2423" s="8634" t="s">
        <v>14</v>
      </c>
      <c r="C2423" s="8634" t="s">
        <v>4861</v>
      </c>
      <c r="D2423" s="8634" t="s">
        <v>4862</v>
      </c>
      <c r="E2423" s="8634" t="s">
        <v>4863</v>
      </c>
      <c r="F2423" s="8634" t="s">
        <v>3235</v>
      </c>
      <c r="G2423" s="8634" t="s">
        <v>4864</v>
      </c>
      <c r="H2423" s="8634" t="s">
        <v>24</v>
      </c>
      <c r="I2423" s="8634" t="s">
        <v>768</v>
      </c>
    </row>
    <row customHeight="1" ht="11.25">
      <c r="A2424" s="8634" t="s">
        <v>2182</v>
      </c>
      <c r="B2424" s="8634" t="s">
        <v>14</v>
      </c>
      <c r="C2424" s="8634" t="s">
        <v>4869</v>
      </c>
      <c r="D2424" s="8634" t="s">
        <v>4870</v>
      </c>
      <c r="E2424" s="8634" t="s">
        <v>4871</v>
      </c>
      <c r="F2424" s="8634" t="s">
        <v>2245</v>
      </c>
      <c r="G2424" s="8634" t="s">
        <v>24</v>
      </c>
      <c r="H2424" s="8634" t="s">
        <v>2187</v>
      </c>
      <c r="I2424" s="8634" t="s">
        <v>768</v>
      </c>
    </row>
    <row customHeight="1" ht="11.25">
      <c r="A2425" s="8634" t="s">
        <v>2182</v>
      </c>
      <c r="B2425" s="8634" t="s">
        <v>14</v>
      </c>
      <c r="C2425" s="8634" t="s">
        <v>7379</v>
      </c>
      <c r="D2425" s="8634" t="s">
        <v>7380</v>
      </c>
      <c r="E2425" s="8634" t="s">
        <v>7381</v>
      </c>
      <c r="F2425" s="8634" t="s">
        <v>2398</v>
      </c>
      <c r="G2425" s="8634" t="s">
        <v>7382</v>
      </c>
      <c r="H2425" s="8634" t="s">
        <v>24</v>
      </c>
      <c r="I2425" s="8634" t="s">
        <v>768</v>
      </c>
    </row>
    <row customHeight="1" ht="11.25">
      <c r="A2426" s="8634" t="s">
        <v>2182</v>
      </c>
      <c r="B2426" s="8634" t="s">
        <v>14</v>
      </c>
      <c r="C2426" s="8634" t="s">
        <v>7383</v>
      </c>
      <c r="D2426" s="8634" t="s">
        <v>7384</v>
      </c>
      <c r="E2426" s="8634" t="s">
        <v>7385</v>
      </c>
      <c r="F2426" s="8634" t="s">
        <v>2477</v>
      </c>
      <c r="G2426" s="8634" t="s">
        <v>6743</v>
      </c>
      <c r="H2426" s="8634" t="s">
        <v>24</v>
      </c>
      <c r="I2426" s="8634" t="s">
        <v>768</v>
      </c>
    </row>
    <row customHeight="1" ht="11.25">
      <c r="A2427" s="8634" t="s">
        <v>2182</v>
      </c>
      <c r="B2427" s="8634" t="s">
        <v>14</v>
      </c>
      <c r="C2427" s="8634" t="s">
        <v>7386</v>
      </c>
      <c r="D2427" s="8634" t="s">
        <v>7387</v>
      </c>
      <c r="E2427" s="8634" t="s">
        <v>7388</v>
      </c>
      <c r="F2427" s="8634" t="s">
        <v>2344</v>
      </c>
      <c r="G2427" s="8634" t="s">
        <v>7389</v>
      </c>
      <c r="H2427" s="8634" t="s">
        <v>24</v>
      </c>
      <c r="I2427" s="8634" t="s">
        <v>768</v>
      </c>
    </row>
    <row customHeight="1" ht="11.25">
      <c r="A2428" s="8634" t="s">
        <v>2182</v>
      </c>
      <c r="B2428" s="8634" t="s">
        <v>14</v>
      </c>
      <c r="C2428" s="8634" t="s">
        <v>7390</v>
      </c>
      <c r="D2428" s="8634" t="s">
        <v>7391</v>
      </c>
      <c r="E2428" s="8634" t="s">
        <v>7392</v>
      </c>
      <c r="F2428" s="8634" t="s">
        <v>3235</v>
      </c>
      <c r="G2428" s="8634" t="s">
        <v>7393</v>
      </c>
      <c r="H2428" s="8634" t="s">
        <v>2187</v>
      </c>
      <c r="I2428" s="8634" t="s">
        <v>768</v>
      </c>
    </row>
    <row customHeight="1" ht="11.25">
      <c r="A2429" s="8634" t="s">
        <v>2182</v>
      </c>
      <c r="B2429" s="8634" t="s">
        <v>14</v>
      </c>
      <c r="C2429" s="8634" t="s">
        <v>7394</v>
      </c>
      <c r="D2429" s="8634" t="s">
        <v>7395</v>
      </c>
      <c r="E2429" s="8634" t="s">
        <v>7396</v>
      </c>
      <c r="F2429" s="8634" t="s">
        <v>2228</v>
      </c>
      <c r="G2429" s="8634" t="s">
        <v>24</v>
      </c>
      <c r="H2429" s="8634" t="s">
        <v>24</v>
      </c>
      <c r="I2429" s="8634" t="s">
        <v>768</v>
      </c>
    </row>
    <row customHeight="1" ht="11.25">
      <c r="A2430" s="8634" t="s">
        <v>2182</v>
      </c>
      <c r="B2430" s="8634" t="s">
        <v>14</v>
      </c>
      <c r="C2430" s="8634" t="s">
        <v>4883</v>
      </c>
      <c r="D2430" s="8634" t="s">
        <v>4884</v>
      </c>
      <c r="E2430" s="8634" t="s">
        <v>4885</v>
      </c>
      <c r="F2430" s="8634" t="s">
        <v>2300</v>
      </c>
      <c r="G2430" s="8634" t="s">
        <v>24</v>
      </c>
      <c r="H2430" s="8634" t="s">
        <v>24</v>
      </c>
      <c r="I2430" s="8634" t="s">
        <v>768</v>
      </c>
    </row>
    <row customHeight="1" ht="11.25">
      <c r="A2431" s="8634" t="s">
        <v>2182</v>
      </c>
      <c r="B2431" s="8634" t="s">
        <v>14</v>
      </c>
      <c r="C2431" s="8634" t="s">
        <v>4886</v>
      </c>
      <c r="D2431" s="8634" t="s">
        <v>4887</v>
      </c>
      <c r="E2431" s="8634" t="s">
        <v>4888</v>
      </c>
      <c r="F2431" s="8634" t="s">
        <v>2213</v>
      </c>
      <c r="G2431" s="8634" t="s">
        <v>4889</v>
      </c>
      <c r="H2431" s="8634" t="s">
        <v>24</v>
      </c>
      <c r="I2431" s="8634" t="s">
        <v>768</v>
      </c>
    </row>
    <row customHeight="1" ht="11.25">
      <c r="A2432" s="8634" t="s">
        <v>2182</v>
      </c>
      <c r="B2432" s="8634" t="s">
        <v>14</v>
      </c>
      <c r="C2432" s="8634" t="s">
        <v>7397</v>
      </c>
      <c r="D2432" s="8634" t="s">
        <v>7398</v>
      </c>
      <c r="E2432" s="8634" t="s">
        <v>7399</v>
      </c>
      <c r="F2432" s="8634" t="s">
        <v>2626</v>
      </c>
      <c r="G2432" s="8634" t="s">
        <v>24</v>
      </c>
      <c r="H2432" s="8634" t="s">
        <v>24</v>
      </c>
      <c r="I2432" s="8634" t="s">
        <v>768</v>
      </c>
    </row>
    <row customHeight="1" ht="11.25">
      <c r="A2433" s="8634" t="s">
        <v>2182</v>
      </c>
      <c r="B2433" s="8634" t="s">
        <v>14</v>
      </c>
      <c r="C2433" s="8634" t="s">
        <v>4890</v>
      </c>
      <c r="D2433" s="8634" t="s">
        <v>4891</v>
      </c>
      <c r="E2433" s="8634" t="s">
        <v>4892</v>
      </c>
      <c r="F2433" s="8634" t="s">
        <v>2233</v>
      </c>
      <c r="G2433" s="8634" t="s">
        <v>4893</v>
      </c>
      <c r="H2433" s="8634" t="s">
        <v>24</v>
      </c>
      <c r="I2433" s="8634" t="s">
        <v>768</v>
      </c>
    </row>
    <row customHeight="1" ht="11.25">
      <c r="A2434" s="8634" t="s">
        <v>2182</v>
      </c>
      <c r="B2434" s="8634" t="s">
        <v>14</v>
      </c>
      <c r="C2434" s="8634" t="s">
        <v>7400</v>
      </c>
      <c r="D2434" s="8634" t="s">
        <v>7401</v>
      </c>
      <c r="E2434" s="8634" t="s">
        <v>7402</v>
      </c>
      <c r="F2434" s="8634" t="s">
        <v>2411</v>
      </c>
      <c r="G2434" s="8634" t="s">
        <v>24</v>
      </c>
      <c r="H2434" s="8634" t="s">
        <v>7403</v>
      </c>
      <c r="I2434" s="8634" t="s">
        <v>768</v>
      </c>
    </row>
    <row customHeight="1" ht="11.25">
      <c r="A2435" s="8634" t="s">
        <v>2182</v>
      </c>
      <c r="B2435" s="8634" t="s">
        <v>14</v>
      </c>
      <c r="C2435" s="8634" t="s">
        <v>4900</v>
      </c>
      <c r="D2435" s="8634" t="s">
        <v>4901</v>
      </c>
      <c r="E2435" s="8634" t="s">
        <v>4902</v>
      </c>
      <c r="F2435" s="8634" t="s">
        <v>2363</v>
      </c>
      <c r="G2435" s="8634" t="s">
        <v>24</v>
      </c>
      <c r="H2435" s="8634" t="s">
        <v>24</v>
      </c>
      <c r="I2435" s="8634" t="s">
        <v>768</v>
      </c>
    </row>
    <row customHeight="1" ht="11.25">
      <c r="A2436" s="8634" t="s">
        <v>2182</v>
      </c>
      <c r="B2436" s="8634" t="s">
        <v>14</v>
      </c>
      <c r="C2436" s="8634" t="s">
        <v>7404</v>
      </c>
      <c r="D2436" s="8634" t="s">
        <v>7405</v>
      </c>
      <c r="E2436" s="8634" t="s">
        <v>7406</v>
      </c>
      <c r="F2436" s="8634" t="s">
        <v>2339</v>
      </c>
      <c r="G2436" s="8634" t="s">
        <v>24</v>
      </c>
      <c r="H2436" s="8634" t="s">
        <v>24</v>
      </c>
      <c r="I2436" s="8634" t="s">
        <v>768</v>
      </c>
    </row>
    <row customHeight="1" ht="11.25">
      <c r="A2437" s="8634" t="s">
        <v>2182</v>
      </c>
      <c r="B2437" s="8634" t="s">
        <v>14</v>
      </c>
      <c r="C2437" s="8634" t="s">
        <v>4906</v>
      </c>
      <c r="D2437" s="8634" t="s">
        <v>4907</v>
      </c>
      <c r="E2437" s="8634" t="s">
        <v>4908</v>
      </c>
      <c r="F2437" s="8634" t="s">
        <v>4909</v>
      </c>
      <c r="G2437" s="8634" t="s">
        <v>4910</v>
      </c>
      <c r="H2437" s="8634" t="s">
        <v>24</v>
      </c>
      <c r="I2437" s="8634" t="s">
        <v>768</v>
      </c>
    </row>
    <row customHeight="1" ht="11.25">
      <c r="A2438" s="8634" t="s">
        <v>2182</v>
      </c>
      <c r="B2438" s="8634" t="s">
        <v>14</v>
      </c>
      <c r="C2438" s="8634" t="s">
        <v>6354</v>
      </c>
      <c r="D2438" s="8634" t="s">
        <v>6355</v>
      </c>
      <c r="E2438" s="8634" t="s">
        <v>6356</v>
      </c>
      <c r="F2438" s="8634" t="s">
        <v>2344</v>
      </c>
      <c r="G2438" s="8634" t="s">
        <v>24</v>
      </c>
      <c r="H2438" s="8634" t="s">
        <v>24</v>
      </c>
      <c r="I2438" s="8634" t="s">
        <v>768</v>
      </c>
    </row>
    <row customHeight="1" ht="11.25">
      <c r="A2439" s="8634" t="s">
        <v>2182</v>
      </c>
      <c r="B2439" s="8634" t="s">
        <v>14</v>
      </c>
      <c r="C2439" s="8634" t="s">
        <v>7407</v>
      </c>
      <c r="D2439" s="8634" t="s">
        <v>7408</v>
      </c>
      <c r="E2439" s="8634" t="s">
        <v>7409</v>
      </c>
      <c r="F2439" s="8634" t="s">
        <v>4764</v>
      </c>
      <c r="G2439" s="8634" t="s">
        <v>7410</v>
      </c>
      <c r="H2439" s="8634" t="s">
        <v>24</v>
      </c>
      <c r="I2439" s="8634" t="s">
        <v>768</v>
      </c>
    </row>
    <row customHeight="1" ht="11.25">
      <c r="A2440" s="8634" t="s">
        <v>2182</v>
      </c>
      <c r="B2440" s="8634" t="s">
        <v>14</v>
      </c>
      <c r="C2440" s="8634" t="s">
        <v>7411</v>
      </c>
      <c r="D2440" s="8634" t="s">
        <v>7412</v>
      </c>
      <c r="E2440" s="8634" t="s">
        <v>7413</v>
      </c>
      <c r="F2440" s="8634" t="s">
        <v>2344</v>
      </c>
      <c r="G2440" s="8634" t="s">
        <v>7414</v>
      </c>
      <c r="H2440" s="8634" t="s">
        <v>24</v>
      </c>
      <c r="I2440" s="8634" t="s">
        <v>768</v>
      </c>
    </row>
    <row customHeight="1" ht="11.25">
      <c r="A2441" s="8634" t="s">
        <v>2182</v>
      </c>
      <c r="B2441" s="8634" t="s">
        <v>14</v>
      </c>
      <c r="C2441" s="8634" t="s">
        <v>7415</v>
      </c>
      <c r="D2441" s="8634" t="s">
        <v>7416</v>
      </c>
      <c r="E2441" s="8634" t="s">
        <v>7417</v>
      </c>
      <c r="F2441" s="8634" t="s">
        <v>2318</v>
      </c>
      <c r="G2441" s="8634" t="s">
        <v>24</v>
      </c>
      <c r="H2441" s="8634" t="s">
        <v>24</v>
      </c>
      <c r="I2441" s="8634" t="s">
        <v>768</v>
      </c>
    </row>
    <row customHeight="1" ht="11.25">
      <c r="A2442" s="8634" t="s">
        <v>2182</v>
      </c>
      <c r="B2442" s="8634" t="s">
        <v>14</v>
      </c>
      <c r="C2442" s="8634" t="s">
        <v>7418</v>
      </c>
      <c r="D2442" s="8634" t="s">
        <v>7419</v>
      </c>
      <c r="E2442" s="8634" t="s">
        <v>7420</v>
      </c>
      <c r="F2442" s="8634" t="s">
        <v>2964</v>
      </c>
      <c r="G2442" s="8634" t="s">
        <v>24</v>
      </c>
      <c r="H2442" s="8634" t="s">
        <v>24</v>
      </c>
      <c r="I2442" s="8634" t="s">
        <v>768</v>
      </c>
    </row>
    <row customHeight="1" ht="11.25">
      <c r="A2443" s="8634" t="s">
        <v>2182</v>
      </c>
      <c r="B2443" s="8634" t="s">
        <v>14</v>
      </c>
      <c r="C2443" s="8634" t="s">
        <v>4920</v>
      </c>
      <c r="D2443" s="8634" t="s">
        <v>4921</v>
      </c>
      <c r="E2443" s="8634" t="s">
        <v>4922</v>
      </c>
      <c r="F2443" s="8634" t="s">
        <v>2890</v>
      </c>
      <c r="G2443" s="8634" t="s">
        <v>4923</v>
      </c>
      <c r="H2443" s="8634" t="s">
        <v>24</v>
      </c>
      <c r="I2443" s="8634" t="s">
        <v>768</v>
      </c>
    </row>
    <row customHeight="1" ht="11.25">
      <c r="A2444" s="8634" t="s">
        <v>2182</v>
      </c>
      <c r="B2444" s="8634" t="s">
        <v>14</v>
      </c>
      <c r="C2444" s="8634" t="s">
        <v>4945</v>
      </c>
      <c r="D2444" s="8634" t="s">
        <v>4946</v>
      </c>
      <c r="E2444" s="8634" t="s">
        <v>4947</v>
      </c>
      <c r="F2444" s="8634" t="s">
        <v>2354</v>
      </c>
      <c r="G2444" s="8634" t="s">
        <v>4948</v>
      </c>
      <c r="H2444" s="8634" t="s">
        <v>4949</v>
      </c>
      <c r="I2444" s="8634" t="s">
        <v>768</v>
      </c>
    </row>
    <row customHeight="1" ht="11.25">
      <c r="A2445" s="8634" t="s">
        <v>2182</v>
      </c>
      <c r="B2445" s="8634" t="s">
        <v>14</v>
      </c>
      <c r="C2445" s="8634" t="s">
        <v>7421</v>
      </c>
      <c r="D2445" s="8634" t="s">
        <v>7422</v>
      </c>
      <c r="E2445" s="8634" t="s">
        <v>7423</v>
      </c>
      <c r="F2445" s="8634" t="s">
        <v>2213</v>
      </c>
      <c r="G2445" s="8634" t="s">
        <v>7424</v>
      </c>
      <c r="H2445" s="8634" t="s">
        <v>24</v>
      </c>
      <c r="I2445" s="8634" t="s">
        <v>768</v>
      </c>
    </row>
    <row customHeight="1" ht="11.25">
      <c r="A2446" s="8634" t="s">
        <v>2182</v>
      </c>
      <c r="B2446" s="8634" t="s">
        <v>14</v>
      </c>
      <c r="C2446" s="8634" t="s">
        <v>7425</v>
      </c>
      <c r="D2446" s="8634" t="s">
        <v>7426</v>
      </c>
      <c r="E2446" s="8634" t="s">
        <v>7427</v>
      </c>
      <c r="F2446" s="8634" t="s">
        <v>2334</v>
      </c>
      <c r="G2446" s="8634" t="s">
        <v>7428</v>
      </c>
      <c r="H2446" s="8634" t="s">
        <v>24</v>
      </c>
      <c r="I2446" s="8634" t="s">
        <v>768</v>
      </c>
    </row>
    <row customHeight="1" ht="11.25">
      <c r="A2447" s="8634" t="s">
        <v>2182</v>
      </c>
      <c r="B2447" s="8634" t="s">
        <v>14</v>
      </c>
      <c r="C2447" s="8634" t="s">
        <v>7429</v>
      </c>
      <c r="D2447" s="8634" t="s">
        <v>7430</v>
      </c>
      <c r="E2447" s="8634" t="s">
        <v>7431</v>
      </c>
      <c r="F2447" s="8634" t="s">
        <v>2600</v>
      </c>
      <c r="G2447" s="8634" t="s">
        <v>24</v>
      </c>
      <c r="H2447" s="8634" t="s">
        <v>7432</v>
      </c>
      <c r="I2447" s="8634" t="s">
        <v>768</v>
      </c>
    </row>
    <row customHeight="1" ht="11.25">
      <c r="A2448" s="8634" t="s">
        <v>2182</v>
      </c>
      <c r="B2448" s="8634" t="s">
        <v>14</v>
      </c>
      <c r="C2448" s="8634" t="s">
        <v>7433</v>
      </c>
      <c r="D2448" s="8634" t="s">
        <v>7434</v>
      </c>
      <c r="E2448" s="8634" t="s">
        <v>7435</v>
      </c>
      <c r="F2448" s="8634" t="s">
        <v>2411</v>
      </c>
      <c r="G2448" s="8634" t="s">
        <v>24</v>
      </c>
      <c r="H2448" s="8634" t="s">
        <v>2773</v>
      </c>
      <c r="I2448" s="8634" t="s">
        <v>768</v>
      </c>
    </row>
    <row customHeight="1" ht="11.25">
      <c r="A2449" s="8634" t="s">
        <v>2182</v>
      </c>
      <c r="B2449" s="8634" t="s">
        <v>14</v>
      </c>
      <c r="C2449" s="8634" t="s">
        <v>7436</v>
      </c>
      <c r="D2449" s="8634" t="s">
        <v>7437</v>
      </c>
      <c r="E2449" s="8634" t="s">
        <v>7438</v>
      </c>
      <c r="F2449" s="8634" t="s">
        <v>2279</v>
      </c>
      <c r="G2449" s="8634" t="s">
        <v>24</v>
      </c>
      <c r="H2449" s="8634" t="s">
        <v>24</v>
      </c>
      <c r="I2449" s="8634" t="s">
        <v>768</v>
      </c>
    </row>
    <row customHeight="1" ht="11.25">
      <c r="A2450" s="8634" t="s">
        <v>2182</v>
      </c>
      <c r="B2450" s="8634" t="s">
        <v>14</v>
      </c>
      <c r="C2450" s="8634" t="s">
        <v>4985</v>
      </c>
      <c r="D2450" s="8634" t="s">
        <v>4986</v>
      </c>
      <c r="E2450" s="8634" t="s">
        <v>4987</v>
      </c>
      <c r="F2450" s="8634" t="s">
        <v>2705</v>
      </c>
      <c r="G2450" s="8634" t="s">
        <v>24</v>
      </c>
      <c r="H2450" s="8634" t="s">
        <v>2993</v>
      </c>
      <c r="I2450" s="8634" t="s">
        <v>768</v>
      </c>
    </row>
    <row customHeight="1" ht="11.25">
      <c r="A2451" s="8634" t="s">
        <v>2182</v>
      </c>
      <c r="B2451" s="8634" t="s">
        <v>14</v>
      </c>
      <c r="C2451" s="8634" t="s">
        <v>7439</v>
      </c>
      <c r="D2451" s="8634" t="s">
        <v>7440</v>
      </c>
      <c r="E2451" s="8634" t="s">
        <v>7441</v>
      </c>
      <c r="F2451" s="8634" t="s">
        <v>2563</v>
      </c>
      <c r="G2451" s="8634" t="s">
        <v>7442</v>
      </c>
      <c r="H2451" s="8634" t="s">
        <v>24</v>
      </c>
      <c r="I2451" s="8634" t="s">
        <v>768</v>
      </c>
    </row>
    <row customHeight="1" ht="11.25">
      <c r="A2452" s="8634" t="s">
        <v>2182</v>
      </c>
      <c r="B2452" s="8634" t="s">
        <v>14</v>
      </c>
      <c r="C2452" s="8634" t="s">
        <v>4988</v>
      </c>
      <c r="D2452" s="8634" t="s">
        <v>4989</v>
      </c>
      <c r="E2452" s="8634" t="s">
        <v>4990</v>
      </c>
      <c r="F2452" s="8634" t="s">
        <v>2218</v>
      </c>
      <c r="G2452" s="8634" t="s">
        <v>4991</v>
      </c>
      <c r="H2452" s="8634" t="s">
        <v>24</v>
      </c>
      <c r="I2452" s="8634" t="s">
        <v>768</v>
      </c>
    </row>
    <row customHeight="1" ht="11.25">
      <c r="A2453" s="8634" t="s">
        <v>2182</v>
      </c>
      <c r="B2453" s="8634" t="s">
        <v>14</v>
      </c>
      <c r="C2453" s="8634" t="s">
        <v>4992</v>
      </c>
      <c r="D2453" s="8634" t="s">
        <v>4993</v>
      </c>
      <c r="E2453" s="8634" t="s">
        <v>4994</v>
      </c>
      <c r="F2453" s="8634" t="s">
        <v>2354</v>
      </c>
      <c r="G2453" s="8634" t="s">
        <v>4995</v>
      </c>
      <c r="H2453" s="8634" t="s">
        <v>2187</v>
      </c>
      <c r="I2453" s="8634" t="s">
        <v>768</v>
      </c>
    </row>
    <row customHeight="1" ht="11.25">
      <c r="A2454" s="8634" t="s">
        <v>2182</v>
      </c>
      <c r="B2454" s="8634" t="s">
        <v>14</v>
      </c>
      <c r="C2454" s="8634" t="s">
        <v>4996</v>
      </c>
      <c r="D2454" s="8634" t="s">
        <v>4993</v>
      </c>
      <c r="E2454" s="8634" t="s">
        <v>4997</v>
      </c>
      <c r="F2454" s="8634" t="s">
        <v>2354</v>
      </c>
      <c r="G2454" s="8634" t="s">
        <v>24</v>
      </c>
      <c r="H2454" s="8634" t="s">
        <v>3450</v>
      </c>
      <c r="I2454" s="8634" t="s">
        <v>768</v>
      </c>
    </row>
    <row customHeight="1" ht="11.25">
      <c r="A2455" s="8634" t="s">
        <v>2182</v>
      </c>
      <c r="B2455" s="8634" t="s">
        <v>14</v>
      </c>
      <c r="C2455" s="8634" t="s">
        <v>4998</v>
      </c>
      <c r="D2455" s="8634" t="s">
        <v>4999</v>
      </c>
      <c r="E2455" s="8634" t="s">
        <v>5000</v>
      </c>
      <c r="F2455" s="8634" t="s">
        <v>2354</v>
      </c>
      <c r="G2455" s="8634" t="s">
        <v>24</v>
      </c>
      <c r="H2455" s="8634" t="s">
        <v>24</v>
      </c>
      <c r="I2455" s="8634" t="s">
        <v>768</v>
      </c>
    </row>
    <row customHeight="1" ht="11.25">
      <c r="A2456" s="8634" t="s">
        <v>2182</v>
      </c>
      <c r="B2456" s="8634" t="s">
        <v>14</v>
      </c>
      <c r="C2456" s="8634" t="s">
        <v>5001</v>
      </c>
      <c r="D2456" s="8634" t="s">
        <v>5002</v>
      </c>
      <c r="E2456" s="8634" t="s">
        <v>5003</v>
      </c>
      <c r="F2456" s="8634" t="s">
        <v>2354</v>
      </c>
      <c r="G2456" s="8634" t="s">
        <v>5004</v>
      </c>
      <c r="H2456" s="8634" t="s">
        <v>2187</v>
      </c>
      <c r="I2456" s="8634" t="s">
        <v>768</v>
      </c>
    </row>
    <row customHeight="1" ht="11.25">
      <c r="A2457" s="8634" t="s">
        <v>2182</v>
      </c>
      <c r="B2457" s="8634" t="s">
        <v>14</v>
      </c>
      <c r="C2457" s="8634" t="s">
        <v>5009</v>
      </c>
      <c r="D2457" s="8634" t="s">
        <v>5010</v>
      </c>
      <c r="E2457" s="8634" t="s">
        <v>5011</v>
      </c>
      <c r="F2457" s="8634" t="s">
        <v>2563</v>
      </c>
      <c r="G2457" s="8634" t="s">
        <v>5012</v>
      </c>
      <c r="H2457" s="8634" t="s">
        <v>24</v>
      </c>
      <c r="I2457" s="8634" t="s">
        <v>768</v>
      </c>
    </row>
    <row customHeight="1" ht="11.25">
      <c r="A2458" s="8634" t="s">
        <v>2182</v>
      </c>
      <c r="B2458" s="8634" t="s">
        <v>14</v>
      </c>
      <c r="C2458" s="8634" t="s">
        <v>5013</v>
      </c>
      <c r="D2458" s="8634" t="s">
        <v>5014</v>
      </c>
      <c r="E2458" s="8634" t="s">
        <v>5015</v>
      </c>
      <c r="F2458" s="8634" t="s">
        <v>4717</v>
      </c>
      <c r="G2458" s="8634" t="s">
        <v>24</v>
      </c>
      <c r="H2458" s="8634" t="s">
        <v>2187</v>
      </c>
      <c r="I2458" s="8634" t="s">
        <v>768</v>
      </c>
    </row>
    <row customHeight="1" ht="11.25">
      <c r="A2459" s="8634" t="s">
        <v>2182</v>
      </c>
      <c r="B2459" s="8634" t="s">
        <v>14</v>
      </c>
      <c r="C2459" s="8634" t="s">
        <v>7443</v>
      </c>
      <c r="D2459" s="8634" t="s">
        <v>7444</v>
      </c>
      <c r="E2459" s="8634" t="s">
        <v>7445</v>
      </c>
      <c r="F2459" s="8634" t="s">
        <v>2626</v>
      </c>
      <c r="G2459" s="8634" t="s">
        <v>7446</v>
      </c>
      <c r="H2459" s="8634" t="s">
        <v>24</v>
      </c>
      <c r="I2459" s="8634" t="s">
        <v>768</v>
      </c>
    </row>
    <row customHeight="1" ht="11.25">
      <c r="A2460" s="8634" t="s">
        <v>2182</v>
      </c>
      <c r="B2460" s="8634" t="s">
        <v>14</v>
      </c>
      <c r="C2460" s="8634" t="s">
        <v>7447</v>
      </c>
      <c r="D2460" s="8634" t="s">
        <v>7448</v>
      </c>
      <c r="E2460" s="8634" t="s">
        <v>7449</v>
      </c>
      <c r="F2460" s="8634" t="s">
        <v>2318</v>
      </c>
      <c r="G2460" s="8634" t="s">
        <v>24</v>
      </c>
      <c r="H2460" s="8634" t="s">
        <v>24</v>
      </c>
      <c r="I2460" s="8634" t="s">
        <v>768</v>
      </c>
    </row>
    <row customHeight="1" ht="11.25">
      <c r="A2461" s="8634" t="s">
        <v>2182</v>
      </c>
      <c r="B2461" s="8634" t="s">
        <v>14</v>
      </c>
      <c r="C2461" s="8634" t="s">
        <v>7450</v>
      </c>
      <c r="D2461" s="8634" t="s">
        <v>7451</v>
      </c>
      <c r="E2461" s="8634" t="s">
        <v>7452</v>
      </c>
      <c r="F2461" s="8634" t="s">
        <v>2492</v>
      </c>
      <c r="G2461" s="8634" t="s">
        <v>5920</v>
      </c>
      <c r="H2461" s="8634" t="s">
        <v>2187</v>
      </c>
      <c r="I2461" s="8634" t="s">
        <v>768</v>
      </c>
    </row>
    <row customHeight="1" ht="11.25">
      <c r="A2462" s="8634" t="s">
        <v>2182</v>
      </c>
      <c r="B2462" s="8634" t="s">
        <v>14</v>
      </c>
      <c r="C2462" s="8634" t="s">
        <v>7453</v>
      </c>
      <c r="D2462" s="8634" t="s">
        <v>7454</v>
      </c>
      <c r="E2462" s="8634" t="s">
        <v>7455</v>
      </c>
      <c r="F2462" s="8634" t="s">
        <v>2477</v>
      </c>
      <c r="G2462" s="8634" t="s">
        <v>7456</v>
      </c>
      <c r="H2462" s="8634" t="s">
        <v>24</v>
      </c>
      <c r="I2462" s="8634" t="s">
        <v>768</v>
      </c>
    </row>
    <row customHeight="1" ht="11.25">
      <c r="A2463" s="8634" t="s">
        <v>2182</v>
      </c>
      <c r="B2463" s="8634" t="s">
        <v>14</v>
      </c>
      <c r="C2463" s="8634" t="s">
        <v>5025</v>
      </c>
      <c r="D2463" s="8634" t="s">
        <v>5026</v>
      </c>
      <c r="E2463" s="8634" t="s">
        <v>5027</v>
      </c>
      <c r="F2463" s="8634" t="s">
        <v>2245</v>
      </c>
      <c r="G2463" s="8634" t="s">
        <v>2368</v>
      </c>
      <c r="H2463" s="8634" t="s">
        <v>24</v>
      </c>
      <c r="I2463" s="8634" t="s">
        <v>768</v>
      </c>
    </row>
    <row customHeight="1" ht="11.25">
      <c r="A2464" s="8634" t="s">
        <v>2182</v>
      </c>
      <c r="B2464" s="8634" t="s">
        <v>14</v>
      </c>
      <c r="C2464" s="8634" t="s">
        <v>7457</v>
      </c>
      <c r="D2464" s="8634" t="s">
        <v>7458</v>
      </c>
      <c r="E2464" s="8634" t="s">
        <v>7459</v>
      </c>
      <c r="F2464" s="8634" t="s">
        <v>2334</v>
      </c>
      <c r="G2464" s="8634" t="s">
        <v>24</v>
      </c>
      <c r="H2464" s="8634" t="s">
        <v>7460</v>
      </c>
      <c r="I2464" s="8634" t="s">
        <v>768</v>
      </c>
    </row>
    <row customHeight="1" ht="11.25">
      <c r="A2465" s="8634" t="s">
        <v>2182</v>
      </c>
      <c r="B2465" s="8634" t="s">
        <v>14</v>
      </c>
      <c r="C2465" s="8634" t="s">
        <v>5036</v>
      </c>
      <c r="D2465" s="8634" t="s">
        <v>5037</v>
      </c>
      <c r="E2465" s="8634" t="s">
        <v>5038</v>
      </c>
      <c r="F2465" s="8634" t="s">
        <v>2322</v>
      </c>
      <c r="G2465" s="8634" t="s">
        <v>5039</v>
      </c>
      <c r="H2465" s="8634" t="s">
        <v>24</v>
      </c>
      <c r="I2465" s="8634" t="s">
        <v>768</v>
      </c>
    </row>
    <row customHeight="1" ht="11.25">
      <c r="A2466" s="8634" t="s">
        <v>2182</v>
      </c>
      <c r="B2466" s="8634" t="s">
        <v>14</v>
      </c>
      <c r="C2466" s="8634" t="s">
        <v>7461</v>
      </c>
      <c r="D2466" s="8634" t="s">
        <v>7462</v>
      </c>
      <c r="E2466" s="8634" t="s">
        <v>7463</v>
      </c>
      <c r="F2466" s="8634" t="s">
        <v>2394</v>
      </c>
      <c r="G2466" s="8634" t="s">
        <v>24</v>
      </c>
      <c r="H2466" s="8634" t="s">
        <v>24</v>
      </c>
      <c r="I2466" s="8634" t="s">
        <v>768</v>
      </c>
    </row>
    <row customHeight="1" ht="11.25">
      <c r="A2467" s="8634" t="s">
        <v>2182</v>
      </c>
      <c r="B2467" s="8634" t="s">
        <v>14</v>
      </c>
      <c r="C2467" s="8634" t="s">
        <v>7464</v>
      </c>
      <c r="D2467" s="8634" t="s">
        <v>7465</v>
      </c>
      <c r="E2467" s="8634" t="s">
        <v>7466</v>
      </c>
      <c r="F2467" s="8634" t="s">
        <v>2477</v>
      </c>
      <c r="G2467" s="8634" t="s">
        <v>24</v>
      </c>
      <c r="H2467" s="8634" t="s">
        <v>24</v>
      </c>
      <c r="I2467" s="8634" t="s">
        <v>768</v>
      </c>
    </row>
    <row customHeight="1" ht="11.25">
      <c r="A2468" s="8634" t="s">
        <v>2182</v>
      </c>
      <c r="B2468" s="8634" t="s">
        <v>14</v>
      </c>
      <c r="C2468" s="8634" t="s">
        <v>5067</v>
      </c>
      <c r="D2468" s="8634" t="s">
        <v>5068</v>
      </c>
      <c r="E2468" s="8634" t="s">
        <v>5069</v>
      </c>
      <c r="F2468" s="8634" t="s">
        <v>2398</v>
      </c>
      <c r="G2468" s="8634" t="s">
        <v>5070</v>
      </c>
      <c r="H2468" s="8634" t="s">
        <v>24</v>
      </c>
      <c r="I2468" s="8634" t="s">
        <v>768</v>
      </c>
    </row>
    <row customHeight="1" ht="11.25">
      <c r="A2469" s="8634" t="s">
        <v>2182</v>
      </c>
      <c r="B2469" s="8634" t="s">
        <v>14</v>
      </c>
      <c r="C2469" s="8634" t="s">
        <v>5077</v>
      </c>
      <c r="D2469" s="8634" t="s">
        <v>5078</v>
      </c>
      <c r="E2469" s="8634" t="s">
        <v>5079</v>
      </c>
      <c r="F2469" s="8634" t="s">
        <v>4764</v>
      </c>
      <c r="G2469" s="8634" t="s">
        <v>24</v>
      </c>
      <c r="H2469" s="8634" t="s">
        <v>24</v>
      </c>
      <c r="I2469" s="8634" t="s">
        <v>768</v>
      </c>
    </row>
    <row customHeight="1" ht="11.25">
      <c r="A2470" s="8634" t="s">
        <v>2182</v>
      </c>
      <c r="B2470" s="8634" t="s">
        <v>14</v>
      </c>
      <c r="C2470" s="8634" t="s">
        <v>7467</v>
      </c>
      <c r="D2470" s="8634" t="s">
        <v>7468</v>
      </c>
      <c r="E2470" s="8634" t="s">
        <v>6414</v>
      </c>
      <c r="F2470" s="8634" t="s">
        <v>2228</v>
      </c>
      <c r="G2470" s="8634" t="s">
        <v>24</v>
      </c>
      <c r="H2470" s="8634" t="s">
        <v>24</v>
      </c>
      <c r="I2470" s="8634" t="s">
        <v>768</v>
      </c>
    </row>
    <row customHeight="1" ht="11.25">
      <c r="A2471" s="8634" t="s">
        <v>2182</v>
      </c>
      <c r="B2471" s="8634" t="s">
        <v>14</v>
      </c>
      <c r="C2471" s="8634" t="s">
        <v>5091</v>
      </c>
      <c r="D2471" s="8634" t="s">
        <v>5092</v>
      </c>
      <c r="E2471" s="8634" t="s">
        <v>5093</v>
      </c>
      <c r="F2471" s="8634" t="s">
        <v>2245</v>
      </c>
      <c r="G2471" s="8634" t="s">
        <v>24</v>
      </c>
      <c r="H2471" s="8634" t="s">
        <v>5094</v>
      </c>
      <c r="I2471" s="8634" t="s">
        <v>768</v>
      </c>
    </row>
    <row customHeight="1" ht="11.25">
      <c r="A2472" s="8634" t="s">
        <v>2182</v>
      </c>
      <c r="B2472" s="8634" t="s">
        <v>14</v>
      </c>
      <c r="C2472" s="8634" t="s">
        <v>6359</v>
      </c>
      <c r="D2472" s="8634" t="s">
        <v>6360</v>
      </c>
      <c r="E2472" s="8634" t="s">
        <v>6361</v>
      </c>
      <c r="F2472" s="8634" t="s">
        <v>2705</v>
      </c>
      <c r="G2472" s="8634" t="s">
        <v>24</v>
      </c>
      <c r="H2472" s="8634" t="s">
        <v>24</v>
      </c>
      <c r="I2472" s="8634" t="s">
        <v>768</v>
      </c>
    </row>
    <row customHeight="1" ht="11.25">
      <c r="A2473" s="8634" t="s">
        <v>2182</v>
      </c>
      <c r="B2473" s="8634" t="s">
        <v>14</v>
      </c>
      <c r="C2473" s="8634" t="s">
        <v>5102</v>
      </c>
      <c r="D2473" s="8634" t="s">
        <v>5103</v>
      </c>
      <c r="E2473" s="8634" t="s">
        <v>5104</v>
      </c>
      <c r="F2473" s="8634" t="s">
        <v>2705</v>
      </c>
      <c r="G2473" s="8634" t="s">
        <v>24</v>
      </c>
      <c r="H2473" s="8634" t="s">
        <v>2187</v>
      </c>
      <c r="I2473" s="8634" t="s">
        <v>768</v>
      </c>
    </row>
    <row customHeight="1" ht="11.25">
      <c r="A2474" s="8634" t="s">
        <v>2182</v>
      </c>
      <c r="B2474" s="8634" t="s">
        <v>14</v>
      </c>
      <c r="C2474" s="8634" t="s">
        <v>5113</v>
      </c>
      <c r="D2474" s="8634" t="s">
        <v>5114</v>
      </c>
      <c r="E2474" s="8634" t="s">
        <v>5115</v>
      </c>
      <c r="F2474" s="8634" t="s">
        <v>2213</v>
      </c>
      <c r="G2474" s="8634" t="s">
        <v>24</v>
      </c>
      <c r="H2474" s="8634" t="s">
        <v>2187</v>
      </c>
      <c r="I2474" s="8634" t="s">
        <v>768</v>
      </c>
    </row>
    <row customHeight="1" ht="11.25">
      <c r="A2475" s="8634" t="s">
        <v>2182</v>
      </c>
      <c r="B2475" s="8634" t="s">
        <v>14</v>
      </c>
      <c r="C2475" s="8634" t="s">
        <v>7469</v>
      </c>
      <c r="D2475" s="8634" t="s">
        <v>7470</v>
      </c>
      <c r="E2475" s="8634" t="s">
        <v>7471</v>
      </c>
      <c r="F2475" s="8634" t="s">
        <v>2398</v>
      </c>
      <c r="G2475" s="8634" t="s">
        <v>24</v>
      </c>
      <c r="H2475" s="8634" t="s">
        <v>24</v>
      </c>
      <c r="I2475" s="8634" t="s">
        <v>768</v>
      </c>
    </row>
    <row customHeight="1" ht="11.25">
      <c r="A2476" s="8634" t="s">
        <v>2182</v>
      </c>
      <c r="B2476" s="8634" t="s">
        <v>14</v>
      </c>
      <c r="C2476" s="8634" t="s">
        <v>7472</v>
      </c>
      <c r="D2476" s="8634" t="s">
        <v>5124</v>
      </c>
      <c r="E2476" s="8634" t="s">
        <v>7473</v>
      </c>
      <c r="F2476" s="8634" t="s">
        <v>2228</v>
      </c>
      <c r="G2476" s="8634" t="s">
        <v>7474</v>
      </c>
      <c r="H2476" s="8634" t="s">
        <v>24</v>
      </c>
      <c r="I2476" s="8634" t="s">
        <v>768</v>
      </c>
    </row>
    <row customHeight="1" ht="11.25">
      <c r="A2477" s="8634" t="s">
        <v>2182</v>
      </c>
      <c r="B2477" s="8634" t="s">
        <v>14</v>
      </c>
      <c r="C2477" s="8634" t="s">
        <v>5123</v>
      </c>
      <c r="D2477" s="8634" t="s">
        <v>5124</v>
      </c>
      <c r="E2477" s="8634" t="s">
        <v>5125</v>
      </c>
      <c r="F2477" s="8634" t="s">
        <v>2314</v>
      </c>
      <c r="G2477" s="8634" t="s">
        <v>2443</v>
      </c>
      <c r="H2477" s="8634" t="s">
        <v>24</v>
      </c>
      <c r="I2477" s="8634" t="s">
        <v>768</v>
      </c>
    </row>
    <row customHeight="1" ht="11.25">
      <c r="A2478" s="8634" t="s">
        <v>2182</v>
      </c>
      <c r="B2478" s="8634" t="s">
        <v>14</v>
      </c>
      <c r="C2478" s="8634" t="s">
        <v>5129</v>
      </c>
      <c r="D2478" s="8634" t="s">
        <v>5130</v>
      </c>
      <c r="E2478" s="8634" t="s">
        <v>5131</v>
      </c>
      <c r="F2478" s="8634" t="s">
        <v>2228</v>
      </c>
      <c r="G2478" s="8634" t="s">
        <v>5132</v>
      </c>
      <c r="H2478" s="8634" t="s">
        <v>5133</v>
      </c>
      <c r="I2478" s="8634" t="s">
        <v>768</v>
      </c>
    </row>
    <row customHeight="1" ht="11.25">
      <c r="A2479" s="8634" t="s">
        <v>2182</v>
      </c>
      <c r="B2479" s="8634" t="s">
        <v>14</v>
      </c>
      <c r="C2479" s="8634" t="s">
        <v>7475</v>
      </c>
      <c r="D2479" s="8634" t="s">
        <v>7476</v>
      </c>
      <c r="E2479" s="8634" t="s">
        <v>7477</v>
      </c>
      <c r="F2479" s="8634" t="s">
        <v>2600</v>
      </c>
      <c r="G2479" s="8634" t="s">
        <v>7478</v>
      </c>
      <c r="H2479" s="8634" t="s">
        <v>24</v>
      </c>
      <c r="I2479" s="8634" t="s">
        <v>768</v>
      </c>
    </row>
    <row customHeight="1" ht="11.25">
      <c r="A2480" s="8634" t="s">
        <v>2182</v>
      </c>
      <c r="B2480" s="8634" t="s">
        <v>14</v>
      </c>
      <c r="C2480" s="8634" t="s">
        <v>5159</v>
      </c>
      <c r="D2480" s="8634" t="s">
        <v>5156</v>
      </c>
      <c r="E2480" s="8634" t="s">
        <v>5160</v>
      </c>
      <c r="F2480" s="8634" t="s">
        <v>2322</v>
      </c>
      <c r="G2480" s="8634" t="s">
        <v>5161</v>
      </c>
      <c r="H2480" s="8634" t="s">
        <v>24</v>
      </c>
      <c r="I2480" s="8634" t="s">
        <v>768</v>
      </c>
    </row>
    <row customHeight="1" ht="11.25">
      <c r="A2481" s="8634" t="s">
        <v>2182</v>
      </c>
      <c r="B2481" s="8634" t="s">
        <v>14</v>
      </c>
      <c r="C2481" s="8634" t="s">
        <v>7479</v>
      </c>
      <c r="D2481" s="8634" t="s">
        <v>7480</v>
      </c>
      <c r="E2481" s="8634" t="s">
        <v>7481</v>
      </c>
      <c r="F2481" s="8634" t="s">
        <v>2245</v>
      </c>
      <c r="G2481" s="8634" t="s">
        <v>24</v>
      </c>
      <c r="H2481" s="8634" t="s">
        <v>24</v>
      </c>
      <c r="I2481" s="8634" t="s">
        <v>768</v>
      </c>
    </row>
    <row customHeight="1" ht="11.25">
      <c r="A2482" s="8634" t="s">
        <v>2182</v>
      </c>
      <c r="B2482" s="8634" t="s">
        <v>14</v>
      </c>
      <c r="C2482" s="8634" t="s">
        <v>7482</v>
      </c>
      <c r="D2482" s="8634" t="s">
        <v>7483</v>
      </c>
      <c r="E2482" s="8634" t="s">
        <v>7484</v>
      </c>
      <c r="F2482" s="8634" t="s">
        <v>2186</v>
      </c>
      <c r="G2482" s="8634" t="s">
        <v>24</v>
      </c>
      <c r="H2482" s="8634" t="s">
        <v>7485</v>
      </c>
      <c r="I2482" s="8634" t="s">
        <v>768</v>
      </c>
    </row>
    <row customHeight="1" ht="11.25">
      <c r="A2483" s="8634" t="s">
        <v>2182</v>
      </c>
      <c r="B2483" s="8634" t="s">
        <v>14</v>
      </c>
      <c r="C2483" s="8634" t="s">
        <v>7486</v>
      </c>
      <c r="D2483" s="8634" t="s">
        <v>7487</v>
      </c>
      <c r="E2483" s="8634" t="s">
        <v>7488</v>
      </c>
      <c r="F2483" s="8634" t="s">
        <v>2250</v>
      </c>
      <c r="G2483" s="8634" t="s">
        <v>24</v>
      </c>
      <c r="H2483" s="8634" t="s">
        <v>2773</v>
      </c>
      <c r="I2483" s="8634" t="s">
        <v>768</v>
      </c>
    </row>
    <row customHeight="1" ht="11.25">
      <c r="A2484" s="8634" t="s">
        <v>2182</v>
      </c>
      <c r="B2484" s="8634" t="s">
        <v>14</v>
      </c>
      <c r="C2484" s="8634" t="s">
        <v>5210</v>
      </c>
      <c r="D2484" s="8634" t="s">
        <v>5211</v>
      </c>
      <c r="E2484" s="8634" t="s">
        <v>5212</v>
      </c>
      <c r="F2484" s="8634" t="s">
        <v>2213</v>
      </c>
      <c r="G2484" s="8634" t="s">
        <v>5213</v>
      </c>
      <c r="H2484" s="8634" t="s">
        <v>24</v>
      </c>
      <c r="I2484" s="8634" t="s">
        <v>768</v>
      </c>
    </row>
    <row customHeight="1" ht="11.25">
      <c r="A2485" s="8634" t="s">
        <v>2182</v>
      </c>
      <c r="B2485" s="8634" t="s">
        <v>14</v>
      </c>
      <c r="C2485" s="8634" t="s">
        <v>5217</v>
      </c>
      <c r="D2485" s="8634" t="s">
        <v>5218</v>
      </c>
      <c r="E2485" s="8634" t="s">
        <v>5219</v>
      </c>
      <c r="F2485" s="8634" t="s">
        <v>2721</v>
      </c>
      <c r="G2485" s="8634" t="s">
        <v>5220</v>
      </c>
      <c r="H2485" s="8634" t="s">
        <v>24</v>
      </c>
      <c r="I2485" s="8634" t="s">
        <v>768</v>
      </c>
    </row>
    <row customHeight="1" ht="11.25">
      <c r="A2486" s="8634" t="s">
        <v>2182</v>
      </c>
      <c r="B2486" s="8634" t="s">
        <v>14</v>
      </c>
      <c r="C2486" s="8634" t="s">
        <v>5221</v>
      </c>
      <c r="D2486" s="8634" t="s">
        <v>5222</v>
      </c>
      <c r="E2486" s="8634" t="s">
        <v>5223</v>
      </c>
      <c r="F2486" s="8634" t="s">
        <v>2228</v>
      </c>
      <c r="G2486" s="8634" t="s">
        <v>5224</v>
      </c>
      <c r="H2486" s="8634" t="s">
        <v>24</v>
      </c>
      <c r="I2486" s="8634" t="s">
        <v>768</v>
      </c>
    </row>
    <row customHeight="1" ht="11.25">
      <c r="A2487" s="8634" t="s">
        <v>2182</v>
      </c>
      <c r="B2487" s="8634" t="s">
        <v>14</v>
      </c>
      <c r="C2487" s="8634" t="s">
        <v>5232</v>
      </c>
      <c r="D2487" s="8634" t="s">
        <v>5233</v>
      </c>
      <c r="E2487" s="8634" t="s">
        <v>5234</v>
      </c>
      <c r="F2487" s="8634" t="s">
        <v>5235</v>
      </c>
      <c r="G2487" s="8634" t="s">
        <v>5236</v>
      </c>
      <c r="H2487" s="8634" t="s">
        <v>24</v>
      </c>
      <c r="I2487" s="8634" t="s">
        <v>768</v>
      </c>
    </row>
    <row customHeight="1" ht="11.25">
      <c r="A2488" s="8634" t="s">
        <v>2182</v>
      </c>
      <c r="B2488" s="8634" t="s">
        <v>14</v>
      </c>
      <c r="C2488" s="8634" t="s">
        <v>5242</v>
      </c>
      <c r="D2488" s="8634" t="s">
        <v>5243</v>
      </c>
      <c r="E2488" s="8634" t="s">
        <v>5244</v>
      </c>
      <c r="F2488" s="8634" t="s">
        <v>2600</v>
      </c>
      <c r="G2488" s="8634" t="s">
        <v>5245</v>
      </c>
      <c r="H2488" s="8634" t="s">
        <v>24</v>
      </c>
      <c r="I2488" s="8634" t="s">
        <v>768</v>
      </c>
    </row>
    <row customHeight="1" ht="11.25">
      <c r="A2489" s="8634" t="s">
        <v>2182</v>
      </c>
      <c r="B2489" s="8634" t="s">
        <v>14</v>
      </c>
      <c r="C2489" s="8634" t="s">
        <v>5249</v>
      </c>
      <c r="D2489" s="8634" t="s">
        <v>5250</v>
      </c>
      <c r="E2489" s="8634" t="s">
        <v>5251</v>
      </c>
      <c r="F2489" s="8634" t="s">
        <v>2322</v>
      </c>
      <c r="G2489" s="8634" t="s">
        <v>24</v>
      </c>
      <c r="H2489" s="8634" t="s">
        <v>5252</v>
      </c>
      <c r="I2489" s="8634" t="s">
        <v>768</v>
      </c>
    </row>
    <row customHeight="1" ht="11.25">
      <c r="A2490" s="8634" t="s">
        <v>2182</v>
      </c>
      <c r="B2490" s="8634" t="s">
        <v>14</v>
      </c>
      <c r="C2490" s="8634" t="s">
        <v>5257</v>
      </c>
      <c r="D2490" s="8634" t="s">
        <v>5258</v>
      </c>
      <c r="E2490" s="8634" t="s">
        <v>5259</v>
      </c>
      <c r="F2490" s="8634" t="s">
        <v>2300</v>
      </c>
      <c r="G2490" s="8634" t="s">
        <v>24</v>
      </c>
      <c r="H2490" s="8634" t="s">
        <v>24</v>
      </c>
      <c r="I2490" s="8634" t="s">
        <v>768</v>
      </c>
    </row>
    <row customHeight="1" ht="11.25">
      <c r="A2491" s="8634" t="s">
        <v>2182</v>
      </c>
      <c r="B2491" s="8634" t="s">
        <v>14</v>
      </c>
      <c r="C2491" s="8634" t="s">
        <v>5263</v>
      </c>
      <c r="D2491" s="8634" t="s">
        <v>5264</v>
      </c>
      <c r="E2491" s="8634" t="s">
        <v>5265</v>
      </c>
      <c r="F2491" s="8634" t="s">
        <v>2233</v>
      </c>
      <c r="G2491" s="8634" t="s">
        <v>24</v>
      </c>
      <c r="H2491" s="8634" t="s">
        <v>24</v>
      </c>
      <c r="I2491" s="8634" t="s">
        <v>768</v>
      </c>
    </row>
    <row customHeight="1" ht="11.25">
      <c r="A2492" s="8634" t="s">
        <v>2182</v>
      </c>
      <c r="B2492" s="8634" t="s">
        <v>14</v>
      </c>
      <c r="C2492" s="8634" t="s">
        <v>5277</v>
      </c>
      <c r="D2492" s="8634" t="s">
        <v>5278</v>
      </c>
      <c r="E2492" s="8634" t="s">
        <v>5279</v>
      </c>
      <c r="F2492" s="8634" t="s">
        <v>4570</v>
      </c>
      <c r="G2492" s="8634" t="s">
        <v>5280</v>
      </c>
      <c r="H2492" s="8634" t="s">
        <v>24</v>
      </c>
      <c r="I2492" s="8634" t="s">
        <v>768</v>
      </c>
    </row>
    <row customHeight="1" ht="11.25">
      <c r="A2493" s="8634" t="s">
        <v>2182</v>
      </c>
      <c r="B2493" s="8634" t="s">
        <v>14</v>
      </c>
      <c r="C2493" s="8634" t="s">
        <v>7489</v>
      </c>
      <c r="D2493" s="8634" t="s">
        <v>7490</v>
      </c>
      <c r="E2493" s="8634" t="s">
        <v>7491</v>
      </c>
      <c r="F2493" s="8634" t="s">
        <v>4645</v>
      </c>
      <c r="G2493" s="8634" t="s">
        <v>7492</v>
      </c>
      <c r="H2493" s="8634" t="s">
        <v>24</v>
      </c>
      <c r="I2493" s="8634" t="s">
        <v>768</v>
      </c>
    </row>
    <row customHeight="1" ht="11.25">
      <c r="A2494" s="8634" t="s">
        <v>2182</v>
      </c>
      <c r="B2494" s="8634" t="s">
        <v>14</v>
      </c>
      <c r="C2494" s="8634" t="s">
        <v>7493</v>
      </c>
      <c r="D2494" s="8634" t="s">
        <v>7494</v>
      </c>
      <c r="E2494" s="8634" t="s">
        <v>7495</v>
      </c>
      <c r="F2494" s="8634" t="s">
        <v>2218</v>
      </c>
      <c r="G2494" s="8634" t="s">
        <v>7496</v>
      </c>
      <c r="H2494" s="8634" t="s">
        <v>24</v>
      </c>
      <c r="I2494" s="8634" t="s">
        <v>768</v>
      </c>
    </row>
    <row customHeight="1" ht="11.25">
      <c r="A2495" s="8634" t="s">
        <v>2182</v>
      </c>
      <c r="B2495" s="8634" t="s">
        <v>14</v>
      </c>
      <c r="C2495" s="8634" t="s">
        <v>7497</v>
      </c>
      <c r="D2495" s="8634" t="s">
        <v>7498</v>
      </c>
      <c r="E2495" s="8634" t="s">
        <v>7499</v>
      </c>
      <c r="F2495" s="8634" t="s">
        <v>2600</v>
      </c>
      <c r="G2495" s="8634" t="s">
        <v>7500</v>
      </c>
      <c r="H2495" s="8634" t="s">
        <v>24</v>
      </c>
      <c r="I2495" s="8634" t="s">
        <v>768</v>
      </c>
    </row>
    <row customHeight="1" ht="11.25">
      <c r="A2496" s="8634" t="s">
        <v>2182</v>
      </c>
      <c r="B2496" s="8634" t="s">
        <v>14</v>
      </c>
      <c r="C2496" s="8634" t="s">
        <v>5304</v>
      </c>
      <c r="D2496" s="8634" t="s">
        <v>5305</v>
      </c>
      <c r="E2496" s="8634" t="s">
        <v>5306</v>
      </c>
      <c r="F2496" s="8634" t="s">
        <v>2721</v>
      </c>
      <c r="G2496" s="8634" t="s">
        <v>24</v>
      </c>
      <c r="H2496" s="8634" t="s">
        <v>2187</v>
      </c>
      <c r="I2496" s="8634" t="s">
        <v>768</v>
      </c>
    </row>
    <row customHeight="1" ht="11.25">
      <c r="A2497" s="8634" t="s">
        <v>2182</v>
      </c>
      <c r="B2497" s="8634" t="s">
        <v>14</v>
      </c>
      <c r="C2497" s="8634" t="s">
        <v>5312</v>
      </c>
      <c r="D2497" s="8634" t="s">
        <v>5313</v>
      </c>
      <c r="E2497" s="8634" t="s">
        <v>5314</v>
      </c>
      <c r="F2497" s="8634" t="s">
        <v>2213</v>
      </c>
      <c r="G2497" s="8634" t="s">
        <v>5315</v>
      </c>
      <c r="H2497" s="8634" t="s">
        <v>24</v>
      </c>
      <c r="I2497" s="8634" t="s">
        <v>768</v>
      </c>
    </row>
    <row customHeight="1" ht="11.25">
      <c r="A2498" s="8634" t="s">
        <v>2182</v>
      </c>
      <c r="B2498" s="8634" t="s">
        <v>14</v>
      </c>
      <c r="C2498" s="8634" t="s">
        <v>6365</v>
      </c>
      <c r="D2498" s="8634" t="s">
        <v>6366</v>
      </c>
      <c r="E2498" s="8634" t="s">
        <v>6367</v>
      </c>
      <c r="F2498" s="8634" t="s">
        <v>2228</v>
      </c>
      <c r="G2498" s="8634" t="s">
        <v>24</v>
      </c>
      <c r="H2498" s="8634" t="s">
        <v>2187</v>
      </c>
      <c r="I2498" s="8634" t="s">
        <v>768</v>
      </c>
    </row>
    <row customHeight="1" ht="11.25">
      <c r="A2499" s="8634" t="s">
        <v>2182</v>
      </c>
      <c r="B2499" s="8634" t="s">
        <v>14</v>
      </c>
      <c r="C2499" s="8634" t="s">
        <v>5323</v>
      </c>
      <c r="D2499" s="8634" t="s">
        <v>5324</v>
      </c>
      <c r="E2499" s="8634" t="s">
        <v>5325</v>
      </c>
      <c r="F2499" s="8634" t="s">
        <v>2228</v>
      </c>
      <c r="G2499" s="8634" t="s">
        <v>3982</v>
      </c>
      <c r="H2499" s="8634" t="s">
        <v>24</v>
      </c>
      <c r="I2499" s="8634" t="s">
        <v>768</v>
      </c>
    </row>
    <row customHeight="1" ht="11.25">
      <c r="A2500" s="8634" t="s">
        <v>2182</v>
      </c>
      <c r="B2500" s="8634" t="s">
        <v>14</v>
      </c>
      <c r="C2500" s="8634" t="s">
        <v>7501</v>
      </c>
      <c r="D2500" s="8634" t="s">
        <v>7502</v>
      </c>
      <c r="E2500" s="8634" t="s">
        <v>7503</v>
      </c>
      <c r="F2500" s="8634" t="s">
        <v>2228</v>
      </c>
      <c r="G2500" s="8634" t="s">
        <v>7504</v>
      </c>
      <c r="H2500" s="8634" t="s">
        <v>24</v>
      </c>
      <c r="I2500" s="8634" t="s">
        <v>768</v>
      </c>
    </row>
    <row customHeight="1" ht="11.25">
      <c r="A2501" s="8634" t="s">
        <v>2182</v>
      </c>
      <c r="B2501" s="8634" t="s">
        <v>14</v>
      </c>
      <c r="C2501" s="8634" t="s">
        <v>7505</v>
      </c>
      <c r="D2501" s="8634" t="s">
        <v>7506</v>
      </c>
      <c r="E2501" s="8634" t="s">
        <v>7507</v>
      </c>
      <c r="F2501" s="8634" t="s">
        <v>2492</v>
      </c>
      <c r="G2501" s="8634" t="s">
        <v>5852</v>
      </c>
      <c r="H2501" s="8634" t="s">
        <v>7508</v>
      </c>
      <c r="I2501" s="8634" t="s">
        <v>768</v>
      </c>
    </row>
    <row customHeight="1" ht="11.25">
      <c r="A2502" s="8634" t="s">
        <v>2182</v>
      </c>
      <c r="B2502" s="8634" t="s">
        <v>14</v>
      </c>
      <c r="C2502" s="8634" t="s">
        <v>7509</v>
      </c>
      <c r="D2502" s="8634" t="s">
        <v>7510</v>
      </c>
      <c r="E2502" s="8634" t="s">
        <v>7511</v>
      </c>
      <c r="F2502" s="8634" t="s">
        <v>2626</v>
      </c>
      <c r="G2502" s="8634" t="s">
        <v>4941</v>
      </c>
      <c r="H2502" s="8634" t="s">
        <v>7512</v>
      </c>
      <c r="I2502" s="8634" t="s">
        <v>768</v>
      </c>
    </row>
    <row customHeight="1" ht="11.25">
      <c r="A2503" s="8634" t="s">
        <v>2182</v>
      </c>
      <c r="B2503" s="8634" t="s">
        <v>14</v>
      </c>
      <c r="C2503" s="8634" t="s">
        <v>7513</v>
      </c>
      <c r="D2503" s="8634" t="s">
        <v>7514</v>
      </c>
      <c r="E2503" s="8634" t="s">
        <v>7515</v>
      </c>
      <c r="F2503" s="8634" t="s">
        <v>5584</v>
      </c>
      <c r="G2503" s="8634" t="s">
        <v>24</v>
      </c>
      <c r="H2503" s="8634" t="s">
        <v>24</v>
      </c>
      <c r="I2503" s="8634" t="s">
        <v>768</v>
      </c>
    </row>
    <row customHeight="1" ht="11.25">
      <c r="A2504" s="8634" t="s">
        <v>2182</v>
      </c>
      <c r="B2504" s="8634" t="s">
        <v>14</v>
      </c>
      <c r="C2504" s="8634" t="s">
        <v>5340</v>
      </c>
      <c r="D2504" s="8634" t="s">
        <v>5341</v>
      </c>
      <c r="E2504" s="8634" t="s">
        <v>5342</v>
      </c>
      <c r="F2504" s="8634" t="s">
        <v>2600</v>
      </c>
      <c r="G2504" s="8634" t="s">
        <v>24</v>
      </c>
      <c r="H2504" s="8634" t="s">
        <v>2993</v>
      </c>
      <c r="I2504" s="8634" t="s">
        <v>768</v>
      </c>
    </row>
    <row customHeight="1" ht="11.25">
      <c r="A2505" s="8634" t="s">
        <v>2182</v>
      </c>
      <c r="B2505" s="8634" t="s">
        <v>14</v>
      </c>
      <c r="C2505" s="8634" t="s">
        <v>5343</v>
      </c>
      <c r="D2505" s="8634" t="s">
        <v>5344</v>
      </c>
      <c r="E2505" s="8634" t="s">
        <v>5345</v>
      </c>
      <c r="F2505" s="8634" t="s">
        <v>2600</v>
      </c>
      <c r="G2505" s="8634" t="s">
        <v>24</v>
      </c>
      <c r="H2505" s="8634" t="s">
        <v>2697</v>
      </c>
      <c r="I2505" s="8634" t="s">
        <v>768</v>
      </c>
    </row>
    <row customHeight="1" ht="11.25">
      <c r="A2506" s="8634" t="s">
        <v>2182</v>
      </c>
      <c r="B2506" s="8634" t="s">
        <v>14</v>
      </c>
      <c r="C2506" s="8634" t="s">
        <v>7516</v>
      </c>
      <c r="D2506" s="8634" t="s">
        <v>7517</v>
      </c>
      <c r="E2506" s="8634" t="s">
        <v>7518</v>
      </c>
      <c r="F2506" s="8634" t="s">
        <v>2394</v>
      </c>
      <c r="G2506" s="8634" t="s">
        <v>7519</v>
      </c>
      <c r="H2506" s="8634" t="s">
        <v>24</v>
      </c>
      <c r="I2506" s="8634" t="s">
        <v>768</v>
      </c>
    </row>
    <row customHeight="1" ht="11.25">
      <c r="A2507" s="8634" t="s">
        <v>2182</v>
      </c>
      <c r="B2507" s="8634" t="s">
        <v>14</v>
      </c>
      <c r="C2507" s="8634" t="s">
        <v>5346</v>
      </c>
      <c r="D2507" s="8634" t="s">
        <v>5347</v>
      </c>
      <c r="E2507" s="8634" t="s">
        <v>5348</v>
      </c>
      <c r="F2507" s="8634" t="s">
        <v>2186</v>
      </c>
      <c r="G2507" s="8634" t="s">
        <v>24</v>
      </c>
      <c r="H2507" s="8634" t="s">
        <v>2187</v>
      </c>
      <c r="I2507" s="8634" t="s">
        <v>768</v>
      </c>
    </row>
    <row customHeight="1" ht="11.25">
      <c r="A2508" s="8634" t="s">
        <v>2182</v>
      </c>
      <c r="B2508" s="8634" t="s">
        <v>14</v>
      </c>
      <c r="C2508" s="8634" t="s">
        <v>7520</v>
      </c>
      <c r="D2508" s="8634" t="s">
        <v>7521</v>
      </c>
      <c r="E2508" s="8634" t="s">
        <v>7522</v>
      </c>
      <c r="F2508" s="8634" t="s">
        <v>2213</v>
      </c>
      <c r="G2508" s="8634" t="s">
        <v>24</v>
      </c>
      <c r="H2508" s="8634" t="s">
        <v>24</v>
      </c>
      <c r="I2508" s="8634" t="s">
        <v>768</v>
      </c>
    </row>
    <row customHeight="1" ht="11.25">
      <c r="A2509" s="8634" t="s">
        <v>2182</v>
      </c>
      <c r="B2509" s="8634" t="s">
        <v>14</v>
      </c>
      <c r="C2509" s="8634" t="s">
        <v>5353</v>
      </c>
      <c r="D2509" s="8634" t="s">
        <v>5354</v>
      </c>
      <c r="E2509" s="8634" t="s">
        <v>5355</v>
      </c>
      <c r="F2509" s="8634" t="s">
        <v>2600</v>
      </c>
      <c r="G2509" s="8634" t="s">
        <v>24</v>
      </c>
      <c r="H2509" s="8634" t="s">
        <v>2993</v>
      </c>
      <c r="I2509" s="8634" t="s">
        <v>768</v>
      </c>
    </row>
    <row customHeight="1" ht="11.25">
      <c r="A2510" s="8634" t="s">
        <v>2182</v>
      </c>
      <c r="B2510" s="8634" t="s">
        <v>14</v>
      </c>
      <c r="C2510" s="8634" t="s">
        <v>5360</v>
      </c>
      <c r="D2510" s="8634" t="s">
        <v>5361</v>
      </c>
      <c r="E2510" s="8634" t="s">
        <v>5362</v>
      </c>
      <c r="F2510" s="8634" t="s">
        <v>2334</v>
      </c>
      <c r="G2510" s="8634" t="s">
        <v>24</v>
      </c>
      <c r="H2510" s="8634" t="s">
        <v>5363</v>
      </c>
      <c r="I2510" s="8634" t="s">
        <v>768</v>
      </c>
    </row>
    <row customHeight="1" ht="11.25">
      <c r="A2511" s="8634" t="s">
        <v>2182</v>
      </c>
      <c r="B2511" s="8634" t="s">
        <v>14</v>
      </c>
      <c r="C2511" s="8634" t="s">
        <v>7523</v>
      </c>
      <c r="D2511" s="8634" t="s">
        <v>7524</v>
      </c>
      <c r="E2511" s="8634" t="s">
        <v>7525</v>
      </c>
      <c r="F2511" s="8634" t="s">
        <v>2213</v>
      </c>
      <c r="G2511" s="8634" t="s">
        <v>7526</v>
      </c>
      <c r="H2511" s="8634" t="s">
        <v>24</v>
      </c>
      <c r="I2511" s="8634" t="s">
        <v>768</v>
      </c>
    </row>
    <row customHeight="1" ht="11.25">
      <c r="A2512" s="8634" t="s">
        <v>2182</v>
      </c>
      <c r="B2512" s="8634" t="s">
        <v>14</v>
      </c>
      <c r="C2512" s="8634" t="s">
        <v>7527</v>
      </c>
      <c r="D2512" s="8634" t="s">
        <v>7528</v>
      </c>
      <c r="E2512" s="8634" t="s">
        <v>7529</v>
      </c>
      <c r="F2512" s="8634" t="s">
        <v>2213</v>
      </c>
      <c r="G2512" s="8634" t="s">
        <v>7530</v>
      </c>
      <c r="H2512" s="8634" t="s">
        <v>24</v>
      </c>
      <c r="I2512" s="8634" t="s">
        <v>768</v>
      </c>
    </row>
    <row customHeight="1" ht="11.25">
      <c r="A2513" s="8634" t="s">
        <v>2182</v>
      </c>
      <c r="B2513" s="8634" t="s">
        <v>14</v>
      </c>
      <c r="C2513" s="8634" t="s">
        <v>7531</v>
      </c>
      <c r="D2513" s="8634" t="s">
        <v>7532</v>
      </c>
      <c r="E2513" s="8634" t="s">
        <v>7533</v>
      </c>
      <c r="F2513" s="8634" t="s">
        <v>2492</v>
      </c>
      <c r="G2513" s="8634" t="s">
        <v>7534</v>
      </c>
      <c r="H2513" s="8634" t="s">
        <v>2870</v>
      </c>
      <c r="I2513" s="8634" t="s">
        <v>768</v>
      </c>
    </row>
    <row customHeight="1" ht="11.25">
      <c r="A2514" s="8634" t="s">
        <v>2182</v>
      </c>
      <c r="B2514" s="8634" t="s">
        <v>14</v>
      </c>
      <c r="C2514" s="8634" t="s">
        <v>7535</v>
      </c>
      <c r="D2514" s="8634" t="s">
        <v>7536</v>
      </c>
      <c r="E2514" s="8634" t="s">
        <v>7537</v>
      </c>
      <c r="F2514" s="8634" t="s">
        <v>2250</v>
      </c>
      <c r="G2514" s="8634" t="s">
        <v>24</v>
      </c>
      <c r="H2514" s="8634" t="s">
        <v>7538</v>
      </c>
      <c r="I2514" s="8634" t="s">
        <v>768</v>
      </c>
    </row>
    <row customHeight="1" ht="11.25">
      <c r="A2515" s="8634" t="s">
        <v>2182</v>
      </c>
      <c r="B2515" s="8634" t="s">
        <v>14</v>
      </c>
      <c r="C2515" s="8634" t="s">
        <v>7539</v>
      </c>
      <c r="D2515" s="8634" t="s">
        <v>7540</v>
      </c>
      <c r="E2515" s="8634" t="s">
        <v>7541</v>
      </c>
      <c r="F2515" s="8634" t="s">
        <v>5235</v>
      </c>
      <c r="G2515" s="8634" t="s">
        <v>7542</v>
      </c>
      <c r="H2515" s="8634" t="s">
        <v>24</v>
      </c>
      <c r="I2515" s="8634" t="s">
        <v>768</v>
      </c>
    </row>
    <row customHeight="1" ht="11.25">
      <c r="A2516" s="8634" t="s">
        <v>2182</v>
      </c>
      <c r="B2516" s="8634" t="s">
        <v>14</v>
      </c>
      <c r="C2516" s="8634" t="s">
        <v>7543</v>
      </c>
      <c r="D2516" s="8634" t="s">
        <v>7544</v>
      </c>
      <c r="E2516" s="8634" t="s">
        <v>7545</v>
      </c>
      <c r="F2516" s="8634" t="s">
        <v>2279</v>
      </c>
      <c r="G2516" s="8634" t="s">
        <v>24</v>
      </c>
      <c r="H2516" s="8634" t="s">
        <v>2773</v>
      </c>
      <c r="I2516" s="8634" t="s">
        <v>768</v>
      </c>
    </row>
    <row customHeight="1" ht="11.25">
      <c r="A2517" s="8634" t="s">
        <v>2182</v>
      </c>
      <c r="B2517" s="8634" t="s">
        <v>14</v>
      </c>
      <c r="C2517" s="8634" t="s">
        <v>7546</v>
      </c>
      <c r="D2517" s="8634" t="s">
        <v>7547</v>
      </c>
      <c r="E2517" s="8634" t="s">
        <v>7548</v>
      </c>
      <c r="F2517" s="8634" t="s">
        <v>2245</v>
      </c>
      <c r="G2517" s="8634" t="s">
        <v>24</v>
      </c>
      <c r="H2517" s="8634" t="s">
        <v>5066</v>
      </c>
      <c r="I2517" s="8634" t="s">
        <v>768</v>
      </c>
    </row>
    <row customHeight="1" ht="11.25">
      <c r="A2518" s="8634" t="s">
        <v>2182</v>
      </c>
      <c r="B2518" s="8634" t="s">
        <v>14</v>
      </c>
      <c r="C2518" s="8634" t="s">
        <v>5375</v>
      </c>
      <c r="D2518" s="8634" t="s">
        <v>5376</v>
      </c>
      <c r="E2518" s="8634" t="s">
        <v>5377</v>
      </c>
      <c r="F2518" s="8634" t="s">
        <v>3295</v>
      </c>
      <c r="G2518" s="8634" t="s">
        <v>5378</v>
      </c>
      <c r="H2518" s="8634" t="s">
        <v>24</v>
      </c>
      <c r="I2518" s="8634" t="s">
        <v>768</v>
      </c>
    </row>
    <row customHeight="1" ht="11.25">
      <c r="A2519" s="8634" t="s">
        <v>2182</v>
      </c>
      <c r="B2519" s="8634" t="s">
        <v>14</v>
      </c>
      <c r="C2519" s="8634" t="s">
        <v>5383</v>
      </c>
      <c r="D2519" s="8634" t="s">
        <v>5384</v>
      </c>
      <c r="E2519" s="8634" t="s">
        <v>5385</v>
      </c>
      <c r="F2519" s="8634" t="s">
        <v>5386</v>
      </c>
      <c r="G2519" s="8634" t="s">
        <v>3559</v>
      </c>
      <c r="H2519" s="8634" t="s">
        <v>24</v>
      </c>
      <c r="I2519" s="8634" t="s">
        <v>768</v>
      </c>
    </row>
    <row customHeight="1" ht="11.25">
      <c r="A2520" s="8634" t="s">
        <v>2182</v>
      </c>
      <c r="B2520" s="8634" t="s">
        <v>14</v>
      </c>
      <c r="C2520" s="8634" t="s">
        <v>5391</v>
      </c>
      <c r="D2520" s="8634" t="s">
        <v>5392</v>
      </c>
      <c r="E2520" s="8634" t="s">
        <v>5393</v>
      </c>
      <c r="F2520" s="8634" t="s">
        <v>3295</v>
      </c>
      <c r="G2520" s="8634" t="s">
        <v>5394</v>
      </c>
      <c r="H2520" s="8634" t="s">
        <v>24</v>
      </c>
      <c r="I2520" s="8634" t="s">
        <v>768</v>
      </c>
    </row>
    <row customHeight="1" ht="11.25">
      <c r="A2521" s="8634" t="s">
        <v>2182</v>
      </c>
      <c r="B2521" s="8634" t="s">
        <v>14</v>
      </c>
      <c r="C2521" s="8634" t="s">
        <v>5395</v>
      </c>
      <c r="D2521" s="8634" t="s">
        <v>5396</v>
      </c>
      <c r="E2521" s="8634" t="s">
        <v>5397</v>
      </c>
      <c r="F2521" s="8634" t="s">
        <v>2269</v>
      </c>
      <c r="G2521" s="8634" t="s">
        <v>5398</v>
      </c>
      <c r="H2521" s="8634" t="s">
        <v>24</v>
      </c>
      <c r="I2521" s="8634" t="s">
        <v>768</v>
      </c>
    </row>
    <row customHeight="1" ht="11.25">
      <c r="A2522" s="8634" t="s">
        <v>2182</v>
      </c>
      <c r="B2522" s="8634" t="s">
        <v>14</v>
      </c>
      <c r="C2522" s="8634" t="s">
        <v>7549</v>
      </c>
      <c r="D2522" s="8634" t="s">
        <v>7550</v>
      </c>
      <c r="E2522" s="8634" t="s">
        <v>7551</v>
      </c>
      <c r="F2522" s="8634" t="s">
        <v>5856</v>
      </c>
      <c r="G2522" s="8634" t="s">
        <v>7552</v>
      </c>
      <c r="H2522" s="8634" t="s">
        <v>24</v>
      </c>
      <c r="I2522" s="8634" t="s">
        <v>768</v>
      </c>
    </row>
    <row customHeight="1" ht="11.25">
      <c r="A2523" s="8634" t="s">
        <v>2182</v>
      </c>
      <c r="B2523" s="8634" t="s">
        <v>14</v>
      </c>
      <c r="C2523" s="8634" t="s">
        <v>7553</v>
      </c>
      <c r="D2523" s="8634" t="s">
        <v>7554</v>
      </c>
      <c r="E2523" s="8634" t="s">
        <v>7555</v>
      </c>
      <c r="F2523" s="8634" t="s">
        <v>7556</v>
      </c>
      <c r="G2523" s="8634" t="s">
        <v>24</v>
      </c>
      <c r="H2523" s="8634" t="s">
        <v>2773</v>
      </c>
      <c r="I2523" s="8634" t="s">
        <v>768</v>
      </c>
    </row>
    <row customHeight="1" ht="11.25">
      <c r="A2524" s="8634" t="s">
        <v>2182</v>
      </c>
      <c r="B2524" s="8634" t="s">
        <v>14</v>
      </c>
      <c r="C2524" s="8634" t="s">
        <v>5422</v>
      </c>
      <c r="D2524" s="8634" t="s">
        <v>5423</v>
      </c>
      <c r="E2524" s="8634" t="s">
        <v>5424</v>
      </c>
      <c r="F2524" s="8634" t="s">
        <v>2721</v>
      </c>
      <c r="G2524" s="8634" t="s">
        <v>24</v>
      </c>
      <c r="H2524" s="8634" t="s">
        <v>2187</v>
      </c>
      <c r="I2524" s="8634" t="s">
        <v>768</v>
      </c>
    </row>
    <row customHeight="1" ht="11.25">
      <c r="A2525" s="8634" t="s">
        <v>2182</v>
      </c>
      <c r="B2525" s="8634" t="s">
        <v>14</v>
      </c>
      <c r="C2525" s="8634" t="s">
        <v>7557</v>
      </c>
      <c r="D2525" s="8634" t="s">
        <v>7558</v>
      </c>
      <c r="E2525" s="8634" t="s">
        <v>7559</v>
      </c>
      <c r="F2525" s="8634" t="s">
        <v>2721</v>
      </c>
      <c r="G2525" s="8634" t="s">
        <v>7560</v>
      </c>
      <c r="H2525" s="8634" t="s">
        <v>2187</v>
      </c>
      <c r="I2525" s="8634" t="s">
        <v>768</v>
      </c>
    </row>
    <row customHeight="1" ht="11.25">
      <c r="A2526" s="8634" t="s">
        <v>2182</v>
      </c>
      <c r="B2526" s="8634" t="s">
        <v>14</v>
      </c>
      <c r="C2526" s="8634" t="s">
        <v>7561</v>
      </c>
      <c r="D2526" s="8634" t="s">
        <v>7562</v>
      </c>
      <c r="E2526" s="8634" t="s">
        <v>7563</v>
      </c>
      <c r="F2526" s="8634" t="s">
        <v>2322</v>
      </c>
      <c r="G2526" s="8634" t="s">
        <v>7564</v>
      </c>
      <c r="H2526" s="8634" t="s">
        <v>24</v>
      </c>
      <c r="I2526" s="8634" t="s">
        <v>768</v>
      </c>
    </row>
    <row customHeight="1" ht="11.25">
      <c r="A2527" s="8634" t="s">
        <v>2182</v>
      </c>
      <c r="B2527" s="8634" t="s">
        <v>14</v>
      </c>
      <c r="C2527" s="8634" t="s">
        <v>5433</v>
      </c>
      <c r="D2527" s="8634" t="s">
        <v>5434</v>
      </c>
      <c r="E2527" s="8634" t="s">
        <v>5435</v>
      </c>
      <c r="F2527" s="8634" t="s">
        <v>2213</v>
      </c>
      <c r="G2527" s="8634" t="s">
        <v>5436</v>
      </c>
      <c r="H2527" s="8634" t="s">
        <v>24</v>
      </c>
      <c r="I2527" s="8634" t="s">
        <v>768</v>
      </c>
    </row>
    <row customHeight="1" ht="11.25">
      <c r="A2528" s="8634" t="s">
        <v>2182</v>
      </c>
      <c r="B2528" s="8634" t="s">
        <v>14</v>
      </c>
      <c r="C2528" s="8634" t="s">
        <v>7565</v>
      </c>
      <c r="D2528" s="8634" t="s">
        <v>7566</v>
      </c>
      <c r="E2528" s="8634" t="s">
        <v>7567</v>
      </c>
      <c r="F2528" s="8634" t="s">
        <v>2213</v>
      </c>
      <c r="G2528" s="8634" t="s">
        <v>24</v>
      </c>
      <c r="H2528" s="8634" t="s">
        <v>24</v>
      </c>
      <c r="I2528" s="8634" t="s">
        <v>768</v>
      </c>
    </row>
    <row customHeight="1" ht="11.25">
      <c r="A2529" s="8634" t="s">
        <v>2182</v>
      </c>
      <c r="B2529" s="8634" t="s">
        <v>14</v>
      </c>
      <c r="C2529" s="8634" t="s">
        <v>5446</v>
      </c>
      <c r="D2529" s="8634" t="s">
        <v>5447</v>
      </c>
      <c r="E2529" s="8634" t="s">
        <v>5448</v>
      </c>
      <c r="F2529" s="8634" t="s">
        <v>2398</v>
      </c>
      <c r="G2529" s="8634" t="s">
        <v>5449</v>
      </c>
      <c r="H2529" s="8634" t="s">
        <v>24</v>
      </c>
      <c r="I2529" s="8634" t="s">
        <v>768</v>
      </c>
    </row>
    <row customHeight="1" ht="11.25">
      <c r="A2530" s="8634" t="s">
        <v>2182</v>
      </c>
      <c r="B2530" s="8634" t="s">
        <v>14</v>
      </c>
      <c r="C2530" s="8634" t="s">
        <v>5453</v>
      </c>
      <c r="D2530" s="8634" t="s">
        <v>5451</v>
      </c>
      <c r="E2530" s="8634" t="s">
        <v>5454</v>
      </c>
      <c r="F2530" s="8634" t="s">
        <v>3011</v>
      </c>
      <c r="G2530" s="8634" t="s">
        <v>5455</v>
      </c>
      <c r="H2530" s="8634" t="s">
        <v>24</v>
      </c>
      <c r="I2530" s="8634" t="s">
        <v>768</v>
      </c>
    </row>
    <row customHeight="1" ht="11.25">
      <c r="A2531" s="8634" t="s">
        <v>2182</v>
      </c>
      <c r="B2531" s="8634" t="s">
        <v>14</v>
      </c>
      <c r="C2531" s="8634" t="s">
        <v>5460</v>
      </c>
      <c r="D2531" s="8634" t="s">
        <v>5461</v>
      </c>
      <c r="E2531" s="8634" t="s">
        <v>5462</v>
      </c>
      <c r="F2531" s="8634" t="s">
        <v>2976</v>
      </c>
      <c r="G2531" s="8634" t="s">
        <v>24</v>
      </c>
      <c r="H2531" s="8634" t="s">
        <v>2697</v>
      </c>
      <c r="I2531" s="8634" t="s">
        <v>768</v>
      </c>
    </row>
    <row customHeight="1" ht="11.25">
      <c r="A2532" s="8634" t="s">
        <v>2182</v>
      </c>
      <c r="B2532" s="8634" t="s">
        <v>14</v>
      </c>
      <c r="C2532" s="8634" t="s">
        <v>5466</v>
      </c>
      <c r="D2532" s="8634" t="s">
        <v>5464</v>
      </c>
      <c r="E2532" s="8634" t="s">
        <v>5467</v>
      </c>
      <c r="F2532" s="8634" t="s">
        <v>2398</v>
      </c>
      <c r="G2532" s="8634" t="s">
        <v>24</v>
      </c>
      <c r="H2532" s="8634" t="s">
        <v>24</v>
      </c>
      <c r="I2532" s="8634" t="s">
        <v>768</v>
      </c>
    </row>
    <row customHeight="1" ht="11.25">
      <c r="A2533" s="8634" t="s">
        <v>2182</v>
      </c>
      <c r="B2533" s="8634" t="s">
        <v>14</v>
      </c>
      <c r="C2533" s="8634" t="s">
        <v>5472</v>
      </c>
      <c r="D2533" s="8634" t="s">
        <v>5473</v>
      </c>
      <c r="E2533" s="8634" t="s">
        <v>5474</v>
      </c>
      <c r="F2533" s="8634" t="s">
        <v>2613</v>
      </c>
      <c r="G2533" s="8634" t="s">
        <v>5475</v>
      </c>
      <c r="H2533" s="8634" t="s">
        <v>24</v>
      </c>
      <c r="I2533" s="8634" t="s">
        <v>768</v>
      </c>
    </row>
    <row customHeight="1" ht="11.25">
      <c r="A2534" s="8634" t="s">
        <v>2182</v>
      </c>
      <c r="B2534" s="8634" t="s">
        <v>14</v>
      </c>
      <c r="C2534" s="8634" t="s">
        <v>5486</v>
      </c>
      <c r="D2534" s="8634" t="s">
        <v>5487</v>
      </c>
      <c r="E2534" s="8634" t="s">
        <v>5488</v>
      </c>
      <c r="F2534" s="8634" t="s">
        <v>3437</v>
      </c>
      <c r="G2534" s="8634" t="s">
        <v>24</v>
      </c>
      <c r="H2534" s="8634" t="s">
        <v>2187</v>
      </c>
      <c r="I2534" s="8634" t="s">
        <v>768</v>
      </c>
    </row>
    <row customHeight="1" ht="11.25">
      <c r="A2535" s="8634" t="s">
        <v>2182</v>
      </c>
      <c r="B2535" s="8634" t="s">
        <v>14</v>
      </c>
      <c r="C2535" s="8634" t="s">
        <v>7568</v>
      </c>
      <c r="D2535" s="8634" t="s">
        <v>7569</v>
      </c>
      <c r="E2535" s="8634" t="s">
        <v>7570</v>
      </c>
      <c r="F2535" s="8634" t="s">
        <v>2245</v>
      </c>
      <c r="G2535" s="8634" t="s">
        <v>24</v>
      </c>
      <c r="H2535" s="8634" t="s">
        <v>24</v>
      </c>
      <c r="I2535" s="8634" t="s">
        <v>768</v>
      </c>
    </row>
    <row customHeight="1" ht="11.25">
      <c r="A2536" s="8634" t="s">
        <v>2182</v>
      </c>
      <c r="B2536" s="8634" t="s">
        <v>14</v>
      </c>
      <c r="C2536" s="8634" t="s">
        <v>7571</v>
      </c>
      <c r="D2536" s="8634" t="s">
        <v>7572</v>
      </c>
      <c r="E2536" s="8634" t="s">
        <v>7573</v>
      </c>
      <c r="F2536" s="8634" t="s">
        <v>4717</v>
      </c>
      <c r="G2536" s="8634" t="s">
        <v>7574</v>
      </c>
      <c r="H2536" s="8634" t="s">
        <v>24</v>
      </c>
      <c r="I2536" s="8634" t="s">
        <v>768</v>
      </c>
    </row>
    <row customHeight="1" ht="11.25">
      <c r="A2537" s="8634" t="s">
        <v>2182</v>
      </c>
      <c r="B2537" s="8634" t="s">
        <v>14</v>
      </c>
      <c r="C2537" s="8634" t="s">
        <v>7575</v>
      </c>
      <c r="D2537" s="8634" t="s">
        <v>7576</v>
      </c>
      <c r="E2537" s="8634" t="s">
        <v>7577</v>
      </c>
      <c r="F2537" s="8634" t="s">
        <v>2492</v>
      </c>
      <c r="G2537" s="8634" t="s">
        <v>7578</v>
      </c>
      <c r="H2537" s="8634" t="s">
        <v>24</v>
      </c>
      <c r="I2537" s="8634" t="s">
        <v>768</v>
      </c>
    </row>
    <row customHeight="1" ht="11.25">
      <c r="A2538" s="8634" t="s">
        <v>2182</v>
      </c>
      <c r="B2538" s="8634" t="s">
        <v>14</v>
      </c>
      <c r="C2538" s="8634" t="s">
        <v>7579</v>
      </c>
      <c r="D2538" s="8634" t="s">
        <v>7580</v>
      </c>
      <c r="E2538" s="8634" t="s">
        <v>7581</v>
      </c>
      <c r="F2538" s="8634" t="s">
        <v>3007</v>
      </c>
      <c r="G2538" s="8634" t="s">
        <v>24</v>
      </c>
      <c r="H2538" s="8634" t="s">
        <v>24</v>
      </c>
      <c r="I2538" s="8634" t="s">
        <v>768</v>
      </c>
    </row>
    <row customHeight="1" ht="11.25">
      <c r="A2539" s="8634" t="s">
        <v>2182</v>
      </c>
      <c r="B2539" s="8634" t="s">
        <v>14</v>
      </c>
      <c r="C2539" s="8634" t="s">
        <v>6373</v>
      </c>
      <c r="D2539" s="8634" t="s">
        <v>6374</v>
      </c>
      <c r="E2539" s="8634" t="s">
        <v>6375</v>
      </c>
      <c r="F2539" s="8634" t="s">
        <v>2411</v>
      </c>
      <c r="G2539" s="8634" t="s">
        <v>24</v>
      </c>
      <c r="H2539" s="8634" t="s">
        <v>24</v>
      </c>
      <c r="I2539" s="8634" t="s">
        <v>768</v>
      </c>
    </row>
    <row customHeight="1" ht="11.25">
      <c r="A2540" s="8634" t="s">
        <v>2182</v>
      </c>
      <c r="B2540" s="8634" t="s">
        <v>14</v>
      </c>
      <c r="C2540" s="8634" t="s">
        <v>7582</v>
      </c>
      <c r="D2540" s="8634" t="s">
        <v>7583</v>
      </c>
      <c r="E2540" s="8634" t="s">
        <v>7584</v>
      </c>
      <c r="F2540" s="8634" t="s">
        <v>2186</v>
      </c>
      <c r="G2540" s="8634" t="s">
        <v>7585</v>
      </c>
      <c r="H2540" s="8634" t="s">
        <v>2773</v>
      </c>
      <c r="I2540" s="8634" t="s">
        <v>768</v>
      </c>
    </row>
    <row customHeight="1" ht="11.25">
      <c r="A2541" s="8634" t="s">
        <v>2182</v>
      </c>
      <c r="B2541" s="8634" t="s">
        <v>14</v>
      </c>
      <c r="C2541" s="8634" t="s">
        <v>5492</v>
      </c>
      <c r="D2541" s="8634" t="s">
        <v>5493</v>
      </c>
      <c r="E2541" s="8634" t="s">
        <v>5494</v>
      </c>
      <c r="F2541" s="8634" t="s">
        <v>2274</v>
      </c>
      <c r="G2541" s="8634" t="s">
        <v>24</v>
      </c>
      <c r="H2541" s="8634" t="s">
        <v>5495</v>
      </c>
      <c r="I2541" s="8634" t="s">
        <v>768</v>
      </c>
    </row>
    <row customHeight="1" ht="11.25">
      <c r="A2542" s="8634" t="s">
        <v>2182</v>
      </c>
      <c r="B2542" s="8634" t="s">
        <v>14</v>
      </c>
      <c r="C2542" s="8634" t="s">
        <v>5503</v>
      </c>
      <c r="D2542" s="8634" t="s">
        <v>5504</v>
      </c>
      <c r="E2542" s="8634" t="s">
        <v>5505</v>
      </c>
      <c r="F2542" s="8634" t="s">
        <v>2228</v>
      </c>
      <c r="G2542" s="8634" t="s">
        <v>24</v>
      </c>
      <c r="H2542" s="8634" t="s">
        <v>24</v>
      </c>
      <c r="I2542" s="8634" t="s">
        <v>768</v>
      </c>
    </row>
    <row customHeight="1" ht="11.25">
      <c r="A2543" s="8634" t="s">
        <v>2182</v>
      </c>
      <c r="B2543" s="8634" t="s">
        <v>14</v>
      </c>
      <c r="C2543" s="8634" t="s">
        <v>7586</v>
      </c>
      <c r="D2543" s="8634" t="s">
        <v>7587</v>
      </c>
      <c r="E2543" s="8634" t="s">
        <v>7588</v>
      </c>
      <c r="F2543" s="8634" t="s">
        <v>2228</v>
      </c>
      <c r="G2543" s="8634" t="s">
        <v>7589</v>
      </c>
      <c r="H2543" s="8634" t="s">
        <v>7590</v>
      </c>
      <c r="I2543" s="8634" t="s">
        <v>768</v>
      </c>
    </row>
    <row customHeight="1" ht="11.25">
      <c r="A2544" s="8634" t="s">
        <v>2182</v>
      </c>
      <c r="B2544" s="8634" t="s">
        <v>14</v>
      </c>
      <c r="C2544" s="8634" t="s">
        <v>5517</v>
      </c>
      <c r="D2544" s="8634" t="s">
        <v>5518</v>
      </c>
      <c r="E2544" s="8634" t="s">
        <v>5519</v>
      </c>
      <c r="F2544" s="8634" t="s">
        <v>2269</v>
      </c>
      <c r="G2544" s="8634" t="s">
        <v>5520</v>
      </c>
      <c r="H2544" s="8634" t="s">
        <v>24</v>
      </c>
      <c r="I2544" s="8634" t="s">
        <v>768</v>
      </c>
    </row>
    <row customHeight="1" ht="11.25">
      <c r="A2545" s="8634" t="s">
        <v>2182</v>
      </c>
      <c r="B2545" s="8634" t="s">
        <v>14</v>
      </c>
      <c r="C2545" s="8634" t="s">
        <v>5532</v>
      </c>
      <c r="D2545" s="8634" t="s">
        <v>5533</v>
      </c>
      <c r="E2545" s="8634" t="s">
        <v>5534</v>
      </c>
      <c r="F2545" s="8634" t="s">
        <v>2600</v>
      </c>
      <c r="G2545" s="8634" t="s">
        <v>24</v>
      </c>
      <c r="H2545" s="8634" t="s">
        <v>24</v>
      </c>
      <c r="I2545" s="8634" t="s">
        <v>768</v>
      </c>
    </row>
    <row customHeight="1" ht="11.25">
      <c r="A2546" s="8634" t="s">
        <v>2182</v>
      </c>
      <c r="B2546" s="8634" t="s">
        <v>14</v>
      </c>
      <c r="C2546" s="8634" t="s">
        <v>5535</v>
      </c>
      <c r="D2546" s="8634" t="s">
        <v>5533</v>
      </c>
      <c r="E2546" s="8634" t="s">
        <v>5536</v>
      </c>
      <c r="F2546" s="8634" t="s">
        <v>2411</v>
      </c>
      <c r="G2546" s="8634" t="s">
        <v>5537</v>
      </c>
      <c r="H2546" s="8634" t="s">
        <v>24</v>
      </c>
      <c r="I2546" s="8634" t="s">
        <v>768</v>
      </c>
    </row>
    <row customHeight="1" ht="11.25">
      <c r="A2547" s="8634" t="s">
        <v>2182</v>
      </c>
      <c r="B2547" s="8634" t="s">
        <v>14</v>
      </c>
      <c r="C2547" s="8634" t="s">
        <v>7591</v>
      </c>
      <c r="D2547" s="8634" t="s">
        <v>7592</v>
      </c>
      <c r="E2547" s="8634" t="s">
        <v>7593</v>
      </c>
      <c r="F2547" s="8634" t="s">
        <v>2344</v>
      </c>
      <c r="G2547" s="8634" t="s">
        <v>7594</v>
      </c>
      <c r="H2547" s="8634" t="s">
        <v>24</v>
      </c>
      <c r="I2547" s="8634" t="s">
        <v>768</v>
      </c>
    </row>
    <row customHeight="1" ht="11.25">
      <c r="A2548" s="8634" t="s">
        <v>2182</v>
      </c>
      <c r="B2548" s="8634" t="s">
        <v>14</v>
      </c>
      <c r="C2548" s="8634" t="s">
        <v>7595</v>
      </c>
      <c r="D2548" s="8634" t="s">
        <v>7596</v>
      </c>
      <c r="E2548" s="8634" t="s">
        <v>7597</v>
      </c>
      <c r="F2548" s="8634" t="s">
        <v>2447</v>
      </c>
      <c r="G2548" s="8634" t="s">
        <v>7598</v>
      </c>
      <c r="H2548" s="8634" t="s">
        <v>24</v>
      </c>
      <c r="I2548" s="8634" t="s">
        <v>768</v>
      </c>
    </row>
    <row customHeight="1" ht="11.25">
      <c r="A2549" s="8634" t="s">
        <v>2182</v>
      </c>
      <c r="B2549" s="8634" t="s">
        <v>14</v>
      </c>
      <c r="C2549" s="8634" t="s">
        <v>5550</v>
      </c>
      <c r="D2549" s="8634" t="s">
        <v>5551</v>
      </c>
      <c r="E2549" s="8634" t="s">
        <v>5552</v>
      </c>
      <c r="F2549" s="8634" t="s">
        <v>2398</v>
      </c>
      <c r="G2549" s="8634" t="s">
        <v>5553</v>
      </c>
      <c r="H2549" s="8634" t="s">
        <v>24</v>
      </c>
      <c r="I2549" s="8634" t="s">
        <v>768</v>
      </c>
    </row>
    <row customHeight="1" ht="11.25">
      <c r="A2550" s="8634" t="s">
        <v>2182</v>
      </c>
      <c r="B2550" s="8634" t="s">
        <v>14</v>
      </c>
      <c r="C2550" s="8634" t="s">
        <v>7599</v>
      </c>
      <c r="D2550" s="8634" t="s">
        <v>7600</v>
      </c>
      <c r="E2550" s="8634" t="s">
        <v>7601</v>
      </c>
      <c r="F2550" s="8634" t="s">
        <v>3460</v>
      </c>
      <c r="G2550" s="8634" t="s">
        <v>24</v>
      </c>
      <c r="H2550" s="8634" t="s">
        <v>7602</v>
      </c>
      <c r="I2550" s="8634" t="s">
        <v>768</v>
      </c>
    </row>
    <row customHeight="1" ht="11.25">
      <c r="A2551" s="8634" t="s">
        <v>2182</v>
      </c>
      <c r="B2551" s="8634" t="s">
        <v>14</v>
      </c>
      <c r="C2551" s="8634" t="s">
        <v>5554</v>
      </c>
      <c r="D2551" s="8634" t="s">
        <v>5555</v>
      </c>
      <c r="E2551" s="8634" t="s">
        <v>4402</v>
      </c>
      <c r="F2551" s="8634" t="s">
        <v>2186</v>
      </c>
      <c r="G2551" s="8634" t="s">
        <v>24</v>
      </c>
      <c r="H2551" s="8634" t="s">
        <v>24</v>
      </c>
      <c r="I2551" s="8634" t="s">
        <v>768</v>
      </c>
    </row>
    <row customHeight="1" ht="11.25">
      <c r="A2552" s="8634" t="s">
        <v>2182</v>
      </c>
      <c r="B2552" s="8634" t="s">
        <v>14</v>
      </c>
      <c r="C2552" s="8634" t="s">
        <v>7603</v>
      </c>
      <c r="D2552" s="8634" t="s">
        <v>7604</v>
      </c>
      <c r="E2552" s="8634" t="s">
        <v>7605</v>
      </c>
      <c r="F2552" s="8634" t="s">
        <v>2322</v>
      </c>
      <c r="G2552" s="8634" t="s">
        <v>24</v>
      </c>
      <c r="H2552" s="8634" t="s">
        <v>2773</v>
      </c>
      <c r="I2552" s="8634" t="s">
        <v>768</v>
      </c>
    </row>
    <row customHeight="1" ht="11.25">
      <c r="A2553" s="8634" t="s">
        <v>2182</v>
      </c>
      <c r="B2553" s="8634" t="s">
        <v>14</v>
      </c>
      <c r="C2553" s="8634" t="s">
        <v>7606</v>
      </c>
      <c r="D2553" s="8634" t="s">
        <v>7607</v>
      </c>
      <c r="E2553" s="8634" t="s">
        <v>7608</v>
      </c>
      <c r="F2553" s="8634" t="s">
        <v>3007</v>
      </c>
      <c r="G2553" s="8634" t="s">
        <v>7609</v>
      </c>
      <c r="H2553" s="8634" t="s">
        <v>24</v>
      </c>
      <c r="I2553" s="8634" t="s">
        <v>768</v>
      </c>
    </row>
    <row customHeight="1" ht="11.25">
      <c r="A2554" s="8634" t="s">
        <v>2182</v>
      </c>
      <c r="B2554" s="8634" t="s">
        <v>14</v>
      </c>
      <c r="C2554" s="8634" t="s">
        <v>7610</v>
      </c>
      <c r="D2554" s="8634" t="s">
        <v>7611</v>
      </c>
      <c r="E2554" s="8634" t="s">
        <v>7612</v>
      </c>
      <c r="F2554" s="8634" t="s">
        <v>6039</v>
      </c>
      <c r="G2554" s="8634" t="s">
        <v>7613</v>
      </c>
      <c r="H2554" s="8634" t="s">
        <v>24</v>
      </c>
      <c r="I2554" s="8634" t="s">
        <v>768</v>
      </c>
    </row>
    <row customHeight="1" ht="11.25">
      <c r="A2555" s="8634" t="s">
        <v>2182</v>
      </c>
      <c r="B2555" s="8634" t="s">
        <v>14</v>
      </c>
      <c r="C2555" s="8634" t="s">
        <v>7614</v>
      </c>
      <c r="D2555" s="8634" t="s">
        <v>7615</v>
      </c>
      <c r="E2555" s="8634" t="s">
        <v>7616</v>
      </c>
      <c r="F2555" s="8634" t="s">
        <v>2334</v>
      </c>
      <c r="G2555" s="8634" t="s">
        <v>24</v>
      </c>
      <c r="H2555" s="8634" t="s">
        <v>24</v>
      </c>
      <c r="I2555" s="8634" t="s">
        <v>768</v>
      </c>
    </row>
    <row customHeight="1" ht="11.25">
      <c r="A2556" s="8634" t="s">
        <v>2182</v>
      </c>
      <c r="B2556" s="8634" t="s">
        <v>14</v>
      </c>
      <c r="C2556" s="8634" t="s">
        <v>7617</v>
      </c>
      <c r="D2556" s="8634" t="s">
        <v>7618</v>
      </c>
      <c r="E2556" s="8634" t="s">
        <v>7619</v>
      </c>
      <c r="F2556" s="8634" t="s">
        <v>2964</v>
      </c>
      <c r="G2556" s="8634" t="s">
        <v>7620</v>
      </c>
      <c r="H2556" s="8634" t="s">
        <v>24</v>
      </c>
      <c r="I2556" s="8634" t="s">
        <v>768</v>
      </c>
    </row>
    <row customHeight="1" ht="11.25">
      <c r="A2557" s="8634" t="s">
        <v>2182</v>
      </c>
      <c r="B2557" s="8634" t="s">
        <v>14</v>
      </c>
      <c r="C2557" s="8634" t="s">
        <v>5571</v>
      </c>
      <c r="D2557" s="8634" t="s">
        <v>5572</v>
      </c>
      <c r="E2557" s="8634" t="s">
        <v>5573</v>
      </c>
      <c r="F2557" s="8634" t="s">
        <v>2411</v>
      </c>
      <c r="G2557" s="8634" t="s">
        <v>24</v>
      </c>
      <c r="H2557" s="8634" t="s">
        <v>24</v>
      </c>
      <c r="I2557" s="8634" t="s">
        <v>768</v>
      </c>
    </row>
    <row customHeight="1" ht="11.25">
      <c r="A2558" s="8634" t="s">
        <v>2182</v>
      </c>
      <c r="B2558" s="8634" t="s">
        <v>14</v>
      </c>
      <c r="C2558" s="8634" t="s">
        <v>7621</v>
      </c>
      <c r="D2558" s="8634" t="s">
        <v>7622</v>
      </c>
      <c r="E2558" s="8634" t="s">
        <v>7623</v>
      </c>
      <c r="F2558" s="8634" t="s">
        <v>2339</v>
      </c>
      <c r="G2558" s="8634" t="s">
        <v>7624</v>
      </c>
      <c r="H2558" s="8634" t="s">
        <v>24</v>
      </c>
      <c r="I2558" s="8634" t="s">
        <v>768</v>
      </c>
    </row>
    <row customHeight="1" ht="11.25">
      <c r="A2559" s="8634" t="s">
        <v>2182</v>
      </c>
      <c r="B2559" s="8634" t="s">
        <v>14</v>
      </c>
      <c r="C2559" s="8634" t="s">
        <v>7625</v>
      </c>
      <c r="D2559" s="8634" t="s">
        <v>7626</v>
      </c>
      <c r="E2559" s="8634" t="s">
        <v>7627</v>
      </c>
      <c r="F2559" s="8634" t="s">
        <v>2186</v>
      </c>
      <c r="G2559" s="8634" t="s">
        <v>24</v>
      </c>
      <c r="H2559" s="8634" t="s">
        <v>24</v>
      </c>
      <c r="I2559" s="8634" t="s">
        <v>768</v>
      </c>
    </row>
    <row customHeight="1" ht="11.25">
      <c r="A2560" s="8634" t="s">
        <v>2182</v>
      </c>
      <c r="B2560" s="8634" t="s">
        <v>14</v>
      </c>
      <c r="C2560" s="8634" t="s">
        <v>7628</v>
      </c>
      <c r="D2560" s="8634" t="s">
        <v>7629</v>
      </c>
      <c r="E2560" s="8634" t="s">
        <v>7630</v>
      </c>
      <c r="F2560" s="8634" t="s">
        <v>2854</v>
      </c>
      <c r="G2560" s="8634" t="s">
        <v>24</v>
      </c>
      <c r="H2560" s="8634" t="s">
        <v>2773</v>
      </c>
      <c r="I2560" s="8634" t="s">
        <v>768</v>
      </c>
    </row>
    <row customHeight="1" ht="11.25">
      <c r="A2561" s="8634" t="s">
        <v>2182</v>
      </c>
      <c r="B2561" s="8634" t="s">
        <v>14</v>
      </c>
      <c r="C2561" s="8634" t="s">
        <v>7631</v>
      </c>
      <c r="D2561" s="8634" t="s">
        <v>7632</v>
      </c>
      <c r="E2561" s="8634" t="s">
        <v>7633</v>
      </c>
      <c r="F2561" s="8634" t="s">
        <v>2854</v>
      </c>
      <c r="G2561" s="8634" t="s">
        <v>24</v>
      </c>
      <c r="H2561" s="8634" t="s">
        <v>2773</v>
      </c>
      <c r="I2561" s="8634" t="s">
        <v>768</v>
      </c>
    </row>
    <row customHeight="1" ht="11.25">
      <c r="A2562" s="8634" t="s">
        <v>2182</v>
      </c>
      <c r="B2562" s="8634" t="s">
        <v>14</v>
      </c>
      <c r="C2562" s="8634" t="s">
        <v>7634</v>
      </c>
      <c r="D2562" s="8634" t="s">
        <v>7635</v>
      </c>
      <c r="E2562" s="8634" t="s">
        <v>7636</v>
      </c>
      <c r="F2562" s="8634" t="s">
        <v>2626</v>
      </c>
      <c r="G2562" s="8634" t="s">
        <v>7637</v>
      </c>
      <c r="H2562" s="8634" t="s">
        <v>24</v>
      </c>
      <c r="I2562" s="8634" t="s">
        <v>768</v>
      </c>
    </row>
    <row customHeight="1" ht="11.25">
      <c r="A2563" s="8634" t="s">
        <v>2182</v>
      </c>
      <c r="B2563" s="8634" t="s">
        <v>14</v>
      </c>
      <c r="C2563" s="8634" t="s">
        <v>7638</v>
      </c>
      <c r="D2563" s="8634" t="s">
        <v>7639</v>
      </c>
      <c r="E2563" s="8634" t="s">
        <v>7640</v>
      </c>
      <c r="F2563" s="8634" t="s">
        <v>2213</v>
      </c>
      <c r="G2563" s="8634" t="s">
        <v>24</v>
      </c>
      <c r="H2563" s="8634" t="s">
        <v>7641</v>
      </c>
      <c r="I2563" s="8634" t="s">
        <v>768</v>
      </c>
    </row>
    <row customHeight="1" ht="11.25">
      <c r="A2564" s="8634" t="s">
        <v>2182</v>
      </c>
      <c r="B2564" s="8634" t="s">
        <v>14</v>
      </c>
      <c r="C2564" s="8634" t="s">
        <v>5586</v>
      </c>
      <c r="D2564" s="8634" t="s">
        <v>5587</v>
      </c>
      <c r="E2564" s="8634" t="s">
        <v>5588</v>
      </c>
      <c r="F2564" s="8634" t="s">
        <v>2213</v>
      </c>
      <c r="G2564" s="8634" t="s">
        <v>24</v>
      </c>
      <c r="H2564" s="8634" t="s">
        <v>24</v>
      </c>
      <c r="I2564" s="8634" t="s">
        <v>768</v>
      </c>
    </row>
    <row customHeight="1" ht="11.25">
      <c r="A2565" s="8634" t="s">
        <v>2182</v>
      </c>
      <c r="B2565" s="8634" t="s">
        <v>14</v>
      </c>
      <c r="C2565" s="8634" t="s">
        <v>5593</v>
      </c>
      <c r="D2565" s="8634" t="s">
        <v>5594</v>
      </c>
      <c r="E2565" s="8634" t="s">
        <v>5595</v>
      </c>
      <c r="F2565" s="8634" t="s">
        <v>2322</v>
      </c>
      <c r="G2565" s="8634" t="s">
        <v>24</v>
      </c>
      <c r="H2565" s="8634" t="s">
        <v>24</v>
      </c>
      <c r="I2565" s="8634" t="s">
        <v>768</v>
      </c>
    </row>
    <row customHeight="1" ht="11.25">
      <c r="A2566" s="8634" t="s">
        <v>2182</v>
      </c>
      <c r="B2566" s="8634" t="s">
        <v>14</v>
      </c>
      <c r="C2566" s="8634" t="s">
        <v>5596</v>
      </c>
      <c r="D2566" s="8634" t="s">
        <v>5597</v>
      </c>
      <c r="E2566" s="8634" t="s">
        <v>5598</v>
      </c>
      <c r="F2566" s="8634" t="s">
        <v>2218</v>
      </c>
      <c r="G2566" s="8634" t="s">
        <v>24</v>
      </c>
      <c r="H2566" s="8634" t="s">
        <v>24</v>
      </c>
      <c r="I2566" s="8634" t="s">
        <v>768</v>
      </c>
    </row>
    <row customHeight="1" ht="11.25">
      <c r="A2567" s="8634" t="s">
        <v>2182</v>
      </c>
      <c r="B2567" s="8634" t="s">
        <v>14</v>
      </c>
      <c r="C2567" s="8634" t="s">
        <v>7642</v>
      </c>
      <c r="D2567" s="8634" t="s">
        <v>7643</v>
      </c>
      <c r="E2567" s="8634" t="s">
        <v>7644</v>
      </c>
      <c r="F2567" s="8634" t="s">
        <v>2339</v>
      </c>
      <c r="G2567" s="8634" t="s">
        <v>7645</v>
      </c>
      <c r="H2567" s="8634" t="s">
        <v>24</v>
      </c>
      <c r="I2567" s="8634" t="s">
        <v>768</v>
      </c>
    </row>
    <row customHeight="1" ht="11.25">
      <c r="A2568" s="8634" t="s">
        <v>2182</v>
      </c>
      <c r="B2568" s="8634" t="s">
        <v>14</v>
      </c>
      <c r="C2568" s="8634" t="s">
        <v>7646</v>
      </c>
      <c r="D2568" s="8634" t="s">
        <v>7647</v>
      </c>
      <c r="E2568" s="8634" t="s">
        <v>7648</v>
      </c>
      <c r="F2568" s="8634" t="s">
        <v>2563</v>
      </c>
      <c r="G2568" s="8634" t="s">
        <v>7649</v>
      </c>
      <c r="H2568" s="8634" t="s">
        <v>3496</v>
      </c>
      <c r="I2568" s="8634" t="s">
        <v>768</v>
      </c>
    </row>
    <row customHeight="1" ht="11.25">
      <c r="A2569" s="8634" t="s">
        <v>2182</v>
      </c>
      <c r="B2569" s="8634" t="s">
        <v>14</v>
      </c>
      <c r="C2569" s="8634" t="s">
        <v>7650</v>
      </c>
      <c r="D2569" s="8634" t="s">
        <v>7651</v>
      </c>
      <c r="E2569" s="8634" t="s">
        <v>7652</v>
      </c>
      <c r="F2569" s="8634" t="s">
        <v>2854</v>
      </c>
      <c r="G2569" s="8634" t="s">
        <v>24</v>
      </c>
      <c r="H2569" s="8634" t="s">
        <v>2773</v>
      </c>
      <c r="I2569" s="8634" t="s">
        <v>768</v>
      </c>
    </row>
    <row customHeight="1" ht="11.25">
      <c r="A2570" s="8634" t="s">
        <v>2182</v>
      </c>
      <c r="B2570" s="8634" t="s">
        <v>14</v>
      </c>
      <c r="C2570" s="8634" t="s">
        <v>5613</v>
      </c>
      <c r="D2570" s="8634" t="s">
        <v>5614</v>
      </c>
      <c r="E2570" s="8634" t="s">
        <v>5615</v>
      </c>
      <c r="F2570" s="8634" t="s">
        <v>2334</v>
      </c>
      <c r="G2570" s="8634" t="s">
        <v>5616</v>
      </c>
      <c r="H2570" s="8634" t="s">
        <v>24</v>
      </c>
      <c r="I2570" s="8634" t="s">
        <v>768</v>
      </c>
    </row>
    <row customHeight="1" ht="11.25">
      <c r="A2571" s="8634" t="s">
        <v>2182</v>
      </c>
      <c r="B2571" s="8634" t="s">
        <v>14</v>
      </c>
      <c r="C2571" s="8634" t="s">
        <v>7653</v>
      </c>
      <c r="D2571" s="8634" t="s">
        <v>7654</v>
      </c>
      <c r="E2571" s="8634" t="s">
        <v>7655</v>
      </c>
      <c r="F2571" s="8634" t="s">
        <v>3235</v>
      </c>
      <c r="G2571" s="8634" t="s">
        <v>24</v>
      </c>
      <c r="H2571" s="8634" t="s">
        <v>24</v>
      </c>
      <c r="I2571" s="8634" t="s">
        <v>768</v>
      </c>
    </row>
    <row customHeight="1" ht="11.25">
      <c r="A2572" s="8634" t="s">
        <v>2182</v>
      </c>
      <c r="B2572" s="8634" t="s">
        <v>14</v>
      </c>
      <c r="C2572" s="8634" t="s">
        <v>5624</v>
      </c>
      <c r="D2572" s="8634" t="s">
        <v>5625</v>
      </c>
      <c r="E2572" s="8634" t="s">
        <v>5626</v>
      </c>
      <c r="F2572" s="8634" t="s">
        <v>2398</v>
      </c>
      <c r="G2572" s="8634" t="s">
        <v>24</v>
      </c>
      <c r="H2572" s="8634" t="s">
        <v>2993</v>
      </c>
      <c r="I2572" s="8634" t="s">
        <v>768</v>
      </c>
    </row>
    <row customHeight="1" ht="11.25">
      <c r="A2573" s="8634" t="s">
        <v>2182</v>
      </c>
      <c r="B2573" s="8634" t="s">
        <v>14</v>
      </c>
      <c r="C2573" s="8634" t="s">
        <v>7656</v>
      </c>
      <c r="D2573" s="8634" t="s">
        <v>7657</v>
      </c>
      <c r="E2573" s="8634" t="s">
        <v>7658</v>
      </c>
      <c r="F2573" s="8634" t="s">
        <v>2334</v>
      </c>
      <c r="G2573" s="8634" t="s">
        <v>4545</v>
      </c>
      <c r="H2573" s="8634" t="s">
        <v>24</v>
      </c>
      <c r="I2573" s="8634" t="s">
        <v>768</v>
      </c>
    </row>
    <row customHeight="1" ht="11.25">
      <c r="A2574" s="8634" t="s">
        <v>2182</v>
      </c>
      <c r="B2574" s="8634" t="s">
        <v>14</v>
      </c>
      <c r="C2574" s="8634" t="s">
        <v>7659</v>
      </c>
      <c r="D2574" s="8634" t="s">
        <v>7660</v>
      </c>
      <c r="E2574" s="8634" t="s">
        <v>7661</v>
      </c>
      <c r="F2574" s="8634" t="s">
        <v>2322</v>
      </c>
      <c r="G2574" s="8634" t="s">
        <v>7662</v>
      </c>
      <c r="H2574" s="8634" t="s">
        <v>24</v>
      </c>
      <c r="I2574" s="8634" t="s">
        <v>768</v>
      </c>
    </row>
    <row customHeight="1" ht="11.25">
      <c r="A2575" s="8634" t="s">
        <v>2182</v>
      </c>
      <c r="B2575" s="8634" t="s">
        <v>14</v>
      </c>
      <c r="C2575" s="8634" t="s">
        <v>7663</v>
      </c>
      <c r="D2575" s="8634" t="s">
        <v>7664</v>
      </c>
      <c r="E2575" s="8634" t="s">
        <v>7665</v>
      </c>
      <c r="F2575" s="8634" t="s">
        <v>2334</v>
      </c>
      <c r="G2575" s="8634" t="s">
        <v>7666</v>
      </c>
      <c r="H2575" s="8634" t="s">
        <v>24</v>
      </c>
      <c r="I2575" s="8634" t="s">
        <v>768</v>
      </c>
    </row>
    <row customHeight="1" ht="11.25">
      <c r="A2576" s="8634" t="s">
        <v>2182</v>
      </c>
      <c r="B2576" s="8634" t="s">
        <v>14</v>
      </c>
      <c r="C2576" s="8634" t="s">
        <v>7667</v>
      </c>
      <c r="D2576" s="8634" t="s">
        <v>7668</v>
      </c>
      <c r="E2576" s="8634" t="s">
        <v>7669</v>
      </c>
      <c r="F2576" s="8634" t="s">
        <v>2334</v>
      </c>
      <c r="G2576" s="8634" t="s">
        <v>7670</v>
      </c>
      <c r="H2576" s="8634" t="s">
        <v>24</v>
      </c>
      <c r="I2576" s="8634" t="s">
        <v>768</v>
      </c>
    </row>
    <row customHeight="1" ht="11.25">
      <c r="A2577" s="8634" t="s">
        <v>2182</v>
      </c>
      <c r="B2577" s="8634" t="s">
        <v>14</v>
      </c>
      <c r="C2577" s="8634" t="s">
        <v>7671</v>
      </c>
      <c r="D2577" s="8634" t="s">
        <v>7672</v>
      </c>
      <c r="E2577" s="8634" t="s">
        <v>7673</v>
      </c>
      <c r="F2577" s="8634" t="s">
        <v>2339</v>
      </c>
      <c r="G2577" s="8634" t="s">
        <v>2368</v>
      </c>
      <c r="H2577" s="8634" t="s">
        <v>24</v>
      </c>
      <c r="I2577" s="8634" t="s">
        <v>768</v>
      </c>
    </row>
    <row customHeight="1" ht="11.25">
      <c r="A2578" s="8634" t="s">
        <v>2182</v>
      </c>
      <c r="B2578" s="8634" t="s">
        <v>14</v>
      </c>
      <c r="C2578" s="8634" t="s">
        <v>7674</v>
      </c>
      <c r="D2578" s="8634" t="s">
        <v>7675</v>
      </c>
      <c r="E2578" s="8634" t="s">
        <v>7676</v>
      </c>
      <c r="F2578" s="8634" t="s">
        <v>2411</v>
      </c>
      <c r="G2578" s="8634" t="s">
        <v>24</v>
      </c>
      <c r="H2578" s="8634" t="s">
        <v>2773</v>
      </c>
      <c r="I2578" s="8634" t="s">
        <v>768</v>
      </c>
    </row>
    <row customHeight="1" ht="11.25">
      <c r="A2579" s="8634" t="s">
        <v>2182</v>
      </c>
      <c r="B2579" s="8634" t="s">
        <v>14</v>
      </c>
      <c r="C2579" s="8634" t="s">
        <v>7677</v>
      </c>
      <c r="D2579" s="8634" t="s">
        <v>7678</v>
      </c>
      <c r="E2579" s="8634" t="s">
        <v>7679</v>
      </c>
      <c r="F2579" s="8634" t="s">
        <v>5584</v>
      </c>
      <c r="G2579" s="8634" t="s">
        <v>7680</v>
      </c>
      <c r="H2579" s="8634" t="s">
        <v>24</v>
      </c>
      <c r="I2579" s="8634" t="s">
        <v>768</v>
      </c>
    </row>
    <row customHeight="1" ht="11.25">
      <c r="A2580" s="8634" t="s">
        <v>2182</v>
      </c>
      <c r="B2580" s="8634" t="s">
        <v>14</v>
      </c>
      <c r="C2580" s="8634" t="s">
        <v>7681</v>
      </c>
      <c r="D2580" s="8634" t="s">
        <v>7682</v>
      </c>
      <c r="E2580" s="8634" t="s">
        <v>7683</v>
      </c>
      <c r="F2580" s="8634" t="s">
        <v>3808</v>
      </c>
      <c r="G2580" s="8634" t="s">
        <v>24</v>
      </c>
      <c r="H2580" s="8634" t="s">
        <v>24</v>
      </c>
      <c r="I2580" s="8634" t="s">
        <v>768</v>
      </c>
    </row>
    <row customHeight="1" ht="11.25">
      <c r="A2581" s="8634" t="s">
        <v>2182</v>
      </c>
      <c r="B2581" s="8634" t="s">
        <v>14</v>
      </c>
      <c r="C2581" s="8634" t="s">
        <v>5631</v>
      </c>
      <c r="D2581" s="8634" t="s">
        <v>5632</v>
      </c>
      <c r="E2581" s="8634" t="s">
        <v>5633</v>
      </c>
      <c r="F2581" s="8634" t="s">
        <v>2398</v>
      </c>
      <c r="G2581" s="8634" t="s">
        <v>24</v>
      </c>
      <c r="H2581" s="8634" t="s">
        <v>24</v>
      </c>
      <c r="I2581" s="8634" t="s">
        <v>768</v>
      </c>
    </row>
    <row customHeight="1" ht="11.25">
      <c r="A2582" s="8634" t="s">
        <v>2182</v>
      </c>
      <c r="B2582" s="8634" t="s">
        <v>14</v>
      </c>
      <c r="C2582" s="8634" t="s">
        <v>7684</v>
      </c>
      <c r="D2582" s="8634" t="s">
        <v>7685</v>
      </c>
      <c r="E2582" s="8634" t="s">
        <v>7686</v>
      </c>
      <c r="F2582" s="8634" t="s">
        <v>2854</v>
      </c>
      <c r="G2582" s="8634" t="s">
        <v>24</v>
      </c>
      <c r="H2582" s="8634" t="s">
        <v>24</v>
      </c>
      <c r="I2582" s="8634" t="s">
        <v>768</v>
      </c>
    </row>
    <row customHeight="1" ht="11.25">
      <c r="A2583" s="8634" t="s">
        <v>2182</v>
      </c>
      <c r="B2583" s="8634" t="s">
        <v>14</v>
      </c>
      <c r="C2583" s="8634" t="s">
        <v>5634</v>
      </c>
      <c r="D2583" s="8634" t="s">
        <v>5635</v>
      </c>
      <c r="E2583" s="8634" t="s">
        <v>5636</v>
      </c>
      <c r="F2583" s="8634" t="s">
        <v>2274</v>
      </c>
      <c r="G2583" s="8634" t="s">
        <v>24</v>
      </c>
      <c r="H2583" s="8634" t="s">
        <v>24</v>
      </c>
      <c r="I2583" s="8634" t="s">
        <v>768</v>
      </c>
    </row>
    <row customHeight="1" ht="11.25">
      <c r="A2584" s="8634" t="s">
        <v>2182</v>
      </c>
      <c r="B2584" s="8634" t="s">
        <v>14</v>
      </c>
      <c r="C2584" s="8634" t="s">
        <v>7687</v>
      </c>
      <c r="D2584" s="8634" t="s">
        <v>7688</v>
      </c>
      <c r="E2584" s="8634" t="s">
        <v>7689</v>
      </c>
      <c r="F2584" s="8634" t="s">
        <v>2721</v>
      </c>
      <c r="G2584" s="8634" t="s">
        <v>24</v>
      </c>
      <c r="H2584" s="8634" t="s">
        <v>24</v>
      </c>
      <c r="I2584" s="8634" t="s">
        <v>768</v>
      </c>
    </row>
    <row customHeight="1" ht="11.25">
      <c r="A2585" s="8634" t="s">
        <v>2182</v>
      </c>
      <c r="B2585" s="8634" t="s">
        <v>14</v>
      </c>
      <c r="C2585" s="8634" t="s">
        <v>7690</v>
      </c>
      <c r="D2585" s="8634" t="s">
        <v>7691</v>
      </c>
      <c r="E2585" s="8634" t="s">
        <v>7692</v>
      </c>
      <c r="F2585" s="8634" t="s">
        <v>2411</v>
      </c>
      <c r="G2585" s="8634" t="s">
        <v>7693</v>
      </c>
      <c r="H2585" s="8634" t="s">
        <v>24</v>
      </c>
      <c r="I2585" s="8634" t="s">
        <v>768</v>
      </c>
    </row>
    <row customHeight="1" ht="11.25">
      <c r="A2586" s="8634" t="s">
        <v>2182</v>
      </c>
      <c r="B2586" s="8634" t="s">
        <v>14</v>
      </c>
      <c r="C2586" s="8634" t="s">
        <v>5640</v>
      </c>
      <c r="D2586" s="8634" t="s">
        <v>5641</v>
      </c>
      <c r="E2586" s="8634" t="s">
        <v>5642</v>
      </c>
      <c r="F2586" s="8634" t="s">
        <v>3765</v>
      </c>
      <c r="G2586" s="8634" t="s">
        <v>5643</v>
      </c>
      <c r="H2586" s="8634" t="s">
        <v>24</v>
      </c>
      <c r="I2586" s="8634" t="s">
        <v>768</v>
      </c>
    </row>
    <row customHeight="1" ht="11.25">
      <c r="A2587" s="8634" t="s">
        <v>2182</v>
      </c>
      <c r="B2587" s="8634" t="s">
        <v>14</v>
      </c>
      <c r="C2587" s="8634" t="s">
        <v>7694</v>
      </c>
      <c r="D2587" s="8634" t="s">
        <v>5645</v>
      </c>
      <c r="E2587" s="8634" t="s">
        <v>5646</v>
      </c>
      <c r="F2587" s="8634" t="s">
        <v>3295</v>
      </c>
      <c r="G2587" s="8634" t="s">
        <v>24</v>
      </c>
      <c r="H2587" s="8634" t="s">
        <v>2187</v>
      </c>
      <c r="I2587" s="8634" t="s">
        <v>768</v>
      </c>
    </row>
    <row customHeight="1" ht="11.25">
      <c r="A2588" s="8634" t="s">
        <v>2182</v>
      </c>
      <c r="B2588" s="8634" t="s">
        <v>14</v>
      </c>
      <c r="C2588" s="8634" t="s">
        <v>5644</v>
      </c>
      <c r="D2588" s="8634" t="s">
        <v>5645</v>
      </c>
      <c r="E2588" s="8634" t="s">
        <v>5646</v>
      </c>
      <c r="F2588" s="8634" t="s">
        <v>2213</v>
      </c>
      <c r="G2588" s="8634" t="s">
        <v>5647</v>
      </c>
      <c r="H2588" s="8634" t="s">
        <v>24</v>
      </c>
      <c r="I2588" s="8634" t="s">
        <v>768</v>
      </c>
    </row>
    <row customHeight="1" ht="11.25">
      <c r="A2589" s="8634" t="s">
        <v>2182</v>
      </c>
      <c r="B2589" s="8634" t="s">
        <v>14</v>
      </c>
      <c r="C2589" s="8634" t="s">
        <v>7695</v>
      </c>
      <c r="D2589" s="8634" t="s">
        <v>7696</v>
      </c>
      <c r="E2589" s="8634" t="s">
        <v>7697</v>
      </c>
      <c r="F2589" s="8634" t="s">
        <v>2344</v>
      </c>
      <c r="G2589" s="8634" t="s">
        <v>24</v>
      </c>
      <c r="H2589" s="8634" t="s">
        <v>24</v>
      </c>
      <c r="I2589" s="8634" t="s">
        <v>768</v>
      </c>
    </row>
    <row customHeight="1" ht="11.25">
      <c r="A2590" s="8634" t="s">
        <v>2182</v>
      </c>
      <c r="B2590" s="8634" t="s">
        <v>14</v>
      </c>
      <c r="C2590" s="8634" t="s">
        <v>5655</v>
      </c>
      <c r="D2590" s="8634" t="s">
        <v>5656</v>
      </c>
      <c r="E2590" s="8634" t="s">
        <v>5657</v>
      </c>
      <c r="F2590" s="8634" t="s">
        <v>2213</v>
      </c>
      <c r="G2590" s="8634" t="s">
        <v>24</v>
      </c>
      <c r="H2590" s="8634" t="s">
        <v>2187</v>
      </c>
      <c r="I2590" s="8634" t="s">
        <v>768</v>
      </c>
    </row>
    <row customHeight="1" ht="11.25">
      <c r="A2591" s="8634" t="s">
        <v>2182</v>
      </c>
      <c r="B2591" s="8634" t="s">
        <v>14</v>
      </c>
      <c r="C2591" s="8634" t="s">
        <v>5666</v>
      </c>
      <c r="D2591" s="8634" t="s">
        <v>5667</v>
      </c>
      <c r="E2591" s="8634" t="s">
        <v>5668</v>
      </c>
      <c r="F2591" s="8634" t="s">
        <v>2322</v>
      </c>
      <c r="G2591" s="8634" t="s">
        <v>5669</v>
      </c>
      <c r="H2591" s="8634" t="s">
        <v>24</v>
      </c>
      <c r="I2591" s="8634" t="s">
        <v>768</v>
      </c>
    </row>
    <row customHeight="1" ht="11.25">
      <c r="A2592" s="8634" t="s">
        <v>2182</v>
      </c>
      <c r="B2592" s="8634" t="s">
        <v>14</v>
      </c>
      <c r="C2592" s="8634" t="s">
        <v>7698</v>
      </c>
      <c r="D2592" s="8634" t="s">
        <v>7699</v>
      </c>
      <c r="E2592" s="8634" t="s">
        <v>7700</v>
      </c>
      <c r="F2592" s="8634" t="s">
        <v>2339</v>
      </c>
      <c r="G2592" s="8634" t="s">
        <v>7701</v>
      </c>
      <c r="H2592" s="8634" t="s">
        <v>24</v>
      </c>
      <c r="I2592" s="8634" t="s">
        <v>768</v>
      </c>
    </row>
    <row customHeight="1" ht="11.25">
      <c r="A2593" s="8634" t="s">
        <v>2182</v>
      </c>
      <c r="B2593" s="8634" t="s">
        <v>14</v>
      </c>
      <c r="C2593" s="8634" t="s">
        <v>5673</v>
      </c>
      <c r="D2593" s="8634" t="s">
        <v>5674</v>
      </c>
      <c r="E2593" s="8634" t="s">
        <v>5675</v>
      </c>
      <c r="F2593" s="8634" t="s">
        <v>2626</v>
      </c>
      <c r="G2593" s="8634" t="s">
        <v>3659</v>
      </c>
      <c r="H2593" s="8634" t="s">
        <v>2187</v>
      </c>
      <c r="I2593" s="8634" t="s">
        <v>768</v>
      </c>
    </row>
    <row customHeight="1" ht="11.25">
      <c r="A2594" s="8634" t="s">
        <v>2182</v>
      </c>
      <c r="B2594" s="8634" t="s">
        <v>14</v>
      </c>
      <c r="C2594" s="8634" t="s">
        <v>5680</v>
      </c>
      <c r="D2594" s="8634" t="s">
        <v>5681</v>
      </c>
      <c r="E2594" s="8634" t="s">
        <v>5682</v>
      </c>
      <c r="F2594" s="8634" t="s">
        <v>2191</v>
      </c>
      <c r="G2594" s="8634" t="s">
        <v>24</v>
      </c>
      <c r="H2594" s="8634" t="s">
        <v>2187</v>
      </c>
      <c r="I2594" s="8634" t="s">
        <v>768</v>
      </c>
    </row>
    <row customHeight="1" ht="11.25">
      <c r="A2595" s="8634" t="s">
        <v>2182</v>
      </c>
      <c r="B2595" s="8634" t="s">
        <v>14</v>
      </c>
      <c r="C2595" s="8634" t="s">
        <v>5683</v>
      </c>
      <c r="D2595" s="8634" t="s">
        <v>5684</v>
      </c>
      <c r="E2595" s="8634" t="s">
        <v>5685</v>
      </c>
      <c r="F2595" s="8634" t="s">
        <v>2344</v>
      </c>
      <c r="G2595" s="8634" t="s">
        <v>24</v>
      </c>
      <c r="H2595" s="8634" t="s">
        <v>24</v>
      </c>
      <c r="I2595" s="8634" t="s">
        <v>768</v>
      </c>
    </row>
    <row customHeight="1" ht="11.25">
      <c r="A2596" s="8634" t="s">
        <v>2182</v>
      </c>
      <c r="B2596" s="8634" t="s">
        <v>14</v>
      </c>
      <c r="C2596" s="8634" t="s">
        <v>5686</v>
      </c>
      <c r="D2596" s="8634" t="s">
        <v>5687</v>
      </c>
      <c r="E2596" s="8634" t="s">
        <v>5688</v>
      </c>
      <c r="F2596" s="8634" t="s">
        <v>2394</v>
      </c>
      <c r="G2596" s="8634" t="s">
        <v>5689</v>
      </c>
      <c r="H2596" s="8634" t="s">
        <v>24</v>
      </c>
      <c r="I2596" s="8634" t="s">
        <v>768</v>
      </c>
    </row>
    <row customHeight="1" ht="11.25">
      <c r="A2597" s="8634" t="s">
        <v>2182</v>
      </c>
      <c r="B2597" s="8634" t="s">
        <v>14</v>
      </c>
      <c r="C2597" s="8634" t="s">
        <v>5690</v>
      </c>
      <c r="D2597" s="8634" t="s">
        <v>5691</v>
      </c>
      <c r="E2597" s="8634" t="s">
        <v>5692</v>
      </c>
      <c r="F2597" s="8634" t="s">
        <v>2344</v>
      </c>
      <c r="G2597" s="8634" t="s">
        <v>5693</v>
      </c>
      <c r="H2597" s="8634" t="s">
        <v>24</v>
      </c>
      <c r="I2597" s="8634" t="s">
        <v>768</v>
      </c>
    </row>
    <row customHeight="1" ht="11.25">
      <c r="A2598" s="8634" t="s">
        <v>2182</v>
      </c>
      <c r="B2598" s="8634" t="s">
        <v>14</v>
      </c>
      <c r="C2598" s="8634" t="s">
        <v>5696</v>
      </c>
      <c r="D2598" s="8634" t="s">
        <v>5697</v>
      </c>
      <c r="E2598" s="8634" t="s">
        <v>5698</v>
      </c>
      <c r="F2598" s="8634" t="s">
        <v>5699</v>
      </c>
      <c r="G2598" s="8634" t="s">
        <v>5700</v>
      </c>
      <c r="H2598" s="8634" t="s">
        <v>24</v>
      </c>
      <c r="I2598" s="8634" t="s">
        <v>768</v>
      </c>
    </row>
    <row customHeight="1" ht="11.25">
      <c r="A2599" s="8634" t="s">
        <v>2182</v>
      </c>
      <c r="B2599" s="8634" t="s">
        <v>14</v>
      </c>
      <c r="C2599" s="8634" t="s">
        <v>5705</v>
      </c>
      <c r="D2599" s="8634" t="s">
        <v>5706</v>
      </c>
      <c r="E2599" s="8634" t="s">
        <v>5703</v>
      </c>
      <c r="F2599" s="8634" t="s">
        <v>5707</v>
      </c>
      <c r="G2599" s="8634" t="s">
        <v>24</v>
      </c>
      <c r="H2599" s="8634" t="s">
        <v>24</v>
      </c>
      <c r="I2599" s="8634" t="s">
        <v>768</v>
      </c>
    </row>
    <row customHeight="1" ht="11.25">
      <c r="A2600" s="8634" t="s">
        <v>2182</v>
      </c>
      <c r="B2600" s="8634" t="s">
        <v>14</v>
      </c>
      <c r="C2600" s="8634" t="s">
        <v>5708</v>
      </c>
      <c r="D2600" s="8634" t="s">
        <v>5709</v>
      </c>
      <c r="E2600" s="8634" t="s">
        <v>5703</v>
      </c>
      <c r="F2600" s="8634" t="s">
        <v>5710</v>
      </c>
      <c r="G2600" s="8634" t="s">
        <v>24</v>
      </c>
      <c r="H2600" s="8634" t="s">
        <v>24</v>
      </c>
      <c r="I2600" s="8634" t="s">
        <v>768</v>
      </c>
    </row>
    <row customHeight="1" ht="11.25">
      <c r="A2601" s="8634" t="s">
        <v>2182</v>
      </c>
      <c r="B2601" s="8634" t="s">
        <v>14</v>
      </c>
      <c r="C2601" s="8634" t="s">
        <v>5713</v>
      </c>
      <c r="D2601" s="8634" t="s">
        <v>5714</v>
      </c>
      <c r="E2601" s="8634" t="s">
        <v>5715</v>
      </c>
      <c r="F2601" s="8634" t="s">
        <v>2404</v>
      </c>
      <c r="G2601" s="8634" t="s">
        <v>24</v>
      </c>
      <c r="H2601" s="8634" t="s">
        <v>24</v>
      </c>
      <c r="I2601" s="8634" t="s">
        <v>768</v>
      </c>
    </row>
    <row customHeight="1" ht="11.25">
      <c r="A2602" s="8634" t="s">
        <v>2182</v>
      </c>
      <c r="B2602" s="8634" t="s">
        <v>14</v>
      </c>
      <c r="C2602" s="8634" t="s">
        <v>5716</v>
      </c>
      <c r="D2602" s="8634" t="s">
        <v>5717</v>
      </c>
      <c r="E2602" s="8634" t="s">
        <v>5718</v>
      </c>
      <c r="F2602" s="8634" t="s">
        <v>4717</v>
      </c>
      <c r="G2602" s="8634" t="s">
        <v>5719</v>
      </c>
      <c r="H2602" s="8634" t="s">
        <v>24</v>
      </c>
      <c r="I2602" s="8634" t="s">
        <v>768</v>
      </c>
    </row>
    <row customHeight="1" ht="11.25">
      <c r="A2603" s="8634" t="s">
        <v>2182</v>
      </c>
      <c r="B2603" s="8634" t="s">
        <v>14</v>
      </c>
      <c r="C2603" s="8634" t="s">
        <v>5732</v>
      </c>
      <c r="D2603" s="8634" t="s">
        <v>5733</v>
      </c>
      <c r="E2603" s="8634" t="s">
        <v>2734</v>
      </c>
      <c r="F2603" s="8634" t="s">
        <v>5723</v>
      </c>
      <c r="G2603" s="8634" t="s">
        <v>24</v>
      </c>
      <c r="H2603" s="8634" t="s">
        <v>24</v>
      </c>
      <c r="I2603" s="8634" t="s">
        <v>768</v>
      </c>
    </row>
    <row customHeight="1" ht="11.25">
      <c r="A2604" s="8634" t="s">
        <v>2182</v>
      </c>
      <c r="B2604" s="8634" t="s">
        <v>14</v>
      </c>
      <c r="C2604" s="8634" t="s">
        <v>5738</v>
      </c>
      <c r="D2604" s="8634" t="s">
        <v>5739</v>
      </c>
      <c r="E2604" s="8634" t="s">
        <v>5740</v>
      </c>
      <c r="F2604" s="8634" t="s">
        <v>5741</v>
      </c>
      <c r="G2604" s="8634" t="s">
        <v>5742</v>
      </c>
      <c r="H2604" s="8634" t="s">
        <v>24</v>
      </c>
      <c r="I2604" s="8634" t="s">
        <v>768</v>
      </c>
    </row>
    <row customHeight="1" ht="11.25">
      <c r="A2605" s="8634" t="s">
        <v>2182</v>
      </c>
      <c r="B2605" s="8634" t="s">
        <v>14</v>
      </c>
      <c r="C2605" s="8634" t="s">
        <v>5743</v>
      </c>
      <c r="D2605" s="8634" t="s">
        <v>5744</v>
      </c>
      <c r="E2605" s="8634" t="s">
        <v>5745</v>
      </c>
      <c r="F2605" s="8634" t="s">
        <v>5746</v>
      </c>
      <c r="G2605" s="8634" t="s">
        <v>5747</v>
      </c>
      <c r="H2605" s="8634" t="s">
        <v>24</v>
      </c>
      <c r="I2605" s="8634" t="s">
        <v>768</v>
      </c>
    </row>
    <row customHeight="1" ht="11.25">
      <c r="A2606" s="8634" t="s">
        <v>2182</v>
      </c>
      <c r="B2606" s="8634" t="s">
        <v>14</v>
      </c>
      <c r="C2606" s="8634" t="s">
        <v>5756</v>
      </c>
      <c r="D2606" s="8634" t="s">
        <v>5757</v>
      </c>
      <c r="E2606" s="8634" t="s">
        <v>5758</v>
      </c>
      <c r="F2606" s="8634" t="s">
        <v>2492</v>
      </c>
      <c r="G2606" s="8634" t="s">
        <v>5759</v>
      </c>
      <c r="H2606" s="8634" t="s">
        <v>24</v>
      </c>
      <c r="I2606" s="8634" t="s">
        <v>768</v>
      </c>
    </row>
    <row customHeight="1" ht="11.25">
      <c r="A2607" s="8634" t="s">
        <v>2182</v>
      </c>
      <c r="B2607" s="8634" t="s">
        <v>14</v>
      </c>
      <c r="C2607" s="8634" t="s">
        <v>5760</v>
      </c>
      <c r="D2607" s="8634" t="s">
        <v>5761</v>
      </c>
      <c r="E2607" s="8634" t="s">
        <v>3944</v>
      </c>
      <c r="F2607" s="8634" t="s">
        <v>2438</v>
      </c>
      <c r="G2607" s="8634" t="s">
        <v>24</v>
      </c>
      <c r="H2607" s="8634" t="s">
        <v>24</v>
      </c>
      <c r="I2607" s="8634" t="s">
        <v>768</v>
      </c>
    </row>
    <row customHeight="1" ht="11.25">
      <c r="A2608" s="8634" t="s">
        <v>2182</v>
      </c>
      <c r="B2608" s="8634" t="s">
        <v>14</v>
      </c>
      <c r="C2608" s="8634" t="s">
        <v>5765</v>
      </c>
      <c r="D2608" s="8634" t="s">
        <v>5766</v>
      </c>
      <c r="E2608" s="8634" t="s">
        <v>5767</v>
      </c>
      <c r="F2608" s="8634" t="s">
        <v>5768</v>
      </c>
      <c r="G2608" s="8634" t="s">
        <v>24</v>
      </c>
      <c r="H2608" s="8634" t="s">
        <v>2187</v>
      </c>
      <c r="I2608" s="8634" t="s">
        <v>768</v>
      </c>
    </row>
    <row customHeight="1" ht="11.25">
      <c r="A2609" s="8634" t="s">
        <v>2182</v>
      </c>
      <c r="B2609" s="8634" t="s">
        <v>14</v>
      </c>
      <c r="C2609" s="8634" t="s">
        <v>5775</v>
      </c>
      <c r="D2609" s="8634" t="s">
        <v>5776</v>
      </c>
      <c r="E2609" s="8634" t="s">
        <v>5777</v>
      </c>
      <c r="F2609" s="8634" t="s">
        <v>2411</v>
      </c>
      <c r="G2609" s="8634" t="s">
        <v>5778</v>
      </c>
      <c r="H2609" s="8634" t="s">
        <v>24</v>
      </c>
      <c r="I2609" s="8634" t="s">
        <v>768</v>
      </c>
    </row>
    <row customHeight="1" ht="11.25">
      <c r="A2610" s="8634" t="s">
        <v>2182</v>
      </c>
      <c r="B2610" s="8634" t="s">
        <v>14</v>
      </c>
      <c r="C2610" s="8634" t="s">
        <v>5779</v>
      </c>
      <c r="D2610" s="8634" t="s">
        <v>5780</v>
      </c>
      <c r="E2610" s="8634" t="s">
        <v>2194</v>
      </c>
      <c r="F2610" s="8634" t="s">
        <v>5781</v>
      </c>
      <c r="G2610" s="8634" t="s">
        <v>5782</v>
      </c>
      <c r="H2610" s="8634" t="s">
        <v>2400</v>
      </c>
      <c r="I2610" s="8634" t="s">
        <v>768</v>
      </c>
    </row>
    <row customHeight="1" ht="11.25">
      <c r="A2611" s="8634" t="s">
        <v>2182</v>
      </c>
      <c r="B2611" s="8634" t="s">
        <v>14</v>
      </c>
      <c r="C2611" s="8634" t="s">
        <v>5790</v>
      </c>
      <c r="D2611" s="8634" t="s">
        <v>5791</v>
      </c>
      <c r="E2611" s="8634" t="s">
        <v>5792</v>
      </c>
      <c r="F2611" s="8634" t="s">
        <v>5793</v>
      </c>
      <c r="G2611" s="8634" t="s">
        <v>24</v>
      </c>
      <c r="H2611" s="8634" t="s">
        <v>2706</v>
      </c>
      <c r="I2611" s="8634" t="s">
        <v>768</v>
      </c>
    </row>
    <row customHeight="1" ht="11.25">
      <c r="A2612" s="8634" t="s">
        <v>2182</v>
      </c>
      <c r="B2612" s="8634" t="s">
        <v>14</v>
      </c>
      <c r="C2612" s="8634" t="s">
        <v>7702</v>
      </c>
      <c r="D2612" s="8634" t="s">
        <v>7703</v>
      </c>
      <c r="E2612" s="8634" t="s">
        <v>2925</v>
      </c>
      <c r="F2612" s="8634" t="s">
        <v>7704</v>
      </c>
      <c r="G2612" s="8634" t="s">
        <v>24</v>
      </c>
      <c r="H2612" s="8634" t="s">
        <v>7705</v>
      </c>
      <c r="I2612" s="8634" t="s">
        <v>768</v>
      </c>
    </row>
    <row customHeight="1" ht="11.25">
      <c r="A2613" s="8634" t="s">
        <v>2182</v>
      </c>
      <c r="B2613" s="8634" t="s">
        <v>14</v>
      </c>
      <c r="C2613" s="8634" t="s">
        <v>5798</v>
      </c>
      <c r="D2613" s="8634" t="s">
        <v>5799</v>
      </c>
      <c r="E2613" s="8634" t="s">
        <v>5800</v>
      </c>
      <c r="F2613" s="8634" t="s">
        <v>2721</v>
      </c>
      <c r="G2613" s="8634" t="s">
        <v>24</v>
      </c>
      <c r="H2613" s="8634" t="s">
        <v>2187</v>
      </c>
      <c r="I2613" s="8634" t="s">
        <v>768</v>
      </c>
    </row>
    <row customHeight="1" ht="11.25">
      <c r="A2614" s="8634" t="s">
        <v>2182</v>
      </c>
      <c r="B2614" s="8634" t="s">
        <v>14</v>
      </c>
      <c r="C2614" s="8634" t="s">
        <v>7706</v>
      </c>
      <c r="D2614" s="8634" t="s">
        <v>7707</v>
      </c>
      <c r="E2614" s="8634" t="s">
        <v>7708</v>
      </c>
      <c r="F2614" s="8634" t="s">
        <v>3460</v>
      </c>
      <c r="G2614" s="8634" t="s">
        <v>7709</v>
      </c>
      <c r="H2614" s="8634" t="s">
        <v>24</v>
      </c>
      <c r="I2614" s="8634" t="s">
        <v>768</v>
      </c>
    </row>
    <row customHeight="1" ht="11.25">
      <c r="A2615" s="8634" t="s">
        <v>2182</v>
      </c>
      <c r="B2615" s="8634" t="s">
        <v>14</v>
      </c>
      <c r="C2615" s="8634" t="s">
        <v>7710</v>
      </c>
      <c r="D2615" s="8634" t="s">
        <v>7711</v>
      </c>
      <c r="E2615" s="8634" t="s">
        <v>7712</v>
      </c>
      <c r="F2615" s="8634" t="s">
        <v>2890</v>
      </c>
      <c r="G2615" s="8634" t="s">
        <v>24</v>
      </c>
      <c r="H2615" s="8634" t="s">
        <v>24</v>
      </c>
      <c r="I2615" s="8634" t="s">
        <v>768</v>
      </c>
    </row>
    <row customHeight="1" ht="11.25">
      <c r="A2616" s="8634" t="s">
        <v>2182</v>
      </c>
      <c r="B2616" s="8634" t="s">
        <v>14</v>
      </c>
      <c r="C2616" s="8634" t="s">
        <v>7713</v>
      </c>
      <c r="D2616" s="8634" t="s">
        <v>7714</v>
      </c>
      <c r="E2616" s="8634" t="s">
        <v>7715</v>
      </c>
      <c r="F2616" s="8634" t="s">
        <v>4764</v>
      </c>
      <c r="G2616" s="8634" t="s">
        <v>24</v>
      </c>
      <c r="H2616" s="8634" t="s">
        <v>7716</v>
      </c>
      <c r="I2616" s="8634" t="s">
        <v>768</v>
      </c>
    </row>
    <row customHeight="1" ht="11.25">
      <c r="A2617" s="8634" t="s">
        <v>2182</v>
      </c>
      <c r="B2617" s="8634" t="s">
        <v>14</v>
      </c>
      <c r="C2617" s="8634" t="s">
        <v>5849</v>
      </c>
      <c r="D2617" s="8634" t="s">
        <v>5850</v>
      </c>
      <c r="E2617" s="8634" t="s">
        <v>5851</v>
      </c>
      <c r="F2617" s="8634" t="s">
        <v>2721</v>
      </c>
      <c r="G2617" s="8634" t="s">
        <v>24</v>
      </c>
      <c r="H2617" s="8634" t="s">
        <v>5852</v>
      </c>
      <c r="I2617" s="8634" t="s">
        <v>768</v>
      </c>
    </row>
    <row customHeight="1" ht="11.25">
      <c r="A2618" s="8634" t="s">
        <v>2182</v>
      </c>
      <c r="B2618" s="8634" t="s">
        <v>14</v>
      </c>
      <c r="C2618" s="8634" t="s">
        <v>6390</v>
      </c>
      <c r="D2618" s="8634" t="s">
        <v>6391</v>
      </c>
      <c r="E2618" s="8634" t="s">
        <v>6392</v>
      </c>
      <c r="F2618" s="8634" t="s">
        <v>2228</v>
      </c>
      <c r="G2618" s="8634" t="s">
        <v>24</v>
      </c>
      <c r="H2618" s="8634" t="s">
        <v>2187</v>
      </c>
      <c r="I2618" s="8634" t="s">
        <v>768</v>
      </c>
    </row>
    <row customHeight="1" ht="11.25">
      <c r="A2619" s="8634" t="s">
        <v>2182</v>
      </c>
      <c r="B2619" s="8634" t="s">
        <v>14</v>
      </c>
      <c r="C2619" s="8634" t="s">
        <v>7717</v>
      </c>
      <c r="D2619" s="8634" t="s">
        <v>7718</v>
      </c>
      <c r="E2619" s="8634" t="s">
        <v>7719</v>
      </c>
      <c r="F2619" s="8634" t="s">
        <v>2411</v>
      </c>
      <c r="G2619" s="8634" t="s">
        <v>24</v>
      </c>
      <c r="H2619" s="8634" t="s">
        <v>7720</v>
      </c>
      <c r="I2619" s="8634" t="s">
        <v>768</v>
      </c>
    </row>
    <row customHeight="1" ht="11.25">
      <c r="A2620" s="8634" t="s">
        <v>2182</v>
      </c>
      <c r="B2620" s="8634" t="s">
        <v>14</v>
      </c>
      <c r="C2620" s="8634" t="s">
        <v>7721</v>
      </c>
      <c r="D2620" s="8634" t="s">
        <v>7722</v>
      </c>
      <c r="E2620" s="8634" t="s">
        <v>7723</v>
      </c>
      <c r="F2620" s="8634" t="s">
        <v>5584</v>
      </c>
      <c r="G2620" s="8634" t="s">
        <v>7724</v>
      </c>
      <c r="H2620" s="8634" t="s">
        <v>24</v>
      </c>
      <c r="I2620" s="8634" t="s">
        <v>768</v>
      </c>
    </row>
    <row customHeight="1" ht="11.25">
      <c r="A2621" s="8634" t="s">
        <v>2182</v>
      </c>
      <c r="B2621" s="8634" t="s">
        <v>14</v>
      </c>
      <c r="C2621" s="8634" t="s">
        <v>7725</v>
      </c>
      <c r="D2621" s="8634" t="s">
        <v>7726</v>
      </c>
      <c r="E2621" s="8634" t="s">
        <v>7727</v>
      </c>
      <c r="F2621" s="8634" t="s">
        <v>2563</v>
      </c>
      <c r="G2621" s="8634" t="s">
        <v>7728</v>
      </c>
      <c r="H2621" s="8634" t="s">
        <v>24</v>
      </c>
      <c r="I2621" s="8634" t="s">
        <v>768</v>
      </c>
    </row>
    <row customHeight="1" ht="11.25">
      <c r="A2622" s="8634" t="s">
        <v>2182</v>
      </c>
      <c r="B2622" s="8634" t="s">
        <v>14</v>
      </c>
      <c r="C2622" s="8634" t="s">
        <v>5867</v>
      </c>
      <c r="D2622" s="8634" t="s">
        <v>5868</v>
      </c>
      <c r="E2622" s="8634" t="s">
        <v>5869</v>
      </c>
      <c r="F2622" s="8634" t="s">
        <v>5870</v>
      </c>
      <c r="G2622" s="8634" t="s">
        <v>5871</v>
      </c>
      <c r="H2622" s="8634" t="s">
        <v>24</v>
      </c>
      <c r="I2622" s="8634" t="s">
        <v>768</v>
      </c>
    </row>
    <row customHeight="1" ht="11.25">
      <c r="A2623" s="8634" t="s">
        <v>2182</v>
      </c>
      <c r="B2623" s="8634" t="s">
        <v>14</v>
      </c>
      <c r="C2623" s="8634" t="s">
        <v>5872</v>
      </c>
      <c r="D2623" s="8634" t="s">
        <v>5873</v>
      </c>
      <c r="E2623" s="8634" t="s">
        <v>5874</v>
      </c>
      <c r="F2623" s="8634" t="s">
        <v>2394</v>
      </c>
      <c r="G2623" s="8634" t="s">
        <v>24</v>
      </c>
      <c r="H2623" s="8634" t="s">
        <v>5875</v>
      </c>
      <c r="I2623" s="8634" t="s">
        <v>768</v>
      </c>
    </row>
    <row customHeight="1" ht="11.25">
      <c r="A2624" s="8634" t="s">
        <v>2182</v>
      </c>
      <c r="B2624" s="8634" t="s">
        <v>14</v>
      </c>
      <c r="C2624" s="8634" t="s">
        <v>5876</v>
      </c>
      <c r="D2624" s="8634" t="s">
        <v>5877</v>
      </c>
      <c r="E2624" s="8634" t="s">
        <v>5878</v>
      </c>
      <c r="F2624" s="8634" t="s">
        <v>2213</v>
      </c>
      <c r="G2624" s="8634" t="s">
        <v>5879</v>
      </c>
      <c r="H2624" s="8634" t="s">
        <v>24</v>
      </c>
      <c r="I2624" s="8634" t="s">
        <v>768</v>
      </c>
    </row>
    <row customHeight="1" ht="11.25">
      <c r="A2625" s="8634" t="s">
        <v>2182</v>
      </c>
      <c r="B2625" s="8634" t="s">
        <v>14</v>
      </c>
      <c r="C2625" s="8634" t="s">
        <v>5880</v>
      </c>
      <c r="D2625" s="8634" t="s">
        <v>5881</v>
      </c>
      <c r="E2625" s="8634" t="s">
        <v>5882</v>
      </c>
      <c r="F2625" s="8634" t="s">
        <v>2269</v>
      </c>
      <c r="G2625" s="8634" t="s">
        <v>24</v>
      </c>
      <c r="H2625" s="8634" t="s">
        <v>5883</v>
      </c>
      <c r="I2625" s="8634" t="s">
        <v>768</v>
      </c>
    </row>
    <row customHeight="1" ht="11.25">
      <c r="A2626" s="8634" t="s">
        <v>2182</v>
      </c>
      <c r="B2626" s="8634" t="s">
        <v>14</v>
      </c>
      <c r="C2626" s="8634" t="s">
        <v>7729</v>
      </c>
      <c r="D2626" s="8634" t="s">
        <v>7730</v>
      </c>
      <c r="E2626" s="8634" t="s">
        <v>7731</v>
      </c>
      <c r="F2626" s="8634" t="s">
        <v>2394</v>
      </c>
      <c r="G2626" s="8634" t="s">
        <v>24</v>
      </c>
      <c r="H2626" s="8634" t="s">
        <v>24</v>
      </c>
      <c r="I2626" s="8634" t="s">
        <v>768</v>
      </c>
    </row>
    <row customHeight="1" ht="11.25">
      <c r="A2627" s="8634" t="s">
        <v>2182</v>
      </c>
      <c r="B2627" s="8634" t="s">
        <v>14</v>
      </c>
      <c r="C2627" s="8634" t="s">
        <v>5894</v>
      </c>
      <c r="D2627" s="8634" t="s">
        <v>5895</v>
      </c>
      <c r="E2627" s="8634" t="s">
        <v>5896</v>
      </c>
      <c r="F2627" s="8634" t="s">
        <v>2339</v>
      </c>
      <c r="G2627" s="8634" t="s">
        <v>24</v>
      </c>
      <c r="H2627" s="8634" t="s">
        <v>24</v>
      </c>
      <c r="I2627" s="8634" t="s">
        <v>768</v>
      </c>
    </row>
    <row customHeight="1" ht="11.25">
      <c r="A2628" s="8634" t="s">
        <v>2182</v>
      </c>
      <c r="B2628" s="8634" t="s">
        <v>14</v>
      </c>
      <c r="C2628" s="8634" t="s">
        <v>7732</v>
      </c>
      <c r="D2628" s="8634" t="s">
        <v>7733</v>
      </c>
      <c r="E2628" s="8634" t="s">
        <v>7734</v>
      </c>
      <c r="F2628" s="8634" t="s">
        <v>2595</v>
      </c>
      <c r="G2628" s="8634" t="s">
        <v>7735</v>
      </c>
      <c r="H2628" s="8634" t="s">
        <v>24</v>
      </c>
      <c r="I2628" s="8634" t="s">
        <v>768</v>
      </c>
    </row>
    <row customHeight="1" ht="11.25">
      <c r="A2629" s="8634" t="s">
        <v>2182</v>
      </c>
      <c r="B2629" s="8634" t="s">
        <v>14</v>
      </c>
      <c r="C2629" s="8634" t="s">
        <v>7736</v>
      </c>
      <c r="D2629" s="8634" t="s">
        <v>7737</v>
      </c>
      <c r="E2629" s="8634" t="s">
        <v>7738</v>
      </c>
      <c r="F2629" s="8634" t="s">
        <v>2964</v>
      </c>
      <c r="G2629" s="8634" t="s">
        <v>24</v>
      </c>
      <c r="H2629" s="8634" t="s">
        <v>24</v>
      </c>
      <c r="I2629" s="8634" t="s">
        <v>768</v>
      </c>
    </row>
    <row customHeight="1" ht="11.25">
      <c r="A2630" s="8634" t="s">
        <v>2182</v>
      </c>
      <c r="B2630" s="8634" t="s">
        <v>14</v>
      </c>
      <c r="C2630" s="8634" t="s">
        <v>5906</v>
      </c>
      <c r="D2630" s="8634" t="s">
        <v>5907</v>
      </c>
      <c r="E2630" s="8634" t="s">
        <v>5908</v>
      </c>
      <c r="F2630" s="8634" t="s">
        <v>2344</v>
      </c>
      <c r="G2630" s="8634" t="s">
        <v>24</v>
      </c>
      <c r="H2630" s="8634" t="s">
        <v>24</v>
      </c>
      <c r="I2630" s="8634" t="s">
        <v>768</v>
      </c>
    </row>
    <row customHeight="1" ht="11.25">
      <c r="A2631" s="8634" t="s">
        <v>2182</v>
      </c>
      <c r="B2631" s="8634" t="s">
        <v>14</v>
      </c>
      <c r="C2631" s="8634" t="s">
        <v>5909</v>
      </c>
      <c r="D2631" s="8634" t="s">
        <v>5910</v>
      </c>
      <c r="E2631" s="8634" t="s">
        <v>5911</v>
      </c>
      <c r="F2631" s="8634" t="s">
        <v>2322</v>
      </c>
      <c r="G2631" s="8634" t="s">
        <v>24</v>
      </c>
      <c r="H2631" s="8634" t="s">
        <v>24</v>
      </c>
      <c r="I2631" s="8634" t="s">
        <v>768</v>
      </c>
    </row>
    <row customHeight="1" ht="11.25">
      <c r="A2632" s="8634" t="s">
        <v>2182</v>
      </c>
      <c r="B2632" s="8634" t="s">
        <v>14</v>
      </c>
      <c r="C2632" s="8634" t="s">
        <v>5912</v>
      </c>
      <c r="D2632" s="8634" t="s">
        <v>5913</v>
      </c>
      <c r="E2632" s="8634" t="s">
        <v>5914</v>
      </c>
      <c r="F2632" s="8634" t="s">
        <v>5915</v>
      </c>
      <c r="G2632" s="8634" t="s">
        <v>24</v>
      </c>
      <c r="H2632" s="8634" t="s">
        <v>24</v>
      </c>
      <c r="I2632" s="8634" t="s">
        <v>768</v>
      </c>
    </row>
    <row customHeight="1" ht="11.25">
      <c r="A2633" s="8634" t="s">
        <v>2182</v>
      </c>
      <c r="B2633" s="8634" t="s">
        <v>14</v>
      </c>
      <c r="C2633" s="8634" t="s">
        <v>5916</v>
      </c>
      <c r="D2633" s="8634" t="s">
        <v>5913</v>
      </c>
      <c r="E2633" s="8634" t="s">
        <v>5914</v>
      </c>
      <c r="F2633" s="8634" t="s">
        <v>2314</v>
      </c>
      <c r="G2633" s="8634" t="s">
        <v>24</v>
      </c>
      <c r="H2633" s="8634" t="s">
        <v>24</v>
      </c>
      <c r="I2633" s="8634" t="s">
        <v>768</v>
      </c>
    </row>
    <row customHeight="1" ht="11.25">
      <c r="A2634" s="8634" t="s">
        <v>2182</v>
      </c>
      <c r="B2634" s="8634" t="s">
        <v>14</v>
      </c>
      <c r="C2634" s="8634" t="s">
        <v>5917</v>
      </c>
      <c r="D2634" s="8634" t="s">
        <v>5918</v>
      </c>
      <c r="E2634" s="8634" t="s">
        <v>5919</v>
      </c>
      <c r="F2634" s="8634" t="s">
        <v>2318</v>
      </c>
      <c r="G2634" s="8634" t="s">
        <v>5920</v>
      </c>
      <c r="H2634" s="8634" t="s">
        <v>24</v>
      </c>
      <c r="I2634" s="8634" t="s">
        <v>768</v>
      </c>
    </row>
    <row customHeight="1" ht="11.25">
      <c r="A2635" s="8634" t="s">
        <v>2182</v>
      </c>
      <c r="B2635" s="8634" t="s">
        <v>14</v>
      </c>
      <c r="C2635" s="8634" t="s">
        <v>5921</v>
      </c>
      <c r="D2635" s="8634" t="s">
        <v>5922</v>
      </c>
      <c r="E2635" s="8634" t="s">
        <v>5923</v>
      </c>
      <c r="F2635" s="8634" t="s">
        <v>2334</v>
      </c>
      <c r="G2635" s="8634" t="s">
        <v>24</v>
      </c>
      <c r="H2635" s="8634" t="s">
        <v>24</v>
      </c>
      <c r="I2635" s="8634" t="s">
        <v>768</v>
      </c>
    </row>
    <row customHeight="1" ht="11.25">
      <c r="A2636" s="8634" t="s">
        <v>2182</v>
      </c>
      <c r="B2636" s="8634" t="s">
        <v>14</v>
      </c>
      <c r="C2636" s="8634" t="s">
        <v>5924</v>
      </c>
      <c r="D2636" s="8634" t="s">
        <v>5925</v>
      </c>
      <c r="E2636" s="8634" t="s">
        <v>5926</v>
      </c>
      <c r="F2636" s="8634" t="s">
        <v>2344</v>
      </c>
      <c r="G2636" s="8634" t="s">
        <v>5927</v>
      </c>
      <c r="H2636" s="8634" t="s">
        <v>24</v>
      </c>
      <c r="I2636" s="8634" t="s">
        <v>768</v>
      </c>
    </row>
    <row customHeight="1" ht="11.25">
      <c r="A2637" s="8634" t="s">
        <v>2182</v>
      </c>
      <c r="B2637" s="8634" t="s">
        <v>14</v>
      </c>
      <c r="C2637" s="8634" t="s">
        <v>5928</v>
      </c>
      <c r="D2637" s="8634" t="s">
        <v>5929</v>
      </c>
      <c r="E2637" s="8634" t="s">
        <v>5930</v>
      </c>
      <c r="F2637" s="8634" t="s">
        <v>2186</v>
      </c>
      <c r="G2637" s="8634" t="s">
        <v>5931</v>
      </c>
      <c r="H2637" s="8634" t="s">
        <v>24</v>
      </c>
      <c r="I2637" s="8634" t="s">
        <v>768</v>
      </c>
    </row>
    <row customHeight="1" ht="11.25">
      <c r="A2638" s="8634" t="s">
        <v>2182</v>
      </c>
      <c r="B2638" s="8634" t="s">
        <v>14</v>
      </c>
      <c r="C2638" s="8634" t="s">
        <v>5932</v>
      </c>
      <c r="D2638" s="8634" t="s">
        <v>5933</v>
      </c>
      <c r="E2638" s="8634" t="s">
        <v>5934</v>
      </c>
      <c r="F2638" s="8634" t="s">
        <v>2600</v>
      </c>
      <c r="G2638" s="8634" t="s">
        <v>24</v>
      </c>
      <c r="H2638" s="8634" t="s">
        <v>24</v>
      </c>
      <c r="I2638" s="8634" t="s">
        <v>768</v>
      </c>
    </row>
    <row customHeight="1" ht="11.25">
      <c r="A2639" s="8634" t="s">
        <v>2182</v>
      </c>
      <c r="B2639" s="8634" t="s">
        <v>14</v>
      </c>
      <c r="C2639" s="8634" t="s">
        <v>5939</v>
      </c>
      <c r="D2639" s="8634" t="s">
        <v>5940</v>
      </c>
      <c r="E2639" s="8634" t="s">
        <v>5941</v>
      </c>
      <c r="F2639" s="8634" t="s">
        <v>2245</v>
      </c>
      <c r="G2639" s="8634" t="s">
        <v>24</v>
      </c>
      <c r="H2639" s="8634" t="s">
        <v>5942</v>
      </c>
      <c r="I2639" s="8634" t="s">
        <v>768</v>
      </c>
    </row>
    <row customHeight="1" ht="11.25">
      <c r="A2640" s="8634" t="s">
        <v>2182</v>
      </c>
      <c r="B2640" s="8634" t="s">
        <v>14</v>
      </c>
      <c r="C2640" s="8634" t="s">
        <v>5943</v>
      </c>
      <c r="D2640" s="8634" t="s">
        <v>5940</v>
      </c>
      <c r="E2640" s="8634" t="s">
        <v>5941</v>
      </c>
      <c r="F2640" s="8634" t="s">
        <v>2245</v>
      </c>
      <c r="G2640" s="8634" t="s">
        <v>5944</v>
      </c>
      <c r="H2640" s="8634" t="s">
        <v>24</v>
      </c>
      <c r="I2640" s="8634" t="s">
        <v>768</v>
      </c>
    </row>
    <row customHeight="1" ht="11.25">
      <c r="A2641" s="8634" t="s">
        <v>2182</v>
      </c>
      <c r="B2641" s="8634" t="s">
        <v>14</v>
      </c>
      <c r="C2641" s="8634" t="s">
        <v>5945</v>
      </c>
      <c r="D2641" s="8634" t="s">
        <v>5946</v>
      </c>
      <c r="E2641" s="8634" t="s">
        <v>5947</v>
      </c>
      <c r="F2641" s="8634" t="s">
        <v>2269</v>
      </c>
      <c r="G2641" s="8634" t="s">
        <v>24</v>
      </c>
      <c r="H2641" s="8634" t="s">
        <v>24</v>
      </c>
      <c r="I2641" s="8634" t="s">
        <v>768</v>
      </c>
    </row>
    <row customHeight="1" ht="11.25">
      <c r="A2642" s="8634" t="s">
        <v>2182</v>
      </c>
      <c r="B2642" s="8634" t="s">
        <v>14</v>
      </c>
      <c r="C2642" s="8634" t="s">
        <v>5948</v>
      </c>
      <c r="D2642" s="8634" t="s">
        <v>5949</v>
      </c>
      <c r="E2642" s="8634" t="s">
        <v>5950</v>
      </c>
      <c r="F2642" s="8634" t="s">
        <v>3295</v>
      </c>
      <c r="G2642" s="8634" t="s">
        <v>24</v>
      </c>
      <c r="H2642" s="8634" t="s">
        <v>24</v>
      </c>
      <c r="I2642" s="8634" t="s">
        <v>768</v>
      </c>
    </row>
    <row customHeight="1" ht="11.25">
      <c r="A2643" s="8634" t="s">
        <v>2182</v>
      </c>
      <c r="B2643" s="8634" t="s">
        <v>14</v>
      </c>
      <c r="C2643" s="8634" t="s">
        <v>5951</v>
      </c>
      <c r="D2643" s="8634" t="s">
        <v>5952</v>
      </c>
      <c r="E2643" s="8634" t="s">
        <v>5953</v>
      </c>
      <c r="F2643" s="8634" t="s">
        <v>5954</v>
      </c>
      <c r="G2643" s="8634" t="s">
        <v>5955</v>
      </c>
      <c r="H2643" s="8634" t="s">
        <v>24</v>
      </c>
      <c r="I2643" s="8634" t="s">
        <v>768</v>
      </c>
    </row>
    <row customHeight="1" ht="11.25">
      <c r="A2644" s="8634" t="s">
        <v>2182</v>
      </c>
      <c r="B2644" s="8634" t="s">
        <v>14</v>
      </c>
      <c r="C2644" s="8634" t="s">
        <v>5960</v>
      </c>
      <c r="D2644" s="8634" t="s">
        <v>5961</v>
      </c>
      <c r="E2644" s="8634" t="s">
        <v>5962</v>
      </c>
      <c r="F2644" s="8634" t="s">
        <v>2344</v>
      </c>
      <c r="G2644" s="8634" t="s">
        <v>24</v>
      </c>
      <c r="H2644" s="8634" t="s">
        <v>24</v>
      </c>
      <c r="I2644" s="8634" t="s">
        <v>768</v>
      </c>
    </row>
    <row customHeight="1" ht="11.25">
      <c r="A2645" s="8634" t="s">
        <v>2182</v>
      </c>
      <c r="B2645" s="8634" t="s">
        <v>14</v>
      </c>
      <c r="C2645" s="8634" t="s">
        <v>5966</v>
      </c>
      <c r="D2645" s="8634" t="s">
        <v>5967</v>
      </c>
      <c r="E2645" s="8634" t="s">
        <v>3817</v>
      </c>
      <c r="F2645" s="8634" t="s">
        <v>2549</v>
      </c>
      <c r="G2645" s="8634" t="s">
        <v>24</v>
      </c>
      <c r="H2645" s="8634" t="s">
        <v>5968</v>
      </c>
      <c r="I2645" s="8634" t="s">
        <v>768</v>
      </c>
    </row>
    <row customHeight="1" ht="11.25">
      <c r="A2646" s="8634" t="s">
        <v>2182</v>
      </c>
      <c r="B2646" s="8634" t="s">
        <v>14</v>
      </c>
      <c r="C2646" s="8634" t="s">
        <v>7739</v>
      </c>
      <c r="D2646" s="8634" t="s">
        <v>7740</v>
      </c>
      <c r="E2646" s="8634" t="s">
        <v>7741</v>
      </c>
      <c r="F2646" s="8634" t="s">
        <v>2948</v>
      </c>
      <c r="G2646" s="8634" t="s">
        <v>5410</v>
      </c>
      <c r="H2646" s="8634" t="s">
        <v>24</v>
      </c>
      <c r="I2646" s="8634" t="s">
        <v>768</v>
      </c>
    </row>
    <row customHeight="1" ht="11.25">
      <c r="A2647" s="8634" t="s">
        <v>2182</v>
      </c>
      <c r="B2647" s="8634" t="s">
        <v>14</v>
      </c>
      <c r="C2647" s="8634" t="s">
        <v>5969</v>
      </c>
      <c r="D2647" s="8634" t="s">
        <v>5970</v>
      </c>
      <c r="E2647" s="8634" t="s">
        <v>5971</v>
      </c>
      <c r="F2647" s="8634" t="s">
        <v>2890</v>
      </c>
      <c r="G2647" s="8634" t="s">
        <v>24</v>
      </c>
      <c r="H2647" s="8634" t="s">
        <v>2187</v>
      </c>
      <c r="I2647" s="8634" t="s">
        <v>768</v>
      </c>
    </row>
    <row customHeight="1" ht="11.25">
      <c r="A2648" s="8634" t="s">
        <v>2182</v>
      </c>
      <c r="B2648" s="8634" t="s">
        <v>14</v>
      </c>
      <c r="C2648" s="8634" t="s">
        <v>5972</v>
      </c>
      <c r="D2648" s="8634" t="s">
        <v>5973</v>
      </c>
      <c r="E2648" s="8634" t="s">
        <v>5974</v>
      </c>
      <c r="F2648" s="8634" t="s">
        <v>2269</v>
      </c>
      <c r="G2648" s="8634" t="s">
        <v>5975</v>
      </c>
      <c r="H2648" s="8634" t="s">
        <v>24</v>
      </c>
      <c r="I2648" s="8634" t="s">
        <v>768</v>
      </c>
    </row>
    <row customHeight="1" ht="11.25">
      <c r="A2649" s="8634" t="s">
        <v>2182</v>
      </c>
      <c r="B2649" s="8634" t="s">
        <v>14</v>
      </c>
      <c r="C2649" s="8634" t="s">
        <v>5976</v>
      </c>
      <c r="D2649" s="8634" t="s">
        <v>5977</v>
      </c>
      <c r="E2649" s="8634" t="s">
        <v>5978</v>
      </c>
      <c r="F2649" s="8634" t="s">
        <v>2411</v>
      </c>
      <c r="G2649" s="8634" t="s">
        <v>5979</v>
      </c>
      <c r="H2649" s="8634" t="s">
        <v>24</v>
      </c>
      <c r="I2649" s="8634" t="s">
        <v>768</v>
      </c>
    </row>
    <row customHeight="1" ht="11.25">
      <c r="A2650" s="8634" t="s">
        <v>2182</v>
      </c>
      <c r="B2650" s="8634" t="s">
        <v>14</v>
      </c>
      <c r="C2650" s="8634" t="s">
        <v>5980</v>
      </c>
      <c r="D2650" s="8634" t="s">
        <v>5981</v>
      </c>
      <c r="E2650" s="8634" t="s">
        <v>5982</v>
      </c>
      <c r="F2650" s="8634" t="s">
        <v>3278</v>
      </c>
      <c r="G2650" s="8634" t="s">
        <v>24</v>
      </c>
      <c r="H2650" s="8634" t="s">
        <v>2400</v>
      </c>
      <c r="I2650" s="8634" t="s">
        <v>768</v>
      </c>
    </row>
    <row customHeight="1" ht="11.25">
      <c r="A2651" s="8634" t="s">
        <v>2182</v>
      </c>
      <c r="B2651" s="8634" t="s">
        <v>14</v>
      </c>
      <c r="C2651" s="8634" t="s">
        <v>5983</v>
      </c>
      <c r="D2651" s="8634" t="s">
        <v>5984</v>
      </c>
      <c r="E2651" s="8634" t="s">
        <v>5985</v>
      </c>
      <c r="F2651" s="8634" t="s">
        <v>2600</v>
      </c>
      <c r="G2651" s="8634" t="s">
        <v>24</v>
      </c>
      <c r="H2651" s="8634" t="s">
        <v>24</v>
      </c>
      <c r="I2651" s="8634" t="s">
        <v>768</v>
      </c>
    </row>
    <row customHeight="1" ht="11.25">
      <c r="A2652" s="8634" t="s">
        <v>2182</v>
      </c>
      <c r="B2652" s="8634" t="s">
        <v>14</v>
      </c>
      <c r="C2652" s="8634" t="s">
        <v>7742</v>
      </c>
      <c r="D2652" s="8634" t="s">
        <v>7743</v>
      </c>
      <c r="E2652" s="8634" t="s">
        <v>7744</v>
      </c>
      <c r="F2652" s="8634" t="s">
        <v>2721</v>
      </c>
      <c r="G2652" s="8634" t="s">
        <v>24</v>
      </c>
      <c r="H2652" s="8634" t="s">
        <v>7745</v>
      </c>
      <c r="I2652" s="8634" t="s">
        <v>768</v>
      </c>
    </row>
    <row customHeight="1" ht="11.25">
      <c r="A2653" s="8634" t="s">
        <v>2182</v>
      </c>
      <c r="B2653" s="8634" t="s">
        <v>14</v>
      </c>
      <c r="C2653" s="8634" t="s">
        <v>5989</v>
      </c>
      <c r="D2653" s="8634" t="s">
        <v>5990</v>
      </c>
      <c r="E2653" s="8634" t="s">
        <v>5991</v>
      </c>
      <c r="F2653" s="8634" t="s">
        <v>2228</v>
      </c>
      <c r="G2653" s="8634" t="s">
        <v>24</v>
      </c>
      <c r="H2653" s="8634" t="s">
        <v>24</v>
      </c>
      <c r="I2653" s="8634" t="s">
        <v>768</v>
      </c>
    </row>
    <row customHeight="1" ht="11.25">
      <c r="A2654" s="8634" t="s">
        <v>2182</v>
      </c>
      <c r="B2654" s="8634" t="s">
        <v>14</v>
      </c>
      <c r="C2654" s="8634" t="s">
        <v>5992</v>
      </c>
      <c r="D2654" s="8634" t="s">
        <v>5993</v>
      </c>
      <c r="E2654" s="8634" t="s">
        <v>5994</v>
      </c>
      <c r="F2654" s="8634" t="s">
        <v>2344</v>
      </c>
      <c r="G2654" s="8634" t="s">
        <v>5995</v>
      </c>
      <c r="H2654" s="8634" t="s">
        <v>24</v>
      </c>
      <c r="I2654" s="8634" t="s">
        <v>768</v>
      </c>
    </row>
    <row customHeight="1" ht="11.25">
      <c r="A2655" s="8634" t="s">
        <v>2182</v>
      </c>
      <c r="B2655" s="8634" t="s">
        <v>14</v>
      </c>
      <c r="C2655" s="8634" t="s">
        <v>5996</v>
      </c>
      <c r="D2655" s="8634" t="s">
        <v>5997</v>
      </c>
      <c r="E2655" s="8634" t="s">
        <v>5998</v>
      </c>
      <c r="F2655" s="8634" t="s">
        <v>2626</v>
      </c>
      <c r="G2655" s="8634" t="s">
        <v>24</v>
      </c>
      <c r="H2655" s="8634" t="s">
        <v>24</v>
      </c>
      <c r="I2655" s="8634" t="s">
        <v>768</v>
      </c>
    </row>
    <row customHeight="1" ht="11.25">
      <c r="A2656" s="8634" t="s">
        <v>2182</v>
      </c>
      <c r="B2656" s="8634" t="s">
        <v>14</v>
      </c>
      <c r="C2656" s="8634" t="s">
        <v>5999</v>
      </c>
      <c r="D2656" s="8634" t="s">
        <v>6000</v>
      </c>
      <c r="E2656" s="8634" t="s">
        <v>6001</v>
      </c>
      <c r="F2656" s="8634" t="s">
        <v>2233</v>
      </c>
      <c r="G2656" s="8634" t="s">
        <v>24</v>
      </c>
      <c r="H2656" s="8634" t="s">
        <v>24</v>
      </c>
      <c r="I2656" s="8634" t="s">
        <v>768</v>
      </c>
    </row>
    <row customHeight="1" ht="11.25">
      <c r="A2657" s="8634" t="s">
        <v>2182</v>
      </c>
      <c r="B2657" s="8634" t="s">
        <v>14</v>
      </c>
      <c r="C2657" s="8634" t="s">
        <v>7746</v>
      </c>
      <c r="D2657" s="8634" t="s">
        <v>7747</v>
      </c>
      <c r="E2657" s="8634" t="s">
        <v>7748</v>
      </c>
      <c r="F2657" s="8634" t="s">
        <v>3011</v>
      </c>
      <c r="G2657" s="8634" t="s">
        <v>7749</v>
      </c>
      <c r="H2657" s="8634" t="s">
        <v>24</v>
      </c>
      <c r="I2657" s="8634" t="s">
        <v>768</v>
      </c>
    </row>
    <row customHeight="1" ht="11.25">
      <c r="A2658" s="8634" t="s">
        <v>2182</v>
      </c>
      <c r="B2658" s="8634" t="s">
        <v>14</v>
      </c>
      <c r="C2658" s="8634" t="s">
        <v>7750</v>
      </c>
      <c r="D2658" s="8634" t="s">
        <v>7751</v>
      </c>
      <c r="E2658" s="8634" t="s">
        <v>7752</v>
      </c>
      <c r="F2658" s="8634" t="s">
        <v>2394</v>
      </c>
      <c r="G2658" s="8634" t="s">
        <v>24</v>
      </c>
      <c r="H2658" s="8634" t="s">
        <v>24</v>
      </c>
      <c r="I2658" s="8634" t="s">
        <v>768</v>
      </c>
    </row>
    <row customHeight="1" ht="11.25">
      <c r="A2659" s="8634" t="s">
        <v>2182</v>
      </c>
      <c r="B2659" s="8634" t="s">
        <v>14</v>
      </c>
      <c r="C2659" s="8634" t="s">
        <v>6005</v>
      </c>
      <c r="D2659" s="8634" t="s">
        <v>6006</v>
      </c>
      <c r="E2659" s="8634" t="s">
        <v>6007</v>
      </c>
      <c r="F2659" s="8634" t="s">
        <v>2339</v>
      </c>
      <c r="G2659" s="8634" t="s">
        <v>24</v>
      </c>
      <c r="H2659" s="8634" t="s">
        <v>24</v>
      </c>
      <c r="I2659" s="8634" t="s">
        <v>768</v>
      </c>
    </row>
    <row customHeight="1" ht="11.25">
      <c r="A2660" s="8634" t="s">
        <v>2182</v>
      </c>
      <c r="B2660" s="8634" t="s">
        <v>14</v>
      </c>
      <c r="C2660" s="8634" t="s">
        <v>6008</v>
      </c>
      <c r="D2660" s="8634" t="s">
        <v>6009</v>
      </c>
      <c r="E2660" s="8634" t="s">
        <v>6010</v>
      </c>
      <c r="F2660" s="8634" t="s">
        <v>2890</v>
      </c>
      <c r="G2660" s="8634" t="s">
        <v>24</v>
      </c>
      <c r="H2660" s="8634" t="s">
        <v>24</v>
      </c>
      <c r="I2660" s="8634" t="s">
        <v>768</v>
      </c>
    </row>
    <row customHeight="1" ht="11.25">
      <c r="A2661" s="8634" t="s">
        <v>2182</v>
      </c>
      <c r="B2661" s="8634" t="s">
        <v>14</v>
      </c>
      <c r="C2661" s="8634" t="s">
        <v>6018</v>
      </c>
      <c r="D2661" s="8634" t="s">
        <v>6019</v>
      </c>
      <c r="E2661" s="8634" t="s">
        <v>6020</v>
      </c>
      <c r="F2661" s="8634" t="s">
        <v>2460</v>
      </c>
      <c r="G2661" s="8634" t="s">
        <v>24</v>
      </c>
      <c r="H2661" s="8634" t="s">
        <v>2187</v>
      </c>
      <c r="I2661" s="8634" t="s">
        <v>768</v>
      </c>
    </row>
    <row customHeight="1" ht="11.25">
      <c r="A2662" s="8634" t="s">
        <v>2182</v>
      </c>
      <c r="B2662" s="8634" t="s">
        <v>14</v>
      </c>
      <c r="C2662" s="8634" t="s">
        <v>7753</v>
      </c>
      <c r="D2662" s="8634" t="s">
        <v>7754</v>
      </c>
      <c r="E2662" s="8634" t="s">
        <v>7755</v>
      </c>
      <c r="F2662" s="8634" t="s">
        <v>2213</v>
      </c>
      <c r="G2662" s="8634" t="s">
        <v>24</v>
      </c>
      <c r="H2662" s="8634" t="s">
        <v>24</v>
      </c>
      <c r="I2662" s="8634" t="s">
        <v>768</v>
      </c>
    </row>
    <row customHeight="1" ht="11.25">
      <c r="A2663" s="8634" t="s">
        <v>2182</v>
      </c>
      <c r="B2663" s="8634" t="s">
        <v>14</v>
      </c>
      <c r="C2663" s="8634" t="s">
        <v>6033</v>
      </c>
      <c r="D2663" s="8634" t="s">
        <v>6034</v>
      </c>
      <c r="E2663" s="8634" t="s">
        <v>6035</v>
      </c>
      <c r="F2663" s="8634" t="s">
        <v>2492</v>
      </c>
      <c r="G2663" s="8634" t="s">
        <v>24</v>
      </c>
      <c r="H2663" s="8634" t="s">
        <v>2187</v>
      </c>
      <c r="I2663" s="8634" t="s">
        <v>768</v>
      </c>
    </row>
    <row customHeight="1" ht="11.25">
      <c r="A2664" s="8634" t="s">
        <v>2182</v>
      </c>
      <c r="B2664" s="8634" t="s">
        <v>14</v>
      </c>
      <c r="C2664" s="8634" t="s">
        <v>6036</v>
      </c>
      <c r="D2664" s="8634" t="s">
        <v>6037</v>
      </c>
      <c r="E2664" s="8634" t="s">
        <v>6038</v>
      </c>
      <c r="F2664" s="8634" t="s">
        <v>6039</v>
      </c>
      <c r="G2664" s="8634" t="s">
        <v>24</v>
      </c>
      <c r="H2664" s="8634" t="s">
        <v>2773</v>
      </c>
      <c r="I2664" s="8634" t="s">
        <v>768</v>
      </c>
    </row>
    <row customHeight="1" ht="11.25">
      <c r="A2665" s="8634" t="s">
        <v>2182</v>
      </c>
      <c r="B2665" s="8634" t="s">
        <v>14</v>
      </c>
      <c r="C2665" s="8634" t="s">
        <v>7756</v>
      </c>
      <c r="D2665" s="8634" t="s">
        <v>7757</v>
      </c>
      <c r="E2665" s="8634" t="s">
        <v>5926</v>
      </c>
      <c r="F2665" s="8634" t="s">
        <v>7758</v>
      </c>
      <c r="G2665" s="8634" t="s">
        <v>24</v>
      </c>
      <c r="H2665" s="8634" t="s">
        <v>24</v>
      </c>
      <c r="I2665" s="8634" t="s">
        <v>768</v>
      </c>
    </row>
    <row customHeight="1" ht="11.25">
      <c r="A2666" s="8634" t="s">
        <v>2182</v>
      </c>
      <c r="B2666" s="8634" t="s">
        <v>14</v>
      </c>
      <c r="C2666" s="8634" t="s">
        <v>7759</v>
      </c>
      <c r="D2666" s="8634" t="s">
        <v>7760</v>
      </c>
      <c r="E2666" s="8634" t="s">
        <v>7761</v>
      </c>
      <c r="F2666" s="8634" t="s">
        <v>2213</v>
      </c>
      <c r="G2666" s="8634" t="s">
        <v>24</v>
      </c>
      <c r="H2666" s="8634" t="s">
        <v>24</v>
      </c>
      <c r="I2666" s="8634" t="s">
        <v>768</v>
      </c>
    </row>
    <row customHeight="1" ht="11.25">
      <c r="A2667" s="8634" t="s">
        <v>2182</v>
      </c>
      <c r="B2667" s="8634" t="s">
        <v>14</v>
      </c>
      <c r="C2667" s="8634" t="s">
        <v>6040</v>
      </c>
      <c r="D2667" s="8634" t="s">
        <v>6041</v>
      </c>
      <c r="E2667" s="8634" t="s">
        <v>6042</v>
      </c>
      <c r="F2667" s="8634" t="s">
        <v>2218</v>
      </c>
      <c r="G2667" s="8634" t="s">
        <v>24</v>
      </c>
      <c r="H2667" s="8634" t="s">
        <v>24</v>
      </c>
      <c r="I2667" s="8634" t="s">
        <v>768</v>
      </c>
    </row>
    <row customHeight="1" ht="11.25">
      <c r="A2668" s="8634" t="s">
        <v>2182</v>
      </c>
      <c r="B2668" s="8634" t="s">
        <v>14</v>
      </c>
      <c r="C2668" s="8634" t="s">
        <v>7762</v>
      </c>
      <c r="D2668" s="8634" t="s">
        <v>7763</v>
      </c>
      <c r="E2668" s="8634" t="s">
        <v>7764</v>
      </c>
      <c r="F2668" s="8634" t="s">
        <v>7765</v>
      </c>
      <c r="G2668" s="8634" t="s">
        <v>24</v>
      </c>
      <c r="H2668" s="8634" t="s">
        <v>2773</v>
      </c>
      <c r="I2668" s="8634" t="s">
        <v>768</v>
      </c>
    </row>
    <row customHeight="1" ht="11.25">
      <c r="A2669" s="8634" t="s">
        <v>2182</v>
      </c>
      <c r="B2669" s="8634" t="s">
        <v>14</v>
      </c>
      <c r="C2669" s="8634" t="s">
        <v>6049</v>
      </c>
      <c r="D2669" s="8634" t="s">
        <v>6050</v>
      </c>
      <c r="E2669" s="8634" t="s">
        <v>6051</v>
      </c>
      <c r="F2669" s="8634" t="s">
        <v>2218</v>
      </c>
      <c r="G2669" s="8634" t="s">
        <v>24</v>
      </c>
      <c r="H2669" s="8634" t="s">
        <v>2187</v>
      </c>
      <c r="I2669" s="8634" t="s">
        <v>768</v>
      </c>
    </row>
    <row customHeight="1" ht="11.25">
      <c r="A2670" s="8634" t="s">
        <v>2182</v>
      </c>
      <c r="B2670" s="8634" t="s">
        <v>14</v>
      </c>
      <c r="C2670" s="8634" t="s">
        <v>7766</v>
      </c>
      <c r="D2670" s="8634" t="s">
        <v>7767</v>
      </c>
      <c r="E2670" s="8634" t="s">
        <v>7768</v>
      </c>
      <c r="F2670" s="8634" t="s">
        <v>5774</v>
      </c>
      <c r="G2670" s="8634" t="s">
        <v>24</v>
      </c>
      <c r="H2670" s="8634" t="s">
        <v>24</v>
      </c>
      <c r="I2670" s="8634" t="s">
        <v>768</v>
      </c>
    </row>
    <row customHeight="1" ht="11.25">
      <c r="A2671" s="8634" t="s">
        <v>2182</v>
      </c>
      <c r="B2671" s="8634" t="s">
        <v>14</v>
      </c>
      <c r="C2671" s="8634" t="s">
        <v>6055</v>
      </c>
      <c r="D2671" s="8634" t="s">
        <v>6056</v>
      </c>
      <c r="E2671" s="8634" t="s">
        <v>6057</v>
      </c>
      <c r="F2671" s="8634" t="s">
        <v>2213</v>
      </c>
      <c r="G2671" s="8634" t="s">
        <v>24</v>
      </c>
      <c r="H2671" s="8634" t="s">
        <v>2187</v>
      </c>
      <c r="I2671" s="8634" t="s">
        <v>768</v>
      </c>
    </row>
    <row customHeight="1" ht="11.25">
      <c r="A2672" s="8634" t="s">
        <v>2182</v>
      </c>
      <c r="B2672" s="8634" t="s">
        <v>14</v>
      </c>
      <c r="C2672" s="8634" t="s">
        <v>7769</v>
      </c>
      <c r="D2672" s="8634" t="s">
        <v>7770</v>
      </c>
      <c r="E2672" s="8634" t="s">
        <v>7771</v>
      </c>
      <c r="F2672" s="8634" t="s">
        <v>2228</v>
      </c>
      <c r="G2672" s="8634" t="s">
        <v>24</v>
      </c>
      <c r="H2672" s="8634" t="s">
        <v>2187</v>
      </c>
      <c r="I2672" s="8634" t="s">
        <v>768</v>
      </c>
    </row>
    <row customHeight="1" ht="11.25">
      <c r="A2673" s="8634" t="s">
        <v>2182</v>
      </c>
      <c r="B2673" s="8634" t="s">
        <v>14</v>
      </c>
      <c r="C2673" s="8634" t="s">
        <v>6070</v>
      </c>
      <c r="D2673" s="8634" t="s">
        <v>6071</v>
      </c>
      <c r="E2673" s="8634" t="s">
        <v>6072</v>
      </c>
      <c r="F2673" s="8634" t="s">
        <v>2186</v>
      </c>
      <c r="G2673" s="8634" t="s">
        <v>24</v>
      </c>
      <c r="H2673" s="8634" t="s">
        <v>6073</v>
      </c>
      <c r="I2673" s="8634" t="s">
        <v>768</v>
      </c>
    </row>
    <row customHeight="1" ht="11.25">
      <c r="A2674" s="8634" t="s">
        <v>2182</v>
      </c>
      <c r="B2674" s="8634" t="s">
        <v>14</v>
      </c>
      <c r="C2674" s="8634" t="s">
        <v>7772</v>
      </c>
      <c r="D2674" s="8634" t="s">
        <v>7773</v>
      </c>
      <c r="E2674" s="8634" t="s">
        <v>7774</v>
      </c>
      <c r="F2674" s="8634" t="s">
        <v>7775</v>
      </c>
      <c r="G2674" s="8634" t="s">
        <v>24</v>
      </c>
      <c r="H2674" s="8634" t="s">
        <v>24</v>
      </c>
      <c r="I2674" s="8634" t="s">
        <v>768</v>
      </c>
    </row>
    <row customHeight="1" ht="11.25">
      <c r="A2675" s="8634" t="s">
        <v>2182</v>
      </c>
      <c r="B2675" s="8634" t="s">
        <v>14</v>
      </c>
      <c r="C2675" s="8634" t="s">
        <v>6074</v>
      </c>
      <c r="D2675" s="8634" t="s">
        <v>6075</v>
      </c>
      <c r="E2675" s="8634" t="s">
        <v>6076</v>
      </c>
      <c r="F2675" s="8634" t="s">
        <v>2411</v>
      </c>
      <c r="G2675" s="8634" t="s">
        <v>24</v>
      </c>
      <c r="H2675" s="8634" t="s">
        <v>24</v>
      </c>
      <c r="I2675" s="8634" t="s">
        <v>768</v>
      </c>
    </row>
    <row customHeight="1" ht="11.25">
      <c r="A2676" s="8634" t="s">
        <v>2182</v>
      </c>
      <c r="B2676" s="8634" t="s">
        <v>14</v>
      </c>
      <c r="C2676" s="8634" t="s">
        <v>6077</v>
      </c>
      <c r="D2676" s="8634" t="s">
        <v>6078</v>
      </c>
      <c r="E2676" s="8634" t="s">
        <v>6079</v>
      </c>
      <c r="F2676" s="8634" t="s">
        <v>4352</v>
      </c>
      <c r="G2676" s="8634" t="s">
        <v>24</v>
      </c>
      <c r="H2676" s="8634" t="s">
        <v>2870</v>
      </c>
      <c r="I2676" s="8634" t="s">
        <v>768</v>
      </c>
    </row>
    <row customHeight="1" ht="11.25">
      <c r="A2677" s="8634" t="s">
        <v>2182</v>
      </c>
      <c r="B2677" s="8634" t="s">
        <v>14</v>
      </c>
      <c r="C2677" s="8634" t="s">
        <v>7776</v>
      </c>
      <c r="D2677" s="8634" t="s">
        <v>7777</v>
      </c>
      <c r="E2677" s="8634" t="s">
        <v>7778</v>
      </c>
      <c r="F2677" s="8634" t="s">
        <v>2318</v>
      </c>
      <c r="G2677" s="8634" t="s">
        <v>24</v>
      </c>
      <c r="H2677" s="8634" t="s">
        <v>24</v>
      </c>
      <c r="I2677" s="8634" t="s">
        <v>768</v>
      </c>
    </row>
    <row customHeight="1" ht="11.25">
      <c r="A2678" s="8634" t="s">
        <v>2182</v>
      </c>
      <c r="B2678" s="8634" t="s">
        <v>14</v>
      </c>
      <c r="C2678" s="8634" t="s">
        <v>7779</v>
      </c>
      <c r="D2678" s="8634" t="s">
        <v>7780</v>
      </c>
      <c r="E2678" s="8634" t="s">
        <v>7781</v>
      </c>
      <c r="F2678" s="8634" t="s">
        <v>2705</v>
      </c>
      <c r="G2678" s="8634" t="s">
        <v>24</v>
      </c>
      <c r="H2678" s="8634" t="s">
        <v>2773</v>
      </c>
      <c r="I2678" s="8634" t="s">
        <v>768</v>
      </c>
    </row>
    <row customHeight="1" ht="11.25">
      <c r="A2679" s="8634" t="s">
        <v>2182</v>
      </c>
      <c r="B2679" s="8634" t="s">
        <v>14</v>
      </c>
      <c r="C2679" s="8634" t="s">
        <v>6080</v>
      </c>
      <c r="D2679" s="8634" t="s">
        <v>6081</v>
      </c>
      <c r="E2679" s="8634" t="s">
        <v>6072</v>
      </c>
      <c r="F2679" s="8634" t="s">
        <v>6082</v>
      </c>
      <c r="G2679" s="8634" t="s">
        <v>24</v>
      </c>
      <c r="H2679" s="8634" t="s">
        <v>24</v>
      </c>
      <c r="I2679" s="8634" t="s">
        <v>768</v>
      </c>
    </row>
    <row customHeight="1" ht="11.25">
      <c r="A2680" s="8634" t="s">
        <v>2182</v>
      </c>
      <c r="B2680" s="8634" t="s">
        <v>14</v>
      </c>
      <c r="C2680" s="8634" t="s">
        <v>6089</v>
      </c>
      <c r="D2680" s="8634" t="s">
        <v>6090</v>
      </c>
      <c r="E2680" s="8634" t="s">
        <v>6091</v>
      </c>
      <c r="F2680" s="8634" t="s">
        <v>2318</v>
      </c>
      <c r="G2680" s="8634" t="s">
        <v>6092</v>
      </c>
      <c r="H2680" s="8634" t="s">
        <v>24</v>
      </c>
      <c r="I2680" s="8634" t="s">
        <v>768</v>
      </c>
    </row>
    <row customHeight="1" ht="11.25">
      <c r="A2681" s="8634" t="s">
        <v>2182</v>
      </c>
      <c r="B2681" s="8634" t="s">
        <v>14</v>
      </c>
      <c r="C2681" s="8634" t="s">
        <v>6093</v>
      </c>
      <c r="D2681" s="8634" t="s">
        <v>6094</v>
      </c>
      <c r="E2681" s="8634" t="s">
        <v>6095</v>
      </c>
      <c r="F2681" s="8634" t="s">
        <v>2438</v>
      </c>
      <c r="G2681" s="8634" t="s">
        <v>24</v>
      </c>
      <c r="H2681" s="8634" t="s">
        <v>6096</v>
      </c>
      <c r="I2681" s="8634" t="s">
        <v>768</v>
      </c>
    </row>
    <row customHeight="1" ht="11.25">
      <c r="A2682" s="8634" t="s">
        <v>2182</v>
      </c>
      <c r="B2682" s="8634" t="s">
        <v>14</v>
      </c>
      <c r="C2682" s="8634" t="s">
        <v>6393</v>
      </c>
      <c r="D2682" s="8634" t="s">
        <v>6394</v>
      </c>
      <c r="E2682" s="8634" t="s">
        <v>3648</v>
      </c>
      <c r="F2682" s="8634" t="s">
        <v>6395</v>
      </c>
      <c r="G2682" s="8634" t="s">
        <v>24</v>
      </c>
      <c r="H2682" s="8634" t="s">
        <v>6396</v>
      </c>
      <c r="I2682" s="8634" t="s">
        <v>768</v>
      </c>
    </row>
    <row customHeight="1" ht="11.25">
      <c r="A2683" s="8634" t="s">
        <v>2182</v>
      </c>
      <c r="B2683" s="8634" t="s">
        <v>14</v>
      </c>
      <c r="C2683" s="8634" t="s">
        <v>6107</v>
      </c>
      <c r="D2683" s="8634" t="s">
        <v>6108</v>
      </c>
      <c r="E2683" s="8634" t="s">
        <v>6109</v>
      </c>
      <c r="F2683" s="8634" t="s">
        <v>6110</v>
      </c>
      <c r="G2683" s="8634" t="s">
        <v>24</v>
      </c>
      <c r="H2683" s="8634" t="s">
        <v>24</v>
      </c>
      <c r="I2683" s="8634" t="s">
        <v>768</v>
      </c>
    </row>
    <row customHeight="1" ht="11.25">
      <c r="A2684" s="8634" t="s">
        <v>2182</v>
      </c>
      <c r="B2684" s="8634" t="s">
        <v>14</v>
      </c>
      <c r="C2684" s="8634" t="s">
        <v>7782</v>
      </c>
      <c r="D2684" s="8634" t="s">
        <v>7783</v>
      </c>
      <c r="E2684" s="8634" t="s">
        <v>7784</v>
      </c>
      <c r="F2684" s="8634" t="s">
        <v>5623</v>
      </c>
      <c r="G2684" s="8634" t="s">
        <v>24</v>
      </c>
      <c r="H2684" s="8634" t="s">
        <v>7728</v>
      </c>
      <c r="I2684" s="8634" t="s">
        <v>768</v>
      </c>
    </row>
    <row customHeight="1" ht="11.25">
      <c r="A2685" s="8634" t="s">
        <v>2182</v>
      </c>
      <c r="B2685" s="8634" t="s">
        <v>14</v>
      </c>
      <c r="C2685" s="8634" t="s">
        <v>6111</v>
      </c>
      <c r="D2685" s="8634" t="s">
        <v>6112</v>
      </c>
      <c r="E2685" s="8634" t="s">
        <v>6113</v>
      </c>
      <c r="F2685" s="8634" t="s">
        <v>3011</v>
      </c>
      <c r="G2685" s="8634" t="s">
        <v>24</v>
      </c>
      <c r="H2685" s="8634" t="s">
        <v>5871</v>
      </c>
      <c r="I2685" s="8634" t="s">
        <v>768</v>
      </c>
    </row>
    <row customHeight="1" ht="11.25">
      <c r="A2686" s="8634" t="s">
        <v>2182</v>
      </c>
      <c r="B2686" s="8634" t="s">
        <v>14</v>
      </c>
      <c r="C2686" s="8634" t="s">
        <v>6117</v>
      </c>
      <c r="D2686" s="8634" t="s">
        <v>6118</v>
      </c>
      <c r="E2686" s="8634" t="s">
        <v>6119</v>
      </c>
      <c r="F2686" s="8634" t="s">
        <v>2600</v>
      </c>
      <c r="G2686" s="8634" t="s">
        <v>6120</v>
      </c>
      <c r="H2686" s="8634" t="s">
        <v>24</v>
      </c>
      <c r="I2686" s="8634" t="s">
        <v>768</v>
      </c>
    </row>
    <row customHeight="1" ht="11.25">
      <c r="A2687" s="8634" t="s">
        <v>2182</v>
      </c>
      <c r="B2687" s="8634" t="s">
        <v>14</v>
      </c>
      <c r="C2687" s="8634" t="s">
        <v>7785</v>
      </c>
      <c r="D2687" s="8634" t="s">
        <v>7786</v>
      </c>
      <c r="E2687" s="8634" t="s">
        <v>3031</v>
      </c>
      <c r="F2687" s="8634" t="s">
        <v>7787</v>
      </c>
      <c r="G2687" s="8634" t="s">
        <v>24</v>
      </c>
      <c r="H2687" s="8634" t="s">
        <v>24</v>
      </c>
      <c r="I2687" s="8634" t="s">
        <v>768</v>
      </c>
    </row>
    <row customHeight="1" ht="11.25">
      <c r="A2688" s="8634" t="s">
        <v>2182</v>
      </c>
      <c r="B2688" s="8634" t="s">
        <v>14</v>
      </c>
      <c r="C2688" s="8634" t="s">
        <v>7788</v>
      </c>
      <c r="D2688" s="8634" t="s">
        <v>7789</v>
      </c>
      <c r="E2688" s="8634" t="s">
        <v>6418</v>
      </c>
      <c r="F2688" s="8634" t="s">
        <v>7790</v>
      </c>
      <c r="G2688" s="8634" t="s">
        <v>24</v>
      </c>
      <c r="H2688" s="8634" t="s">
        <v>3093</v>
      </c>
      <c r="I2688" s="8634" t="s">
        <v>768</v>
      </c>
    </row>
    <row customHeight="1" ht="11.25">
      <c r="A2689" s="8634" t="s">
        <v>2182</v>
      </c>
      <c r="B2689" s="8634" t="s">
        <v>14</v>
      </c>
      <c r="C2689" s="8634" t="s">
        <v>6121</v>
      </c>
      <c r="D2689" s="8634" t="s">
        <v>6122</v>
      </c>
      <c r="E2689" s="8634" t="s">
        <v>6123</v>
      </c>
      <c r="F2689" s="8634" t="s">
        <v>2398</v>
      </c>
      <c r="G2689" s="8634" t="s">
        <v>24</v>
      </c>
      <c r="H2689" s="8634" t="s">
        <v>6124</v>
      </c>
      <c r="I2689" s="8634" t="s">
        <v>768</v>
      </c>
    </row>
    <row customHeight="1" ht="11.25">
      <c r="A2690" s="8634" t="s">
        <v>2182</v>
      </c>
      <c r="B2690" s="8634" t="s">
        <v>14</v>
      </c>
      <c r="C2690" s="8634" t="s">
        <v>6125</v>
      </c>
      <c r="D2690" s="8634" t="s">
        <v>6126</v>
      </c>
      <c r="E2690" s="8634" t="s">
        <v>6127</v>
      </c>
      <c r="F2690" s="8634" t="s">
        <v>2394</v>
      </c>
      <c r="G2690" s="8634" t="s">
        <v>24</v>
      </c>
      <c r="H2690" s="8634" t="s">
        <v>6128</v>
      </c>
      <c r="I2690" s="8634" t="s">
        <v>768</v>
      </c>
    </row>
    <row customHeight="1" ht="11.25">
      <c r="A2691" s="8634" t="s">
        <v>2182</v>
      </c>
      <c r="B2691" s="8634" t="s">
        <v>14</v>
      </c>
      <c r="C2691" s="8634" t="s">
        <v>7791</v>
      </c>
      <c r="D2691" s="8634" t="s">
        <v>7792</v>
      </c>
      <c r="E2691" s="8634" t="s">
        <v>7793</v>
      </c>
      <c r="F2691" s="8634" t="s">
        <v>2948</v>
      </c>
      <c r="G2691" s="8634" t="s">
        <v>7794</v>
      </c>
      <c r="H2691" s="8634" t="s">
        <v>5410</v>
      </c>
      <c r="I2691" s="8634" t="s">
        <v>768</v>
      </c>
    </row>
    <row customHeight="1" ht="11.25">
      <c r="A2692" s="8634" t="s">
        <v>2182</v>
      </c>
      <c r="B2692" s="8634" t="s">
        <v>14</v>
      </c>
      <c r="C2692" s="8634" t="s">
        <v>7795</v>
      </c>
      <c r="D2692" s="8634" t="s">
        <v>7796</v>
      </c>
      <c r="E2692" s="8634" t="s">
        <v>7797</v>
      </c>
      <c r="F2692" s="8634" t="s">
        <v>4717</v>
      </c>
      <c r="G2692" s="8634" t="s">
        <v>24</v>
      </c>
      <c r="H2692" s="8634" t="s">
        <v>2870</v>
      </c>
      <c r="I2692" s="8634" t="s">
        <v>768</v>
      </c>
    </row>
    <row customHeight="1" ht="11.25">
      <c r="A2693" s="8634" t="s">
        <v>2182</v>
      </c>
      <c r="B2693" s="8634" t="s">
        <v>14</v>
      </c>
      <c r="C2693" s="8634" t="s">
        <v>7798</v>
      </c>
      <c r="D2693" s="8634" t="s">
        <v>7799</v>
      </c>
      <c r="E2693" s="8634" t="s">
        <v>3020</v>
      </c>
      <c r="F2693" s="8634" t="s">
        <v>7800</v>
      </c>
      <c r="G2693" s="8634" t="s">
        <v>6152</v>
      </c>
      <c r="H2693" s="8634" t="s">
        <v>2870</v>
      </c>
      <c r="I2693" s="8634" t="s">
        <v>768</v>
      </c>
    </row>
    <row customHeight="1" ht="11.25">
      <c r="A2694" s="8634" t="s">
        <v>2182</v>
      </c>
      <c r="B2694" s="8634" t="s">
        <v>14</v>
      </c>
      <c r="C2694" s="8634" t="s">
        <v>7801</v>
      </c>
      <c r="D2694" s="8634" t="s">
        <v>7802</v>
      </c>
      <c r="E2694" s="8634" t="s">
        <v>7803</v>
      </c>
      <c r="F2694" s="8634" t="s">
        <v>7804</v>
      </c>
      <c r="G2694" s="8634" t="s">
        <v>7805</v>
      </c>
      <c r="H2694" s="8634" t="s">
        <v>24</v>
      </c>
      <c r="I2694" s="8634" t="s">
        <v>768</v>
      </c>
    </row>
    <row customHeight="1" ht="11.25">
      <c r="A2695" s="8634" t="s">
        <v>2182</v>
      </c>
      <c r="B2695" s="8634" t="s">
        <v>14</v>
      </c>
      <c r="C2695" s="8634" t="s">
        <v>7806</v>
      </c>
      <c r="D2695" s="8634" t="s">
        <v>7807</v>
      </c>
      <c r="E2695" s="8634" t="s">
        <v>7808</v>
      </c>
      <c r="F2695" s="8634" t="s">
        <v>2438</v>
      </c>
      <c r="G2695" s="8634" t="s">
        <v>7809</v>
      </c>
      <c r="H2695" s="8634" t="s">
        <v>6427</v>
      </c>
      <c r="I2695" s="8634" t="s">
        <v>768</v>
      </c>
    </row>
    <row customHeight="1" ht="11.25">
      <c r="A2696" s="8634" t="s">
        <v>2182</v>
      </c>
      <c r="B2696" s="8634" t="s">
        <v>14</v>
      </c>
      <c r="C2696" s="8634" t="s">
        <v>6136</v>
      </c>
      <c r="D2696" s="8634" t="s">
        <v>6137</v>
      </c>
      <c r="E2696" s="8634" t="s">
        <v>6138</v>
      </c>
      <c r="F2696" s="8634" t="s">
        <v>2284</v>
      </c>
      <c r="G2696" s="8634" t="s">
        <v>24</v>
      </c>
      <c r="H2696" s="8634" t="s">
        <v>24</v>
      </c>
      <c r="I2696" s="8634" t="s">
        <v>768</v>
      </c>
    </row>
    <row customHeight="1" ht="11.25">
      <c r="A2697" s="8634" t="s">
        <v>2182</v>
      </c>
      <c r="B2697" s="8634" t="s">
        <v>14</v>
      </c>
      <c r="C2697" s="8634" t="s">
        <v>6139</v>
      </c>
      <c r="D2697" s="8634" t="s">
        <v>6140</v>
      </c>
      <c r="E2697" s="8634" t="s">
        <v>6141</v>
      </c>
      <c r="F2697" s="8634" t="s">
        <v>2600</v>
      </c>
      <c r="G2697" s="8634" t="s">
        <v>24</v>
      </c>
      <c r="H2697" s="8634" t="s">
        <v>24</v>
      </c>
      <c r="I2697" s="8634" t="s">
        <v>768</v>
      </c>
    </row>
    <row customHeight="1" ht="11.25">
      <c r="A2698" s="8634" t="s">
        <v>2182</v>
      </c>
      <c r="B2698" s="8634" t="s">
        <v>14</v>
      </c>
      <c r="C2698" s="8634" t="s">
        <v>6142</v>
      </c>
      <c r="D2698" s="8634" t="s">
        <v>6143</v>
      </c>
      <c r="E2698" s="8634" t="s">
        <v>6144</v>
      </c>
      <c r="F2698" s="8634" t="s">
        <v>2890</v>
      </c>
      <c r="G2698" s="8634" t="s">
        <v>24</v>
      </c>
      <c r="H2698" s="8634" t="s">
        <v>24</v>
      </c>
      <c r="I2698" s="8634" t="s">
        <v>768</v>
      </c>
    </row>
    <row customHeight="1" ht="11.25">
      <c r="A2699" s="8634" t="s">
        <v>2182</v>
      </c>
      <c r="B2699" s="8634" t="s">
        <v>14</v>
      </c>
      <c r="C2699" s="8634" t="s">
        <v>6145</v>
      </c>
      <c r="D2699" s="8634" t="s">
        <v>6146</v>
      </c>
      <c r="E2699" s="8634" t="s">
        <v>6147</v>
      </c>
      <c r="F2699" s="8634" t="s">
        <v>2411</v>
      </c>
      <c r="G2699" s="8634" t="s">
        <v>6148</v>
      </c>
      <c r="H2699" s="8634" t="s">
        <v>24</v>
      </c>
      <c r="I2699" s="8634" t="s">
        <v>768</v>
      </c>
    </row>
    <row customHeight="1" ht="11.25">
      <c r="A2700" s="8634" t="s">
        <v>2182</v>
      </c>
      <c r="B2700" s="8634" t="s">
        <v>14</v>
      </c>
      <c r="C2700" s="8634" t="s">
        <v>6156</v>
      </c>
      <c r="D2700" s="8634" t="s">
        <v>6157</v>
      </c>
      <c r="E2700" s="8634" t="s">
        <v>6158</v>
      </c>
      <c r="F2700" s="8634" t="s">
        <v>2512</v>
      </c>
      <c r="G2700" s="8634" t="s">
        <v>24</v>
      </c>
      <c r="H2700" s="8634" t="s">
        <v>2187</v>
      </c>
      <c r="I2700" s="8634" t="s">
        <v>768</v>
      </c>
    </row>
    <row customHeight="1" ht="11.25">
      <c r="A2701" s="8634" t="s">
        <v>2182</v>
      </c>
      <c r="B2701" s="8634" t="s">
        <v>14</v>
      </c>
      <c r="C2701" s="8634" t="s">
        <v>6159</v>
      </c>
      <c r="D2701" s="8634" t="s">
        <v>6160</v>
      </c>
      <c r="E2701" s="8634" t="s">
        <v>6161</v>
      </c>
      <c r="F2701" s="8634" t="s">
        <v>2394</v>
      </c>
      <c r="G2701" s="8634" t="s">
        <v>24</v>
      </c>
      <c r="H2701" s="8634" t="s">
        <v>24</v>
      </c>
      <c r="I2701" s="8634" t="s">
        <v>768</v>
      </c>
    </row>
    <row customHeight="1" ht="11.25">
      <c r="A2702" s="8634" t="s">
        <v>2182</v>
      </c>
      <c r="B2702" s="8634" t="s">
        <v>14</v>
      </c>
      <c r="C2702" s="8634" t="s">
        <v>7810</v>
      </c>
      <c r="D2702" s="8634" t="s">
        <v>7811</v>
      </c>
      <c r="E2702" s="8634" t="s">
        <v>7812</v>
      </c>
      <c r="F2702" s="8634" t="s">
        <v>2245</v>
      </c>
      <c r="G2702" s="8634" t="s">
        <v>7813</v>
      </c>
      <c r="H2702" s="8634" t="s">
        <v>2697</v>
      </c>
      <c r="I2702" s="8634" t="s">
        <v>768</v>
      </c>
    </row>
    <row customHeight="1" ht="11.25">
      <c r="A2703" s="8634" t="s">
        <v>2182</v>
      </c>
      <c r="B2703" s="8634" t="s">
        <v>14</v>
      </c>
      <c r="C2703" s="8634" t="s">
        <v>6162</v>
      </c>
      <c r="D2703" s="8634" t="s">
        <v>6163</v>
      </c>
      <c r="E2703" s="8634" t="s">
        <v>6164</v>
      </c>
      <c r="F2703" s="8634" t="s">
        <v>2344</v>
      </c>
      <c r="G2703" s="8634" t="s">
        <v>6165</v>
      </c>
      <c r="H2703" s="8634" t="s">
        <v>24</v>
      </c>
      <c r="I2703" s="8634" t="s">
        <v>768</v>
      </c>
    </row>
    <row customHeight="1" ht="11.25">
      <c r="A2704" s="8634" t="s">
        <v>2182</v>
      </c>
      <c r="B2704" s="8634" t="s">
        <v>14</v>
      </c>
      <c r="C2704" s="8634" t="s">
        <v>6168</v>
      </c>
      <c r="D2704" s="8634" t="s">
        <v>6169</v>
      </c>
      <c r="E2704" s="8634" t="s">
        <v>6170</v>
      </c>
      <c r="F2704" s="8634" t="s">
        <v>6171</v>
      </c>
      <c r="G2704" s="8634" t="s">
        <v>24</v>
      </c>
      <c r="H2704" s="8634" t="s">
        <v>2187</v>
      </c>
      <c r="I2704" s="8634" t="s">
        <v>768</v>
      </c>
    </row>
    <row customHeight="1" ht="11.25">
      <c r="A2705" s="8634" t="s">
        <v>2182</v>
      </c>
      <c r="B2705" s="8634" t="s">
        <v>14</v>
      </c>
      <c r="C2705" s="8634" t="s">
        <v>6172</v>
      </c>
      <c r="D2705" s="8634" t="s">
        <v>6169</v>
      </c>
      <c r="E2705" s="8634" t="s">
        <v>6170</v>
      </c>
      <c r="F2705" s="8634" t="s">
        <v>2318</v>
      </c>
      <c r="G2705" s="8634" t="s">
        <v>6173</v>
      </c>
      <c r="H2705" s="8634" t="s">
        <v>24</v>
      </c>
      <c r="I2705" s="8634" t="s">
        <v>768</v>
      </c>
    </row>
    <row customHeight="1" ht="11.25">
      <c r="A2706" s="8634" t="s">
        <v>2182</v>
      </c>
      <c r="B2706" s="8634" t="s">
        <v>14</v>
      </c>
      <c r="C2706" s="8634" t="s">
        <v>6174</v>
      </c>
      <c r="D2706" s="8634" t="s">
        <v>6175</v>
      </c>
      <c r="E2706" s="8634" t="s">
        <v>6079</v>
      </c>
      <c r="F2706" s="8634" t="s">
        <v>6176</v>
      </c>
      <c r="G2706" s="8634" t="s">
        <v>24</v>
      </c>
      <c r="H2706" s="8634" t="s">
        <v>2187</v>
      </c>
      <c r="I2706" s="8634" t="s">
        <v>768</v>
      </c>
    </row>
    <row customHeight="1" ht="11.25">
      <c r="A2707" s="8634" t="s">
        <v>2182</v>
      </c>
      <c r="B2707" s="8634" t="s">
        <v>14</v>
      </c>
      <c r="C2707" s="8634" t="s">
        <v>7814</v>
      </c>
      <c r="D2707" s="8634" t="s">
        <v>7815</v>
      </c>
      <c r="E2707" s="8634" t="s">
        <v>6512</v>
      </c>
      <c r="F2707" s="8634" t="s">
        <v>7816</v>
      </c>
      <c r="G2707" s="8634" t="s">
        <v>24</v>
      </c>
      <c r="H2707" s="8634" t="s">
        <v>7817</v>
      </c>
      <c r="I2707" s="8634" t="s">
        <v>768</v>
      </c>
    </row>
    <row customHeight="1" ht="11.25">
      <c r="A2708" s="8634" t="s">
        <v>2182</v>
      </c>
      <c r="B2708" s="8634" t="s">
        <v>14</v>
      </c>
      <c r="C2708" s="8634" t="s">
        <v>6177</v>
      </c>
      <c r="D2708" s="8634" t="s">
        <v>6178</v>
      </c>
      <c r="E2708" s="8634" t="s">
        <v>6179</v>
      </c>
      <c r="F2708" s="8634" t="s">
        <v>6180</v>
      </c>
      <c r="G2708" s="8634" t="s">
        <v>6181</v>
      </c>
      <c r="H2708" s="8634" t="s">
        <v>24</v>
      </c>
      <c r="I2708" s="8634" t="s">
        <v>768</v>
      </c>
    </row>
    <row customHeight="1" ht="11.25">
      <c r="A2709" s="8634" t="s">
        <v>2182</v>
      </c>
      <c r="B2709" s="8634" t="s">
        <v>14</v>
      </c>
      <c r="C2709" s="8634" t="s">
        <v>6186</v>
      </c>
      <c r="D2709" s="8634" t="s">
        <v>44</v>
      </c>
      <c r="E2709" s="8634" t="s">
        <v>47</v>
      </c>
      <c r="F2709" s="8634" t="s">
        <v>49</v>
      </c>
      <c r="G2709" s="8634" t="s">
        <v>6187</v>
      </c>
      <c r="H2709" s="8634" t="s">
        <v>24</v>
      </c>
      <c r="I2709" s="8634" t="s">
        <v>768</v>
      </c>
    </row>
    <row customHeight="1" ht="11.25">
      <c r="A2710" s="8634" t="s">
        <v>2182</v>
      </c>
      <c r="B2710" s="8634" t="s">
        <v>14</v>
      </c>
      <c r="C2710" s="8634" t="s">
        <v>6397</v>
      </c>
      <c r="D2710" s="8634" t="s">
        <v>6398</v>
      </c>
      <c r="E2710" s="8634" t="s">
        <v>5703</v>
      </c>
      <c r="F2710" s="8634" t="s">
        <v>6399</v>
      </c>
      <c r="G2710" s="8634" t="s">
        <v>24</v>
      </c>
      <c r="H2710" s="8634" t="s">
        <v>3222</v>
      </c>
      <c r="I2710" s="8634" t="s">
        <v>768</v>
      </c>
    </row>
    <row customHeight="1" ht="11.25">
      <c r="A2711" s="8634" t="s">
        <v>2182</v>
      </c>
      <c r="B2711" s="8634" t="s">
        <v>14</v>
      </c>
      <c r="C2711" s="8634" t="s">
        <v>6196</v>
      </c>
      <c r="D2711" s="8634" t="s">
        <v>6197</v>
      </c>
      <c r="E2711" s="8634" t="s">
        <v>6198</v>
      </c>
      <c r="F2711" s="8634" t="s">
        <v>6199</v>
      </c>
      <c r="G2711" s="8634" t="s">
        <v>6200</v>
      </c>
      <c r="H2711" s="8634" t="s">
        <v>24</v>
      </c>
      <c r="I2711" s="8634" t="s">
        <v>768</v>
      </c>
    </row>
    <row customHeight="1" ht="11.25">
      <c r="A2712" s="8634" t="s">
        <v>2182</v>
      </c>
      <c r="B2712" s="8634" t="s">
        <v>14</v>
      </c>
      <c r="C2712" s="8634" t="s">
        <v>6201</v>
      </c>
      <c r="D2712" s="8634" t="s">
        <v>6202</v>
      </c>
      <c r="E2712" s="8634" t="s">
        <v>6203</v>
      </c>
      <c r="F2712" s="8634" t="s">
        <v>6204</v>
      </c>
      <c r="G2712" s="8634" t="s">
        <v>6205</v>
      </c>
      <c r="H2712" s="8634" t="s">
        <v>24</v>
      </c>
      <c r="I2712" s="8634" t="s">
        <v>768</v>
      </c>
    </row>
    <row customHeight="1" ht="11.25">
      <c r="A2713" s="8634" t="s">
        <v>2182</v>
      </c>
      <c r="B2713" s="8634" t="s">
        <v>14</v>
      </c>
      <c r="C2713" s="8634" t="s">
        <v>7818</v>
      </c>
      <c r="D2713" s="8634" t="s">
        <v>7819</v>
      </c>
      <c r="E2713" s="8634" t="s">
        <v>3020</v>
      </c>
      <c r="F2713" s="8634" t="s">
        <v>2751</v>
      </c>
      <c r="G2713" s="8634" t="s">
        <v>5276</v>
      </c>
      <c r="H2713" s="8634" t="s">
        <v>2870</v>
      </c>
      <c r="I2713" s="8634" t="s">
        <v>768</v>
      </c>
    </row>
    <row customHeight="1" ht="11.25">
      <c r="A2714" s="8634" t="s">
        <v>2182</v>
      </c>
      <c r="B2714" s="8634" t="s">
        <v>14</v>
      </c>
      <c r="C2714" s="8634" t="s">
        <v>7820</v>
      </c>
      <c r="D2714" s="8634" t="s">
        <v>7821</v>
      </c>
      <c r="E2714" s="8634" t="s">
        <v>3020</v>
      </c>
      <c r="F2714" s="8634" t="s">
        <v>7822</v>
      </c>
      <c r="G2714" s="8634" t="s">
        <v>6209</v>
      </c>
      <c r="H2714" s="8634" t="s">
        <v>24</v>
      </c>
      <c r="I2714" s="8634" t="s">
        <v>768</v>
      </c>
    </row>
    <row customHeight="1" ht="11.25">
      <c r="A2715" s="8634" t="s">
        <v>2182</v>
      </c>
      <c r="B2715" s="8634" t="s">
        <v>14</v>
      </c>
      <c r="C2715" s="8634" t="s">
        <v>7823</v>
      </c>
      <c r="D2715" s="8634" t="s">
        <v>7824</v>
      </c>
      <c r="E2715" s="8634" t="s">
        <v>3020</v>
      </c>
      <c r="F2715" s="8634" t="s">
        <v>7825</v>
      </c>
      <c r="G2715" s="8634" t="s">
        <v>3021</v>
      </c>
      <c r="H2715" s="8634" t="s">
        <v>24</v>
      </c>
      <c r="I2715" s="8634" t="s">
        <v>768</v>
      </c>
    </row>
    <row customHeight="1" ht="11.25">
      <c r="A2716" s="8634" t="s">
        <v>2182</v>
      </c>
      <c r="B2716" s="8634" t="s">
        <v>14</v>
      </c>
      <c r="C2716" s="8634" t="s">
        <v>6206</v>
      </c>
      <c r="D2716" s="8634" t="s">
        <v>6207</v>
      </c>
      <c r="E2716" s="8634" t="s">
        <v>3020</v>
      </c>
      <c r="F2716" s="8634" t="s">
        <v>6208</v>
      </c>
      <c r="G2716" s="8634" t="s">
        <v>6209</v>
      </c>
      <c r="H2716" s="8634" t="s">
        <v>2187</v>
      </c>
      <c r="I2716" s="8634" t="s">
        <v>768</v>
      </c>
    </row>
    <row customHeight="1" ht="11.25">
      <c r="A2717" s="8634" t="s">
        <v>2182</v>
      </c>
      <c r="B2717" s="8634" t="s">
        <v>14</v>
      </c>
      <c r="C2717" s="8634" t="s">
        <v>7826</v>
      </c>
      <c r="D2717" s="8634" t="s">
        <v>7827</v>
      </c>
      <c r="E2717" s="8634" t="s">
        <v>7828</v>
      </c>
      <c r="F2717" s="8634" t="s">
        <v>2626</v>
      </c>
      <c r="G2717" s="8634" t="s">
        <v>24</v>
      </c>
      <c r="H2717" s="8634" t="s">
        <v>2187</v>
      </c>
      <c r="I2717" s="8634" t="s">
        <v>768</v>
      </c>
    </row>
    <row customHeight="1" ht="11.25">
      <c r="A2718" s="8634" t="s">
        <v>2182</v>
      </c>
      <c r="B2718" s="8634" t="s">
        <v>14</v>
      </c>
      <c r="C2718" s="8634" t="s">
        <v>7829</v>
      </c>
      <c r="D2718" s="8634" t="s">
        <v>7830</v>
      </c>
      <c r="E2718" s="8634" t="s">
        <v>2746</v>
      </c>
      <c r="F2718" s="8634" t="s">
        <v>7831</v>
      </c>
      <c r="G2718" s="8634" t="s">
        <v>24</v>
      </c>
      <c r="H2718" s="8634" t="s">
        <v>24</v>
      </c>
      <c r="I2718" s="8634" t="s">
        <v>768</v>
      </c>
    </row>
    <row customHeight="1" ht="11.25">
      <c r="A2719" s="8634" t="s">
        <v>2182</v>
      </c>
      <c r="B2719" s="8634" t="s">
        <v>14</v>
      </c>
      <c r="C2719" s="8634" t="s">
        <v>7832</v>
      </c>
      <c r="D2719" s="8634" t="s">
        <v>7833</v>
      </c>
      <c r="E2719" s="8634" t="s">
        <v>2746</v>
      </c>
      <c r="F2719" s="8634" t="s">
        <v>5863</v>
      </c>
      <c r="G2719" s="8634" t="s">
        <v>24</v>
      </c>
      <c r="H2719" s="8634" t="s">
        <v>24</v>
      </c>
      <c r="I2719" s="8634" t="s">
        <v>768</v>
      </c>
    </row>
    <row customHeight="1" ht="11.25">
      <c r="A2720" s="8634" t="s">
        <v>2182</v>
      </c>
      <c r="B2720" s="8634" t="s">
        <v>14</v>
      </c>
      <c r="C2720" s="8634" t="s">
        <v>7834</v>
      </c>
      <c r="D2720" s="8634" t="s">
        <v>7835</v>
      </c>
      <c r="E2720" s="8634" t="s">
        <v>5777</v>
      </c>
      <c r="F2720" s="8634" t="s">
        <v>7836</v>
      </c>
      <c r="G2720" s="8634" t="s">
        <v>24</v>
      </c>
      <c r="H2720" s="8634" t="s">
        <v>24</v>
      </c>
      <c r="I2720" s="8634" t="s">
        <v>768</v>
      </c>
    </row>
    <row customHeight="1" ht="11.25">
      <c r="A2721" s="8634" t="s">
        <v>2182</v>
      </c>
      <c r="B2721" s="8634" t="s">
        <v>14</v>
      </c>
      <c r="C2721" s="8634" t="s">
        <v>7837</v>
      </c>
      <c r="D2721" s="8634" t="s">
        <v>7838</v>
      </c>
      <c r="E2721" s="8634" t="s">
        <v>7041</v>
      </c>
      <c r="F2721" s="8634" t="s">
        <v>7839</v>
      </c>
      <c r="G2721" s="8634" t="s">
        <v>24</v>
      </c>
      <c r="H2721" s="8634" t="s">
        <v>24</v>
      </c>
      <c r="I2721" s="8634" t="s">
        <v>768</v>
      </c>
    </row>
    <row customHeight="1" ht="11.25">
      <c r="A2722" s="8634" t="s">
        <v>2182</v>
      </c>
      <c r="B2722" s="8634" t="s">
        <v>14</v>
      </c>
      <c r="C2722" s="8634" t="s">
        <v>6219</v>
      </c>
      <c r="D2722" s="8634" t="s">
        <v>6220</v>
      </c>
      <c r="E2722" s="8634" t="s">
        <v>6221</v>
      </c>
      <c r="F2722" s="8634" t="s">
        <v>2322</v>
      </c>
      <c r="G2722" s="8634" t="s">
        <v>24</v>
      </c>
      <c r="H2722" s="8634" t="s">
        <v>24</v>
      </c>
      <c r="I2722" s="8634" t="s">
        <v>768</v>
      </c>
    </row>
    <row customHeight="1" ht="11.25">
      <c r="A2723" s="8634" t="s">
        <v>2182</v>
      </c>
      <c r="B2723" s="8634" t="s">
        <v>14</v>
      </c>
      <c r="C2723" s="8634" t="s">
        <v>6225</v>
      </c>
      <c r="D2723" s="8634" t="s">
        <v>6226</v>
      </c>
      <c r="E2723" s="8634" t="s">
        <v>5698</v>
      </c>
      <c r="F2723" s="8634" t="s">
        <v>6227</v>
      </c>
      <c r="G2723" s="8634" t="s">
        <v>24</v>
      </c>
      <c r="H2723" s="8634" t="s">
        <v>24</v>
      </c>
      <c r="I2723" s="8634" t="s">
        <v>768</v>
      </c>
    </row>
    <row customHeight="1" ht="11.25">
      <c r="A2724" s="8634" t="s">
        <v>2182</v>
      </c>
      <c r="B2724" s="8634" t="s">
        <v>14</v>
      </c>
      <c r="C2724" s="8634" t="s">
        <v>6228</v>
      </c>
      <c r="D2724" s="8634" t="s">
        <v>6229</v>
      </c>
      <c r="E2724" s="8634" t="s">
        <v>6230</v>
      </c>
      <c r="F2724" s="8634" t="s">
        <v>6231</v>
      </c>
      <c r="G2724" s="8634" t="s">
        <v>6232</v>
      </c>
      <c r="H2724" s="8634" t="s">
        <v>24</v>
      </c>
      <c r="I2724" s="8634" t="s">
        <v>768</v>
      </c>
    </row>
    <row customHeight="1" ht="11.25">
      <c r="A2725" s="8634" t="s">
        <v>2182</v>
      </c>
      <c r="B2725" s="8634" t="s">
        <v>14</v>
      </c>
      <c r="C2725" s="8634" t="s">
        <v>6236</v>
      </c>
      <c r="D2725" s="8634" t="s">
        <v>6237</v>
      </c>
      <c r="E2725" s="8634" t="s">
        <v>6238</v>
      </c>
      <c r="F2725" s="8634" t="s">
        <v>2721</v>
      </c>
      <c r="G2725" s="8634" t="s">
        <v>6239</v>
      </c>
      <c r="H2725" s="8634" t="s">
        <v>24</v>
      </c>
      <c r="I2725" s="8634" t="s">
        <v>768</v>
      </c>
    </row>
    <row customHeight="1" ht="11.25">
      <c r="A2726" s="8634" t="s">
        <v>2182</v>
      </c>
      <c r="B2726" s="8634" t="s">
        <v>14</v>
      </c>
      <c r="C2726" s="8634" t="s">
        <v>6240</v>
      </c>
      <c r="D2726" s="8634" t="s">
        <v>6241</v>
      </c>
      <c r="E2726" s="8634" t="s">
        <v>5171</v>
      </c>
      <c r="F2726" s="8634" t="s">
        <v>6242</v>
      </c>
      <c r="G2726" s="8634" t="s">
        <v>24</v>
      </c>
      <c r="H2726" s="8634" t="s">
        <v>24</v>
      </c>
      <c r="I2726" s="8634" t="s">
        <v>768</v>
      </c>
    </row>
    <row customHeight="1" ht="11.25">
      <c r="A2727" s="8634" t="s">
        <v>2182</v>
      </c>
      <c r="B2727" s="8634" t="s">
        <v>14</v>
      </c>
      <c r="C2727" s="8634" t="s">
        <v>7840</v>
      </c>
      <c r="D2727" s="8634" t="s">
        <v>6244</v>
      </c>
      <c r="E2727" s="8634" t="s">
        <v>6245</v>
      </c>
      <c r="F2727" s="8634" t="s">
        <v>2218</v>
      </c>
      <c r="G2727" s="8634" t="s">
        <v>24</v>
      </c>
      <c r="H2727" s="8634" t="s">
        <v>2773</v>
      </c>
      <c r="I2727" s="8634" t="s">
        <v>768</v>
      </c>
    </row>
    <row customHeight="1" ht="11.25">
      <c r="A2728" s="8634" t="s">
        <v>2182</v>
      </c>
      <c r="B2728" s="8634" t="s">
        <v>14</v>
      </c>
      <c r="C2728" s="8634" t="s">
        <v>7841</v>
      </c>
      <c r="D2728" s="8634" t="s">
        <v>7842</v>
      </c>
      <c r="E2728" s="8634" t="s">
        <v>7843</v>
      </c>
      <c r="F2728" s="8634" t="s">
        <v>2322</v>
      </c>
      <c r="G2728" s="8634" t="s">
        <v>24</v>
      </c>
      <c r="H2728" s="8634" t="s">
        <v>7844</v>
      </c>
      <c r="I2728" s="8634" t="s">
        <v>768</v>
      </c>
    </row>
    <row customHeight="1" ht="11.25">
      <c r="A2729" s="8634" t="s">
        <v>2182</v>
      </c>
      <c r="B2729" s="8634" t="s">
        <v>14</v>
      </c>
      <c r="C2729" s="8634" t="s">
        <v>7845</v>
      </c>
      <c r="D2729" s="8634" t="s">
        <v>7846</v>
      </c>
      <c r="E2729" s="8634" t="s">
        <v>5703</v>
      </c>
      <c r="F2729" s="8634" t="s">
        <v>7847</v>
      </c>
      <c r="G2729" s="8634" t="s">
        <v>7848</v>
      </c>
      <c r="H2729" s="8634" t="s">
        <v>24</v>
      </c>
      <c r="I2729" s="8634" t="s">
        <v>768</v>
      </c>
    </row>
    <row customHeight="1" ht="11.25">
      <c r="A2730" s="8634" t="s">
        <v>2182</v>
      </c>
      <c r="B2730" s="8634" t="s">
        <v>14</v>
      </c>
      <c r="C2730" s="8634" t="s">
        <v>7849</v>
      </c>
      <c r="D2730" s="8634" t="s">
        <v>7850</v>
      </c>
      <c r="E2730" s="8634" t="s">
        <v>3779</v>
      </c>
      <c r="F2730" s="8634" t="s">
        <v>7851</v>
      </c>
      <c r="G2730" s="8634" t="s">
        <v>7852</v>
      </c>
      <c r="H2730" s="8634" t="s">
        <v>2187</v>
      </c>
      <c r="I2730" s="8634" t="s">
        <v>768</v>
      </c>
    </row>
    <row customHeight="1" ht="11.25">
      <c r="A2731" s="8634" t="s">
        <v>2182</v>
      </c>
      <c r="B2731" s="8634" t="s">
        <v>14</v>
      </c>
      <c r="C2731" s="8634" t="s">
        <v>7853</v>
      </c>
      <c r="D2731" s="8634" t="s">
        <v>7854</v>
      </c>
      <c r="E2731" s="8634" t="s">
        <v>3779</v>
      </c>
      <c r="F2731" s="8634" t="s">
        <v>7825</v>
      </c>
      <c r="G2731" s="8634" t="s">
        <v>24</v>
      </c>
      <c r="H2731" s="8634" t="s">
        <v>2187</v>
      </c>
      <c r="I2731" s="8634" t="s">
        <v>768</v>
      </c>
    </row>
    <row customHeight="1" ht="11.25">
      <c r="A2732" s="8634" t="s">
        <v>2182</v>
      </c>
      <c r="B2732" s="8634" t="s">
        <v>14</v>
      </c>
      <c r="C2732" s="8634" t="s">
        <v>6251</v>
      </c>
      <c r="D2732" s="8634" t="s">
        <v>6252</v>
      </c>
      <c r="E2732" s="8634" t="s">
        <v>5777</v>
      </c>
      <c r="F2732" s="8634" t="s">
        <v>6253</v>
      </c>
      <c r="G2732" s="8634" t="s">
        <v>24</v>
      </c>
      <c r="H2732" s="8634" t="s">
        <v>24</v>
      </c>
      <c r="I2732" s="8634" t="s">
        <v>768</v>
      </c>
    </row>
    <row customHeight="1" ht="11.25">
      <c r="A2733" s="8634" t="s">
        <v>2182</v>
      </c>
      <c r="B2733" s="8634" t="s">
        <v>14</v>
      </c>
      <c r="C2733" s="8634" t="s">
        <v>6254</v>
      </c>
      <c r="D2733" s="8634" t="s">
        <v>6255</v>
      </c>
      <c r="E2733" s="8634" t="s">
        <v>2325</v>
      </c>
      <c r="F2733" s="8634" t="s">
        <v>2688</v>
      </c>
      <c r="G2733" s="8634" t="s">
        <v>24</v>
      </c>
      <c r="H2733" s="8634" t="s">
        <v>24</v>
      </c>
      <c r="I2733" s="8634" t="s">
        <v>823</v>
      </c>
    </row>
    <row customHeight="1" ht="11.25">
      <c r="A2734" s="8634" t="s">
        <v>2182</v>
      </c>
      <c r="B2734" s="8634" t="s">
        <v>14</v>
      </c>
      <c r="C2734" s="8634" t="s">
        <v>6403</v>
      </c>
      <c r="D2734" s="8634" t="s">
        <v>6404</v>
      </c>
      <c r="E2734" s="8634" t="s">
        <v>6405</v>
      </c>
      <c r="F2734" s="8634" t="s">
        <v>2394</v>
      </c>
      <c r="G2734" s="8634" t="s">
        <v>24</v>
      </c>
      <c r="H2734" s="8634" t="s">
        <v>24</v>
      </c>
      <c r="I2734" s="8634" t="s">
        <v>823</v>
      </c>
    </row>
    <row customHeight="1" ht="11.25">
      <c r="A2735" s="8634" t="s">
        <v>2182</v>
      </c>
      <c r="B2735" s="8634" t="s">
        <v>14</v>
      </c>
      <c r="C2735" s="8634" t="s">
        <v>6409</v>
      </c>
      <c r="D2735" s="8634" t="s">
        <v>6410</v>
      </c>
      <c r="E2735" s="8634" t="s">
        <v>6411</v>
      </c>
      <c r="F2735" s="8634" t="s">
        <v>2245</v>
      </c>
      <c r="G2735" s="8634" t="s">
        <v>24</v>
      </c>
      <c r="H2735" s="8634" t="s">
        <v>2773</v>
      </c>
      <c r="I2735" s="8634" t="s">
        <v>823</v>
      </c>
    </row>
    <row customHeight="1" ht="11.25">
      <c r="A2736" s="8634" t="s">
        <v>2182</v>
      </c>
      <c r="B2736" s="8634" t="s">
        <v>14</v>
      </c>
      <c r="C2736" s="8634" t="s">
        <v>6416</v>
      </c>
      <c r="D2736" s="8634" t="s">
        <v>6417</v>
      </c>
      <c r="E2736" s="8634" t="s">
        <v>6418</v>
      </c>
      <c r="F2736" s="8634" t="s">
        <v>2284</v>
      </c>
      <c r="G2736" s="8634" t="s">
        <v>24</v>
      </c>
      <c r="H2736" s="8634" t="s">
        <v>6419</v>
      </c>
      <c r="I2736" s="8634" t="s">
        <v>823</v>
      </c>
    </row>
    <row customHeight="1" ht="11.25">
      <c r="A2737" s="8634" t="s">
        <v>2182</v>
      </c>
      <c r="B2737" s="8634" t="s">
        <v>14</v>
      </c>
      <c r="C2737" s="8634" t="s">
        <v>7855</v>
      </c>
      <c r="D2737" s="8634" t="s">
        <v>7856</v>
      </c>
      <c r="E2737" s="8634" t="s">
        <v>7857</v>
      </c>
      <c r="F2737" s="8634" t="s">
        <v>7858</v>
      </c>
      <c r="G2737" s="8634" t="s">
        <v>7859</v>
      </c>
      <c r="H2737" s="8634" t="s">
        <v>2187</v>
      </c>
      <c r="I2737" s="8634" t="s">
        <v>823</v>
      </c>
    </row>
    <row customHeight="1" ht="11.25">
      <c r="A2738" s="8634" t="s">
        <v>2182</v>
      </c>
      <c r="B2738" s="8634" t="s">
        <v>14</v>
      </c>
      <c r="C2738" s="8634" t="s">
        <v>7860</v>
      </c>
      <c r="D2738" s="8634" t="s">
        <v>7861</v>
      </c>
      <c r="E2738" s="8634" t="s">
        <v>7862</v>
      </c>
      <c r="F2738" s="8634" t="s">
        <v>2322</v>
      </c>
      <c r="G2738" s="8634" t="s">
        <v>3274</v>
      </c>
      <c r="H2738" s="8634" t="s">
        <v>24</v>
      </c>
      <c r="I2738" s="8634" t="s">
        <v>823</v>
      </c>
    </row>
    <row customHeight="1" ht="11.25">
      <c r="A2739" s="8634" t="s">
        <v>2182</v>
      </c>
      <c r="B2739" s="8634" t="s">
        <v>14</v>
      </c>
      <c r="C2739" s="8634" t="s">
        <v>2210</v>
      </c>
      <c r="D2739" s="8634" t="s">
        <v>2211</v>
      </c>
      <c r="E2739" s="8634" t="s">
        <v>2212</v>
      </c>
      <c r="F2739" s="8634" t="s">
        <v>2213</v>
      </c>
      <c r="G2739" s="8634" t="s">
        <v>2214</v>
      </c>
      <c r="H2739" s="8634" t="s">
        <v>24</v>
      </c>
      <c r="I2739" s="8634" t="s">
        <v>823</v>
      </c>
    </row>
    <row customHeight="1" ht="11.25">
      <c r="A2740" s="8634" t="s">
        <v>2182</v>
      </c>
      <c r="B2740" s="8634" t="s">
        <v>14</v>
      </c>
      <c r="C2740" s="8634" t="s">
        <v>2220</v>
      </c>
      <c r="D2740" s="8634" t="s">
        <v>2221</v>
      </c>
      <c r="E2740" s="8634" t="s">
        <v>2222</v>
      </c>
      <c r="F2740" s="8634" t="s">
        <v>2223</v>
      </c>
      <c r="G2740" s="8634" t="s">
        <v>2224</v>
      </c>
      <c r="H2740" s="8634" t="s">
        <v>24</v>
      </c>
      <c r="I2740" s="8634" t="s">
        <v>823</v>
      </c>
    </row>
    <row customHeight="1" ht="11.25">
      <c r="A2741" s="8634" t="s">
        <v>2182</v>
      </c>
      <c r="B2741" s="8634" t="s">
        <v>14</v>
      </c>
      <c r="C2741" s="8634" t="s">
        <v>2225</v>
      </c>
      <c r="D2741" s="8634" t="s">
        <v>2226</v>
      </c>
      <c r="E2741" s="8634" t="s">
        <v>2227</v>
      </c>
      <c r="F2741" s="8634" t="s">
        <v>2228</v>
      </c>
      <c r="G2741" s="8634" t="s">
        <v>2229</v>
      </c>
      <c r="H2741" s="8634" t="s">
        <v>24</v>
      </c>
      <c r="I2741" s="8634" t="s">
        <v>823</v>
      </c>
    </row>
    <row customHeight="1" ht="11.25">
      <c r="A2742" s="8634" t="s">
        <v>2182</v>
      </c>
      <c r="B2742" s="8634" t="s">
        <v>14</v>
      </c>
      <c r="C2742" s="8634" t="s">
        <v>7863</v>
      </c>
      <c r="D2742" s="8634" t="s">
        <v>7864</v>
      </c>
      <c r="E2742" s="8634" t="s">
        <v>7865</v>
      </c>
      <c r="F2742" s="8634" t="s">
        <v>7866</v>
      </c>
      <c r="G2742" s="8634" t="s">
        <v>7867</v>
      </c>
      <c r="H2742" s="8634" t="s">
        <v>24</v>
      </c>
      <c r="I2742" s="8634" t="s">
        <v>823</v>
      </c>
    </row>
    <row customHeight="1" ht="11.25">
      <c r="A2743" s="8634" t="s">
        <v>2182</v>
      </c>
      <c r="B2743" s="8634" t="s">
        <v>14</v>
      </c>
      <c r="C2743" s="8634" t="s">
        <v>2239</v>
      </c>
      <c r="D2743" s="8634" t="s">
        <v>2240</v>
      </c>
      <c r="E2743" s="8634" t="s">
        <v>2241</v>
      </c>
      <c r="F2743" s="8634" t="s">
        <v>2213</v>
      </c>
      <c r="G2743" s="8634" t="s">
        <v>24</v>
      </c>
      <c r="H2743" s="8634" t="s">
        <v>24</v>
      </c>
      <c r="I2743" s="8634" t="s">
        <v>823</v>
      </c>
    </row>
    <row customHeight="1" ht="11.25">
      <c r="A2744" s="8634" t="s">
        <v>2182</v>
      </c>
      <c r="B2744" s="8634" t="s">
        <v>14</v>
      </c>
      <c r="C2744" s="8634" t="s">
        <v>6420</v>
      </c>
      <c r="D2744" s="8634" t="s">
        <v>6421</v>
      </c>
      <c r="E2744" s="8634" t="s">
        <v>6422</v>
      </c>
      <c r="F2744" s="8634" t="s">
        <v>2228</v>
      </c>
      <c r="G2744" s="8634" t="s">
        <v>6423</v>
      </c>
      <c r="H2744" s="8634" t="s">
        <v>24</v>
      </c>
      <c r="I2744" s="8634" t="s">
        <v>823</v>
      </c>
    </row>
    <row customHeight="1" ht="11.25">
      <c r="A2745" s="8634" t="s">
        <v>2182</v>
      </c>
      <c r="B2745" s="8634" t="s">
        <v>14</v>
      </c>
      <c r="C2745" s="8634" t="s">
        <v>2257</v>
      </c>
      <c r="D2745" s="8634" t="s">
        <v>2258</v>
      </c>
      <c r="E2745" s="8634" t="s">
        <v>2259</v>
      </c>
      <c r="F2745" s="8634" t="s">
        <v>2218</v>
      </c>
      <c r="G2745" s="8634" t="s">
        <v>2260</v>
      </c>
      <c r="H2745" s="8634" t="s">
        <v>24</v>
      </c>
      <c r="I2745" s="8634" t="s">
        <v>823</v>
      </c>
    </row>
    <row customHeight="1" ht="11.25">
      <c r="A2746" s="8634" t="s">
        <v>2182</v>
      </c>
      <c r="B2746" s="8634" t="s">
        <v>14</v>
      </c>
      <c r="C2746" s="8634" t="s">
        <v>2261</v>
      </c>
      <c r="D2746" s="8634" t="s">
        <v>2262</v>
      </c>
      <c r="E2746" s="8634" t="s">
        <v>2263</v>
      </c>
      <c r="F2746" s="8634" t="s">
        <v>2264</v>
      </c>
      <c r="G2746" s="8634" t="s">
        <v>2265</v>
      </c>
      <c r="H2746" s="8634" t="s">
        <v>24</v>
      </c>
      <c r="I2746" s="8634" t="s">
        <v>823</v>
      </c>
    </row>
    <row customHeight="1" ht="11.25">
      <c r="A2747" s="8634" t="s">
        <v>2182</v>
      </c>
      <c r="B2747" s="8634" t="s">
        <v>14</v>
      </c>
      <c r="C2747" s="8634" t="s">
        <v>6424</v>
      </c>
      <c r="D2747" s="8634" t="s">
        <v>6425</v>
      </c>
      <c r="E2747" s="8634" t="s">
        <v>6426</v>
      </c>
      <c r="F2747" s="8634" t="s">
        <v>2284</v>
      </c>
      <c r="G2747" s="8634" t="s">
        <v>6427</v>
      </c>
      <c r="H2747" s="8634" t="s">
        <v>24</v>
      </c>
      <c r="I2747" s="8634" t="s">
        <v>823</v>
      </c>
    </row>
    <row customHeight="1" ht="11.25">
      <c r="A2748" s="8634" t="s">
        <v>2182</v>
      </c>
      <c r="B2748" s="8634" t="s">
        <v>14</v>
      </c>
      <c r="C2748" s="8634" t="s">
        <v>2276</v>
      </c>
      <c r="D2748" s="8634" t="s">
        <v>2277</v>
      </c>
      <c r="E2748" s="8634" t="s">
        <v>2278</v>
      </c>
      <c r="F2748" s="8634" t="s">
        <v>2279</v>
      </c>
      <c r="G2748" s="8634" t="s">
        <v>2280</v>
      </c>
      <c r="H2748" s="8634" t="s">
        <v>24</v>
      </c>
      <c r="I2748" s="8634" t="s">
        <v>823</v>
      </c>
    </row>
    <row customHeight="1" ht="11.25">
      <c r="A2749" s="8634" t="s">
        <v>2182</v>
      </c>
      <c r="B2749" s="8634" t="s">
        <v>14</v>
      </c>
      <c r="C2749" s="8634" t="s">
        <v>6428</v>
      </c>
      <c r="D2749" s="8634" t="s">
        <v>6429</v>
      </c>
      <c r="E2749" s="8634" t="s">
        <v>6430</v>
      </c>
      <c r="F2749" s="8634" t="s">
        <v>2218</v>
      </c>
      <c r="G2749" s="8634" t="s">
        <v>6431</v>
      </c>
      <c r="H2749" s="8634" t="s">
        <v>24</v>
      </c>
      <c r="I2749" s="8634" t="s">
        <v>823</v>
      </c>
    </row>
    <row customHeight="1" ht="11.25">
      <c r="A2750" s="8634" t="s">
        <v>2182</v>
      </c>
      <c r="B2750" s="8634" t="s">
        <v>14</v>
      </c>
      <c r="C2750" s="8634" t="s">
        <v>6432</v>
      </c>
      <c r="D2750" s="8634" t="s">
        <v>6433</v>
      </c>
      <c r="E2750" s="8634" t="s">
        <v>6434</v>
      </c>
      <c r="F2750" s="8634" t="s">
        <v>2512</v>
      </c>
      <c r="G2750" s="8634" t="s">
        <v>6435</v>
      </c>
      <c r="H2750" s="8634" t="s">
        <v>24</v>
      </c>
      <c r="I2750" s="8634" t="s">
        <v>823</v>
      </c>
    </row>
    <row customHeight="1" ht="11.25">
      <c r="A2751" s="8634" t="s">
        <v>2182</v>
      </c>
      <c r="B2751" s="8634" t="s">
        <v>14</v>
      </c>
      <c r="C2751" s="8634" t="s">
        <v>6436</v>
      </c>
      <c r="D2751" s="8634" t="s">
        <v>6433</v>
      </c>
      <c r="E2751" s="8634" t="s">
        <v>6437</v>
      </c>
      <c r="F2751" s="8634" t="s">
        <v>2218</v>
      </c>
      <c r="G2751" s="8634" t="s">
        <v>6438</v>
      </c>
      <c r="H2751" s="8634" t="s">
        <v>24</v>
      </c>
      <c r="I2751" s="8634" t="s">
        <v>823</v>
      </c>
    </row>
    <row customHeight="1" ht="11.25">
      <c r="A2752" s="8634" t="s">
        <v>2182</v>
      </c>
      <c r="B2752" s="8634" t="s">
        <v>14</v>
      </c>
      <c r="C2752" s="8634" t="s">
        <v>6439</v>
      </c>
      <c r="D2752" s="8634" t="s">
        <v>6440</v>
      </c>
      <c r="E2752" s="8634" t="s">
        <v>6441</v>
      </c>
      <c r="F2752" s="8634" t="s">
        <v>2492</v>
      </c>
      <c r="G2752" s="8634" t="s">
        <v>24</v>
      </c>
      <c r="H2752" s="8634" t="s">
        <v>24</v>
      </c>
      <c r="I2752" s="8634" t="s">
        <v>823</v>
      </c>
    </row>
    <row customHeight="1" ht="11.25">
      <c r="A2753" s="8634" t="s">
        <v>2182</v>
      </c>
      <c r="B2753" s="8634" t="s">
        <v>14</v>
      </c>
      <c r="C2753" s="8634" t="s">
        <v>2297</v>
      </c>
      <c r="D2753" s="8634" t="s">
        <v>2298</v>
      </c>
      <c r="E2753" s="8634" t="s">
        <v>2299</v>
      </c>
      <c r="F2753" s="8634" t="s">
        <v>2300</v>
      </c>
      <c r="G2753" s="8634" t="s">
        <v>2301</v>
      </c>
      <c r="H2753" s="8634" t="s">
        <v>24</v>
      </c>
      <c r="I2753" s="8634" t="s">
        <v>823</v>
      </c>
    </row>
    <row customHeight="1" ht="11.25">
      <c r="A2754" s="8634" t="s">
        <v>2182</v>
      </c>
      <c r="B2754" s="8634" t="s">
        <v>14</v>
      </c>
      <c r="C2754" s="8634" t="s">
        <v>2302</v>
      </c>
      <c r="D2754" s="8634" t="s">
        <v>2303</v>
      </c>
      <c r="E2754" s="8634" t="s">
        <v>2304</v>
      </c>
      <c r="F2754" s="8634" t="s">
        <v>2284</v>
      </c>
      <c r="G2754" s="8634" t="s">
        <v>2305</v>
      </c>
      <c r="H2754" s="8634" t="s">
        <v>2306</v>
      </c>
      <c r="I2754" s="8634" t="s">
        <v>823</v>
      </c>
    </row>
    <row customHeight="1" ht="11.25">
      <c r="A2755" s="8634" t="s">
        <v>2182</v>
      </c>
      <c r="B2755" s="8634" t="s">
        <v>14</v>
      </c>
      <c r="C2755" s="8634" t="s">
        <v>6442</v>
      </c>
      <c r="D2755" s="8634" t="s">
        <v>6443</v>
      </c>
      <c r="E2755" s="8634" t="s">
        <v>6418</v>
      </c>
      <c r="F2755" s="8634" t="s">
        <v>6444</v>
      </c>
      <c r="G2755" s="8634" t="s">
        <v>6445</v>
      </c>
      <c r="H2755" s="8634" t="s">
        <v>2187</v>
      </c>
      <c r="I2755" s="8634" t="s">
        <v>823</v>
      </c>
    </row>
    <row customHeight="1" ht="11.25">
      <c r="A2756" s="8634" t="s">
        <v>2182</v>
      </c>
      <c r="B2756" s="8634" t="s">
        <v>14</v>
      </c>
      <c r="C2756" s="8634" t="s">
        <v>6446</v>
      </c>
      <c r="D2756" s="8634" t="s">
        <v>6443</v>
      </c>
      <c r="E2756" s="8634" t="s">
        <v>6447</v>
      </c>
      <c r="F2756" s="8634" t="s">
        <v>6448</v>
      </c>
      <c r="G2756" s="8634" t="s">
        <v>24</v>
      </c>
      <c r="H2756" s="8634" t="s">
        <v>24</v>
      </c>
      <c r="I2756" s="8634" t="s">
        <v>823</v>
      </c>
    </row>
    <row customHeight="1" ht="11.25">
      <c r="A2757" s="8634" t="s">
        <v>2182</v>
      </c>
      <c r="B2757" s="8634" t="s">
        <v>14</v>
      </c>
      <c r="C2757" s="8634" t="s">
        <v>2315</v>
      </c>
      <c r="D2757" s="8634" t="s">
        <v>2316</v>
      </c>
      <c r="E2757" s="8634" t="s">
        <v>2317</v>
      </c>
      <c r="F2757" s="8634" t="s">
        <v>2318</v>
      </c>
      <c r="G2757" s="8634" t="s">
        <v>24</v>
      </c>
      <c r="H2757" s="8634" t="s">
        <v>24</v>
      </c>
      <c r="I2757" s="8634" t="s">
        <v>823</v>
      </c>
    </row>
    <row customHeight="1" ht="11.25">
      <c r="A2758" s="8634" t="s">
        <v>2182</v>
      </c>
      <c r="B2758" s="8634" t="s">
        <v>14</v>
      </c>
      <c r="C2758" s="8634" t="s">
        <v>2323</v>
      </c>
      <c r="D2758" s="8634" t="s">
        <v>2324</v>
      </c>
      <c r="E2758" s="8634" t="s">
        <v>2325</v>
      </c>
      <c r="F2758" s="8634" t="s">
        <v>2318</v>
      </c>
      <c r="G2758" s="8634" t="s">
        <v>2326</v>
      </c>
      <c r="H2758" s="8634" t="s">
        <v>24</v>
      </c>
      <c r="I2758" s="8634" t="s">
        <v>823</v>
      </c>
    </row>
    <row customHeight="1" ht="11.25">
      <c r="A2759" s="8634" t="s">
        <v>2182</v>
      </c>
      <c r="B2759" s="8634" t="s">
        <v>14</v>
      </c>
      <c r="C2759" s="8634" t="s">
        <v>6449</v>
      </c>
      <c r="D2759" s="8634" t="s">
        <v>6450</v>
      </c>
      <c r="E2759" s="8634" t="s">
        <v>6451</v>
      </c>
      <c r="F2759" s="8634" t="s">
        <v>2213</v>
      </c>
      <c r="G2759" s="8634" t="s">
        <v>24</v>
      </c>
      <c r="H2759" s="8634" t="s">
        <v>24</v>
      </c>
      <c r="I2759" s="8634" t="s">
        <v>823</v>
      </c>
    </row>
    <row customHeight="1" ht="11.25">
      <c r="A2760" s="8634" t="s">
        <v>2182</v>
      </c>
      <c r="B2760" s="8634" t="s">
        <v>14</v>
      </c>
      <c r="C2760" s="8634" t="s">
        <v>2327</v>
      </c>
      <c r="D2760" s="8634" t="s">
        <v>2328</v>
      </c>
      <c r="E2760" s="8634" t="s">
        <v>2329</v>
      </c>
      <c r="F2760" s="8634" t="s">
        <v>2330</v>
      </c>
      <c r="G2760" s="8634" t="s">
        <v>24</v>
      </c>
      <c r="H2760" s="8634" t="s">
        <v>24</v>
      </c>
      <c r="I2760" s="8634" t="s">
        <v>823</v>
      </c>
    </row>
    <row customHeight="1" ht="11.25">
      <c r="A2761" s="8634" t="s">
        <v>2182</v>
      </c>
      <c r="B2761" s="8634" t="s">
        <v>14</v>
      </c>
      <c r="C2761" s="8634" t="s">
        <v>2351</v>
      </c>
      <c r="D2761" s="8634" t="s">
        <v>2352</v>
      </c>
      <c r="E2761" s="8634" t="s">
        <v>2353</v>
      </c>
      <c r="F2761" s="8634" t="s">
        <v>2354</v>
      </c>
      <c r="G2761" s="8634" t="s">
        <v>2355</v>
      </c>
      <c r="H2761" s="8634" t="s">
        <v>24</v>
      </c>
      <c r="I2761" s="8634" t="s">
        <v>823</v>
      </c>
    </row>
    <row customHeight="1" ht="11.25">
      <c r="A2762" s="8634" t="s">
        <v>2182</v>
      </c>
      <c r="B2762" s="8634" t="s">
        <v>14</v>
      </c>
      <c r="C2762" s="8634" t="s">
        <v>6452</v>
      </c>
      <c r="D2762" s="8634" t="s">
        <v>6453</v>
      </c>
      <c r="E2762" s="8634" t="s">
        <v>6454</v>
      </c>
      <c r="F2762" s="8634" t="s">
        <v>2213</v>
      </c>
      <c r="G2762" s="8634" t="s">
        <v>6455</v>
      </c>
      <c r="H2762" s="8634" t="s">
        <v>24</v>
      </c>
      <c r="I2762" s="8634" t="s">
        <v>823</v>
      </c>
    </row>
    <row customHeight="1" ht="11.25">
      <c r="A2763" s="8634" t="s">
        <v>2182</v>
      </c>
      <c r="B2763" s="8634" t="s">
        <v>14</v>
      </c>
      <c r="C2763" s="8634" t="s">
        <v>7868</v>
      </c>
      <c r="D2763" s="8634" t="s">
        <v>7869</v>
      </c>
      <c r="E2763" s="8634" t="s">
        <v>7870</v>
      </c>
      <c r="F2763" s="8634" t="s">
        <v>2228</v>
      </c>
      <c r="G2763" s="8634" t="s">
        <v>7871</v>
      </c>
      <c r="H2763" s="8634" t="s">
        <v>24</v>
      </c>
      <c r="I2763" s="8634" t="s">
        <v>823</v>
      </c>
    </row>
    <row customHeight="1" ht="11.25">
      <c r="A2764" s="8634" t="s">
        <v>2182</v>
      </c>
      <c r="B2764" s="8634" t="s">
        <v>14</v>
      </c>
      <c r="C2764" s="8634" t="s">
        <v>2356</v>
      </c>
      <c r="D2764" s="8634" t="s">
        <v>2357</v>
      </c>
      <c r="E2764" s="8634" t="s">
        <v>2358</v>
      </c>
      <c r="F2764" s="8634" t="s">
        <v>2213</v>
      </c>
      <c r="G2764" s="8634" t="s">
        <v>2359</v>
      </c>
      <c r="H2764" s="8634" t="s">
        <v>24</v>
      </c>
      <c r="I2764" s="8634" t="s">
        <v>823</v>
      </c>
    </row>
    <row customHeight="1" ht="11.25">
      <c r="A2765" s="8634" t="s">
        <v>2182</v>
      </c>
      <c r="B2765" s="8634" t="s">
        <v>14</v>
      </c>
      <c r="C2765" s="8634" t="s">
        <v>6456</v>
      </c>
      <c r="D2765" s="8634" t="s">
        <v>6457</v>
      </c>
      <c r="E2765" s="8634" t="s">
        <v>6458</v>
      </c>
      <c r="F2765" s="8634" t="s">
        <v>2512</v>
      </c>
      <c r="G2765" s="8634" t="s">
        <v>6459</v>
      </c>
      <c r="H2765" s="8634" t="s">
        <v>24</v>
      </c>
      <c r="I2765" s="8634" t="s">
        <v>823</v>
      </c>
    </row>
    <row customHeight="1" ht="11.25">
      <c r="A2766" s="8634" t="s">
        <v>2182</v>
      </c>
      <c r="B2766" s="8634" t="s">
        <v>14</v>
      </c>
      <c r="C2766" s="8634" t="s">
        <v>2386</v>
      </c>
      <c r="D2766" s="8634" t="s">
        <v>2387</v>
      </c>
      <c r="E2766" s="8634" t="s">
        <v>2388</v>
      </c>
      <c r="F2766" s="8634" t="s">
        <v>2389</v>
      </c>
      <c r="G2766" s="8634" t="s">
        <v>2390</v>
      </c>
      <c r="H2766" s="8634" t="s">
        <v>24</v>
      </c>
      <c r="I2766" s="8634" t="s">
        <v>823</v>
      </c>
    </row>
    <row customHeight="1" ht="11.25">
      <c r="A2767" s="8634" t="s">
        <v>2182</v>
      </c>
      <c r="B2767" s="8634" t="s">
        <v>14</v>
      </c>
      <c r="C2767" s="8634" t="s">
        <v>2391</v>
      </c>
      <c r="D2767" s="8634" t="s">
        <v>2392</v>
      </c>
      <c r="E2767" s="8634" t="s">
        <v>2393</v>
      </c>
      <c r="F2767" s="8634" t="s">
        <v>2394</v>
      </c>
      <c r="G2767" s="8634" t="s">
        <v>24</v>
      </c>
      <c r="H2767" s="8634" t="s">
        <v>24</v>
      </c>
      <c r="I2767" s="8634" t="s">
        <v>823</v>
      </c>
    </row>
    <row customHeight="1" ht="11.25">
      <c r="A2768" s="8634" t="s">
        <v>2182</v>
      </c>
      <c r="B2768" s="8634" t="s">
        <v>14</v>
      </c>
      <c r="C2768" s="8634" t="s">
        <v>6466</v>
      </c>
      <c r="D2768" s="8634" t="s">
        <v>6467</v>
      </c>
      <c r="E2768" s="8634" t="s">
        <v>6468</v>
      </c>
      <c r="F2768" s="8634" t="s">
        <v>2512</v>
      </c>
      <c r="G2768" s="8634" t="s">
        <v>6469</v>
      </c>
      <c r="H2768" s="8634" t="s">
        <v>24</v>
      </c>
      <c r="I2768" s="8634" t="s">
        <v>823</v>
      </c>
    </row>
    <row customHeight="1" ht="11.25">
      <c r="A2769" s="8634" t="s">
        <v>2182</v>
      </c>
      <c r="B2769" s="8634" t="s">
        <v>14</v>
      </c>
      <c r="C2769" s="8634" t="s">
        <v>2395</v>
      </c>
      <c r="D2769" s="8634" t="s">
        <v>2396</v>
      </c>
      <c r="E2769" s="8634" t="s">
        <v>2397</v>
      </c>
      <c r="F2769" s="8634" t="s">
        <v>2398</v>
      </c>
      <c r="G2769" s="8634" t="s">
        <v>2399</v>
      </c>
      <c r="H2769" s="8634" t="s">
        <v>2400</v>
      </c>
      <c r="I2769" s="8634" t="s">
        <v>823</v>
      </c>
    </row>
    <row customHeight="1" ht="11.25">
      <c r="A2770" s="8634" t="s">
        <v>2182</v>
      </c>
      <c r="B2770" s="8634" t="s">
        <v>14</v>
      </c>
      <c r="C2770" s="8634" t="s">
        <v>2401</v>
      </c>
      <c r="D2770" s="8634" t="s">
        <v>2402</v>
      </c>
      <c r="E2770" s="8634" t="s">
        <v>2403</v>
      </c>
      <c r="F2770" s="8634" t="s">
        <v>2404</v>
      </c>
      <c r="G2770" s="8634" t="s">
        <v>24</v>
      </c>
      <c r="H2770" s="8634" t="s">
        <v>24</v>
      </c>
      <c r="I2770" s="8634" t="s">
        <v>823</v>
      </c>
    </row>
    <row customHeight="1" ht="11.25">
      <c r="A2771" s="8634" t="s">
        <v>2182</v>
      </c>
      <c r="B2771" s="8634" t="s">
        <v>14</v>
      </c>
      <c r="C2771" s="8634" t="s">
        <v>6470</v>
      </c>
      <c r="D2771" s="8634" t="s">
        <v>6471</v>
      </c>
      <c r="E2771" s="8634" t="s">
        <v>6472</v>
      </c>
      <c r="F2771" s="8634" t="s">
        <v>2218</v>
      </c>
      <c r="G2771" s="8634" t="s">
        <v>6473</v>
      </c>
      <c r="H2771" s="8634" t="s">
        <v>24</v>
      </c>
      <c r="I2771" s="8634" t="s">
        <v>823</v>
      </c>
    </row>
    <row customHeight="1" ht="11.25">
      <c r="A2772" s="8634" t="s">
        <v>2182</v>
      </c>
      <c r="B2772" s="8634" t="s">
        <v>14</v>
      </c>
      <c r="C2772" s="8634" t="s">
        <v>7872</v>
      </c>
      <c r="D2772" s="8634" t="s">
        <v>7873</v>
      </c>
      <c r="E2772" s="8634" t="s">
        <v>7874</v>
      </c>
      <c r="F2772" s="8634" t="s">
        <v>3765</v>
      </c>
      <c r="G2772" s="8634" t="s">
        <v>7875</v>
      </c>
      <c r="H2772" s="8634" t="s">
        <v>7876</v>
      </c>
      <c r="I2772" s="8634" t="s">
        <v>823</v>
      </c>
    </row>
    <row customHeight="1" ht="11.25">
      <c r="A2773" s="8634" t="s">
        <v>2182</v>
      </c>
      <c r="B2773" s="8634" t="s">
        <v>14</v>
      </c>
      <c r="C2773" s="8634" t="s">
        <v>2417</v>
      </c>
      <c r="D2773" s="8634" t="s">
        <v>2418</v>
      </c>
      <c r="E2773" s="8634" t="s">
        <v>2419</v>
      </c>
      <c r="F2773" s="8634" t="s">
        <v>2228</v>
      </c>
      <c r="G2773" s="8634" t="s">
        <v>2420</v>
      </c>
      <c r="H2773" s="8634" t="s">
        <v>24</v>
      </c>
      <c r="I2773" s="8634" t="s">
        <v>823</v>
      </c>
    </row>
    <row customHeight="1" ht="11.25">
      <c r="A2774" s="8634" t="s">
        <v>2182</v>
      </c>
      <c r="B2774" s="8634" t="s">
        <v>14</v>
      </c>
      <c r="C2774" s="8634" t="s">
        <v>6474</v>
      </c>
      <c r="D2774" s="8634" t="s">
        <v>6475</v>
      </c>
      <c r="E2774" s="8634" t="s">
        <v>6476</v>
      </c>
      <c r="F2774" s="8634" t="s">
        <v>6477</v>
      </c>
      <c r="G2774" s="8634" t="s">
        <v>6478</v>
      </c>
      <c r="H2774" s="8634" t="s">
        <v>24</v>
      </c>
      <c r="I2774" s="8634" t="s">
        <v>823</v>
      </c>
    </row>
    <row customHeight="1" ht="11.25">
      <c r="A2775" s="8634" t="s">
        <v>2182</v>
      </c>
      <c r="B2775" s="8634" t="s">
        <v>14</v>
      </c>
      <c r="C2775" s="8634" t="s">
        <v>6479</v>
      </c>
      <c r="D2775" s="8634" t="s">
        <v>6480</v>
      </c>
      <c r="E2775" s="8634" t="s">
        <v>6481</v>
      </c>
      <c r="F2775" s="8634" t="s">
        <v>2398</v>
      </c>
      <c r="G2775" s="8634" t="s">
        <v>2427</v>
      </c>
      <c r="H2775" s="8634" t="s">
        <v>24</v>
      </c>
      <c r="I2775" s="8634" t="s">
        <v>823</v>
      </c>
    </row>
    <row customHeight="1" ht="11.25">
      <c r="A2776" s="8634" t="s">
        <v>2182</v>
      </c>
      <c r="B2776" s="8634" t="s">
        <v>14</v>
      </c>
      <c r="C2776" s="8634" t="s">
        <v>2428</v>
      </c>
      <c r="D2776" s="8634" t="s">
        <v>2429</v>
      </c>
      <c r="E2776" s="8634" t="s">
        <v>2430</v>
      </c>
      <c r="F2776" s="8634" t="s">
        <v>2394</v>
      </c>
      <c r="G2776" s="8634" t="s">
        <v>24</v>
      </c>
      <c r="H2776" s="8634" t="s">
        <v>24</v>
      </c>
      <c r="I2776" s="8634" t="s">
        <v>823</v>
      </c>
    </row>
    <row customHeight="1" ht="11.25">
      <c r="A2777" s="8634" t="s">
        <v>2182</v>
      </c>
      <c r="B2777" s="8634" t="s">
        <v>14</v>
      </c>
      <c r="C2777" s="8634" t="s">
        <v>2431</v>
      </c>
      <c r="D2777" s="8634" t="s">
        <v>2432</v>
      </c>
      <c r="E2777" s="8634" t="s">
        <v>2433</v>
      </c>
      <c r="F2777" s="8634" t="s">
        <v>2269</v>
      </c>
      <c r="G2777" s="8634" t="s">
        <v>2434</v>
      </c>
      <c r="H2777" s="8634" t="s">
        <v>24</v>
      </c>
      <c r="I2777" s="8634" t="s">
        <v>823</v>
      </c>
    </row>
    <row customHeight="1" ht="11.25">
      <c r="A2778" s="8634" t="s">
        <v>2182</v>
      </c>
      <c r="B2778" s="8634" t="s">
        <v>14</v>
      </c>
      <c r="C2778" s="8634" t="s">
        <v>2440</v>
      </c>
      <c r="D2778" s="8634" t="s">
        <v>2441</v>
      </c>
      <c r="E2778" s="8634" t="s">
        <v>2442</v>
      </c>
      <c r="F2778" s="8634" t="s">
        <v>2186</v>
      </c>
      <c r="G2778" s="8634" t="s">
        <v>2443</v>
      </c>
      <c r="H2778" s="8634" t="s">
        <v>24</v>
      </c>
      <c r="I2778" s="8634" t="s">
        <v>823</v>
      </c>
    </row>
    <row customHeight="1" ht="11.25">
      <c r="A2779" s="8634" t="s">
        <v>2182</v>
      </c>
      <c r="B2779" s="8634" t="s">
        <v>14</v>
      </c>
      <c r="C2779" s="8634" t="s">
        <v>2444</v>
      </c>
      <c r="D2779" s="8634" t="s">
        <v>2445</v>
      </c>
      <c r="E2779" s="8634" t="s">
        <v>2446</v>
      </c>
      <c r="F2779" s="8634" t="s">
        <v>2447</v>
      </c>
      <c r="G2779" s="8634" t="s">
        <v>2448</v>
      </c>
      <c r="H2779" s="8634" t="s">
        <v>24</v>
      </c>
      <c r="I2779" s="8634" t="s">
        <v>823</v>
      </c>
    </row>
    <row customHeight="1" ht="11.25">
      <c r="A2780" s="8634" t="s">
        <v>2182</v>
      </c>
      <c r="B2780" s="8634" t="s">
        <v>14</v>
      </c>
      <c r="C2780" s="8634" t="s">
        <v>2453</v>
      </c>
      <c r="D2780" s="8634" t="s">
        <v>2454</v>
      </c>
      <c r="E2780" s="8634" t="s">
        <v>2455</v>
      </c>
      <c r="F2780" s="8634" t="s">
        <v>2398</v>
      </c>
      <c r="G2780" s="8634" t="s">
        <v>2456</v>
      </c>
      <c r="H2780" s="8634" t="s">
        <v>24</v>
      </c>
      <c r="I2780" s="8634" t="s">
        <v>823</v>
      </c>
    </row>
    <row customHeight="1" ht="11.25">
      <c r="A2781" s="8634" t="s">
        <v>2182</v>
      </c>
      <c r="B2781" s="8634" t="s">
        <v>14</v>
      </c>
      <c r="C2781" s="8634" t="s">
        <v>2466</v>
      </c>
      <c r="D2781" s="8634" t="s">
        <v>2467</v>
      </c>
      <c r="E2781" s="8634" t="s">
        <v>2468</v>
      </c>
      <c r="F2781" s="8634" t="s">
        <v>2469</v>
      </c>
      <c r="G2781" s="8634" t="s">
        <v>24</v>
      </c>
      <c r="H2781" s="8634" t="s">
        <v>24</v>
      </c>
      <c r="I2781" s="8634" t="s">
        <v>823</v>
      </c>
    </row>
    <row customHeight="1" ht="11.25">
      <c r="A2782" s="8634" t="s">
        <v>2182</v>
      </c>
      <c r="B2782" s="8634" t="s">
        <v>14</v>
      </c>
      <c r="C2782" s="8634" t="s">
        <v>2474</v>
      </c>
      <c r="D2782" s="8634" t="s">
        <v>2475</v>
      </c>
      <c r="E2782" s="8634" t="s">
        <v>2476</v>
      </c>
      <c r="F2782" s="8634" t="s">
        <v>2477</v>
      </c>
      <c r="G2782" s="8634" t="s">
        <v>2478</v>
      </c>
      <c r="H2782" s="8634" t="s">
        <v>24</v>
      </c>
      <c r="I2782" s="8634" t="s">
        <v>823</v>
      </c>
    </row>
    <row customHeight="1" ht="11.25">
      <c r="A2783" s="8634" t="s">
        <v>2182</v>
      </c>
      <c r="B2783" s="8634" t="s">
        <v>14</v>
      </c>
      <c r="C2783" s="8634" t="s">
        <v>6482</v>
      </c>
      <c r="D2783" s="8634" t="s">
        <v>6483</v>
      </c>
      <c r="E2783" s="8634" t="s">
        <v>6484</v>
      </c>
      <c r="F2783" s="8634" t="s">
        <v>3295</v>
      </c>
      <c r="G2783" s="8634" t="s">
        <v>24</v>
      </c>
      <c r="H2783" s="8634" t="s">
        <v>24</v>
      </c>
      <c r="I2783" s="8634" t="s">
        <v>823</v>
      </c>
    </row>
    <row customHeight="1" ht="11.25">
      <c r="A2784" s="8634" t="s">
        <v>2182</v>
      </c>
      <c r="B2784" s="8634" t="s">
        <v>14</v>
      </c>
      <c r="C2784" s="8634" t="s">
        <v>2483</v>
      </c>
      <c r="D2784" s="8634" t="s">
        <v>2484</v>
      </c>
      <c r="E2784" s="8634" t="s">
        <v>2485</v>
      </c>
      <c r="F2784" s="8634" t="s">
        <v>2186</v>
      </c>
      <c r="G2784" s="8634" t="s">
        <v>2486</v>
      </c>
      <c r="H2784" s="8634" t="s">
        <v>24</v>
      </c>
      <c r="I2784" s="8634" t="s">
        <v>823</v>
      </c>
    </row>
    <row customHeight="1" ht="11.25">
      <c r="A2785" s="8634" t="s">
        <v>2182</v>
      </c>
      <c r="B2785" s="8634" t="s">
        <v>14</v>
      </c>
      <c r="C2785" s="8634" t="s">
        <v>2514</v>
      </c>
      <c r="D2785" s="8634" t="s">
        <v>2515</v>
      </c>
      <c r="E2785" s="8634" t="s">
        <v>2516</v>
      </c>
      <c r="F2785" s="8634" t="s">
        <v>2411</v>
      </c>
      <c r="G2785" s="8634" t="s">
        <v>2517</v>
      </c>
      <c r="H2785" s="8634" t="s">
        <v>24</v>
      </c>
      <c r="I2785" s="8634" t="s">
        <v>823</v>
      </c>
    </row>
    <row customHeight="1" ht="11.25">
      <c r="A2786" s="8634" t="s">
        <v>2182</v>
      </c>
      <c r="B2786" s="8634" t="s">
        <v>14</v>
      </c>
      <c r="C2786" s="8634" t="s">
        <v>6489</v>
      </c>
      <c r="D2786" s="8634" t="s">
        <v>6490</v>
      </c>
      <c r="E2786" s="8634" t="s">
        <v>6491</v>
      </c>
      <c r="F2786" s="8634" t="s">
        <v>2322</v>
      </c>
      <c r="G2786" s="8634" t="s">
        <v>6492</v>
      </c>
      <c r="H2786" s="8634" t="s">
        <v>6493</v>
      </c>
      <c r="I2786" s="8634" t="s">
        <v>823</v>
      </c>
    </row>
    <row customHeight="1" ht="11.25">
      <c r="A2787" s="8634" t="s">
        <v>2182</v>
      </c>
      <c r="B2787" s="8634" t="s">
        <v>14</v>
      </c>
      <c r="C2787" s="8634" t="s">
        <v>6494</v>
      </c>
      <c r="D2787" s="8634" t="s">
        <v>6495</v>
      </c>
      <c r="E2787" s="8634" t="s">
        <v>6496</v>
      </c>
      <c r="F2787" s="8634" t="s">
        <v>2688</v>
      </c>
      <c r="G2787" s="8634" t="s">
        <v>6497</v>
      </c>
      <c r="H2787" s="8634" t="s">
        <v>6498</v>
      </c>
      <c r="I2787" s="8634" t="s">
        <v>823</v>
      </c>
    </row>
    <row customHeight="1" ht="11.25">
      <c r="A2788" s="8634" t="s">
        <v>2182</v>
      </c>
      <c r="B2788" s="8634" t="s">
        <v>14</v>
      </c>
      <c r="C2788" s="8634" t="s">
        <v>2546</v>
      </c>
      <c r="D2788" s="8634" t="s">
        <v>2547</v>
      </c>
      <c r="E2788" s="8634" t="s">
        <v>2548</v>
      </c>
      <c r="F2788" s="8634" t="s">
        <v>2549</v>
      </c>
      <c r="G2788" s="8634" t="s">
        <v>2550</v>
      </c>
      <c r="H2788" s="8634" t="s">
        <v>24</v>
      </c>
      <c r="I2788" s="8634" t="s">
        <v>823</v>
      </c>
    </row>
    <row customHeight="1" ht="11.25">
      <c r="A2789" s="8634" t="s">
        <v>2182</v>
      </c>
      <c r="B2789" s="8634" t="s">
        <v>14</v>
      </c>
      <c r="C2789" s="8634" t="s">
        <v>6256</v>
      </c>
      <c r="D2789" s="8634" t="s">
        <v>6257</v>
      </c>
      <c r="E2789" s="8634" t="s">
        <v>6258</v>
      </c>
      <c r="F2789" s="8634" t="s">
        <v>2330</v>
      </c>
      <c r="G2789" s="8634" t="s">
        <v>3982</v>
      </c>
      <c r="H2789" s="8634" t="s">
        <v>24</v>
      </c>
      <c r="I2789" s="8634" t="s">
        <v>823</v>
      </c>
    </row>
    <row customHeight="1" ht="11.25">
      <c r="A2790" s="8634" t="s">
        <v>2182</v>
      </c>
      <c r="B2790" s="8634" t="s">
        <v>14</v>
      </c>
      <c r="C2790" s="8634" t="s">
        <v>2556</v>
      </c>
      <c r="D2790" s="8634" t="s">
        <v>2557</v>
      </c>
      <c r="E2790" s="8634" t="s">
        <v>2558</v>
      </c>
      <c r="F2790" s="8634" t="s">
        <v>2213</v>
      </c>
      <c r="G2790" s="8634" t="s">
        <v>2559</v>
      </c>
      <c r="H2790" s="8634" t="s">
        <v>24</v>
      </c>
      <c r="I2790" s="8634" t="s">
        <v>823</v>
      </c>
    </row>
    <row customHeight="1" ht="11.25">
      <c r="A2791" s="8634" t="s">
        <v>2182</v>
      </c>
      <c r="B2791" s="8634" t="s">
        <v>14</v>
      </c>
      <c r="C2791" s="8634" t="s">
        <v>6502</v>
      </c>
      <c r="D2791" s="8634" t="s">
        <v>6503</v>
      </c>
      <c r="E2791" s="8634" t="s">
        <v>6504</v>
      </c>
      <c r="F2791" s="8634" t="s">
        <v>2213</v>
      </c>
      <c r="G2791" s="8634" t="s">
        <v>6505</v>
      </c>
      <c r="H2791" s="8634" t="s">
        <v>24</v>
      </c>
      <c r="I2791" s="8634" t="s">
        <v>823</v>
      </c>
    </row>
    <row customHeight="1" ht="11.25">
      <c r="A2792" s="8634" t="s">
        <v>2182</v>
      </c>
      <c r="B2792" s="8634" t="s">
        <v>14</v>
      </c>
      <c r="C2792" s="8634" t="s">
        <v>2588</v>
      </c>
      <c r="D2792" s="8634" t="s">
        <v>2589</v>
      </c>
      <c r="E2792" s="8634" t="s">
        <v>2590</v>
      </c>
      <c r="F2792" s="8634" t="s">
        <v>2563</v>
      </c>
      <c r="G2792" s="8634" t="s">
        <v>2591</v>
      </c>
      <c r="H2792" s="8634" t="s">
        <v>24</v>
      </c>
      <c r="I2792" s="8634" t="s">
        <v>823</v>
      </c>
    </row>
    <row customHeight="1" ht="11.25">
      <c r="A2793" s="8634" t="s">
        <v>2182</v>
      </c>
      <c r="B2793" s="8634" t="s">
        <v>14</v>
      </c>
      <c r="C2793" s="8634" t="s">
        <v>6506</v>
      </c>
      <c r="D2793" s="8634" t="s">
        <v>6507</v>
      </c>
      <c r="E2793" s="8634" t="s">
        <v>6508</v>
      </c>
      <c r="F2793" s="8634" t="s">
        <v>2563</v>
      </c>
      <c r="G2793" s="8634" t="s">
        <v>6509</v>
      </c>
      <c r="H2793" s="8634" t="s">
        <v>24</v>
      </c>
      <c r="I2793" s="8634" t="s">
        <v>823</v>
      </c>
    </row>
    <row customHeight="1" ht="11.25">
      <c r="A2794" s="8634" t="s">
        <v>2182</v>
      </c>
      <c r="B2794" s="8634" t="s">
        <v>14</v>
      </c>
      <c r="C2794" s="8634" t="s">
        <v>7877</v>
      </c>
      <c r="D2794" s="8634" t="s">
        <v>7878</v>
      </c>
      <c r="E2794" s="8634" t="s">
        <v>7879</v>
      </c>
      <c r="F2794" s="8634" t="s">
        <v>5284</v>
      </c>
      <c r="G2794" s="8634" t="s">
        <v>24</v>
      </c>
      <c r="H2794" s="8634" t="s">
        <v>24</v>
      </c>
      <c r="I2794" s="8634" t="s">
        <v>823</v>
      </c>
    </row>
    <row customHeight="1" ht="11.25">
      <c r="A2795" s="8634" t="s">
        <v>2182</v>
      </c>
      <c r="B2795" s="8634" t="s">
        <v>14</v>
      </c>
      <c r="C2795" s="8634" t="s">
        <v>2602</v>
      </c>
      <c r="D2795" s="8634" t="s">
        <v>2603</v>
      </c>
      <c r="E2795" s="8634" t="s">
        <v>2604</v>
      </c>
      <c r="F2795" s="8634" t="s">
        <v>2339</v>
      </c>
      <c r="G2795" s="8634" t="s">
        <v>2605</v>
      </c>
      <c r="H2795" s="8634" t="s">
        <v>24</v>
      </c>
      <c r="I2795" s="8634" t="s">
        <v>823</v>
      </c>
    </row>
    <row customHeight="1" ht="11.25">
      <c r="A2796" s="8634" t="s">
        <v>2182</v>
      </c>
      <c r="B2796" s="8634" t="s">
        <v>14</v>
      </c>
      <c r="C2796" s="8634" t="s">
        <v>2606</v>
      </c>
      <c r="D2796" s="8634" t="s">
        <v>2607</v>
      </c>
      <c r="E2796" s="8634" t="s">
        <v>2608</v>
      </c>
      <c r="F2796" s="8634" t="s">
        <v>2334</v>
      </c>
      <c r="G2796" s="8634" t="s">
        <v>2609</v>
      </c>
      <c r="H2796" s="8634" t="s">
        <v>24</v>
      </c>
      <c r="I2796" s="8634" t="s">
        <v>823</v>
      </c>
    </row>
    <row customHeight="1" ht="11.25">
      <c r="A2797" s="8634" t="s">
        <v>2182</v>
      </c>
      <c r="B2797" s="8634" t="s">
        <v>14</v>
      </c>
      <c r="C2797" s="8634" t="s">
        <v>6510</v>
      </c>
      <c r="D2797" s="8634" t="s">
        <v>6511</v>
      </c>
      <c r="E2797" s="8634" t="s">
        <v>6512</v>
      </c>
      <c r="F2797" s="8634" t="s">
        <v>6513</v>
      </c>
      <c r="G2797" s="8634" t="s">
        <v>6514</v>
      </c>
      <c r="H2797" s="8634" t="s">
        <v>6515</v>
      </c>
      <c r="I2797" s="8634" t="s">
        <v>823</v>
      </c>
    </row>
    <row customHeight="1" ht="11.25">
      <c r="A2798" s="8634" t="s">
        <v>2182</v>
      </c>
      <c r="B2798" s="8634" t="s">
        <v>14</v>
      </c>
      <c r="C2798" s="8634" t="s">
        <v>2619</v>
      </c>
      <c r="D2798" s="8634" t="s">
        <v>2620</v>
      </c>
      <c r="E2798" s="8634" t="s">
        <v>2621</v>
      </c>
      <c r="F2798" s="8634" t="s">
        <v>2213</v>
      </c>
      <c r="G2798" s="8634" t="s">
        <v>2622</v>
      </c>
      <c r="H2798" s="8634" t="s">
        <v>24</v>
      </c>
      <c r="I2798" s="8634" t="s">
        <v>823</v>
      </c>
    </row>
    <row customHeight="1" ht="11.25">
      <c r="A2799" s="8634" t="s">
        <v>2182</v>
      </c>
      <c r="B2799" s="8634" t="s">
        <v>14</v>
      </c>
      <c r="C2799" s="8634" t="s">
        <v>2623</v>
      </c>
      <c r="D2799" s="8634" t="s">
        <v>2624</v>
      </c>
      <c r="E2799" s="8634" t="s">
        <v>2625</v>
      </c>
      <c r="F2799" s="8634" t="s">
        <v>2626</v>
      </c>
      <c r="G2799" s="8634" t="s">
        <v>24</v>
      </c>
      <c r="H2799" s="8634" t="s">
        <v>24</v>
      </c>
      <c r="I2799" s="8634" t="s">
        <v>823</v>
      </c>
    </row>
    <row customHeight="1" ht="11.25">
      <c r="A2800" s="8634" t="s">
        <v>2182</v>
      </c>
      <c r="B2800" s="8634" t="s">
        <v>14</v>
      </c>
      <c r="C2800" s="8634" t="s">
        <v>2635</v>
      </c>
      <c r="D2800" s="8634" t="s">
        <v>2636</v>
      </c>
      <c r="E2800" s="8634" t="s">
        <v>2637</v>
      </c>
      <c r="F2800" s="8634" t="s">
        <v>2512</v>
      </c>
      <c r="G2800" s="8634" t="s">
        <v>2638</v>
      </c>
      <c r="H2800" s="8634" t="s">
        <v>2187</v>
      </c>
      <c r="I2800" s="8634" t="s">
        <v>823</v>
      </c>
    </row>
    <row customHeight="1" ht="11.25">
      <c r="A2801" s="8634" t="s">
        <v>2182</v>
      </c>
      <c r="B2801" s="8634" t="s">
        <v>14</v>
      </c>
      <c r="C2801" s="8634" t="s">
        <v>6520</v>
      </c>
      <c r="D2801" s="8634" t="s">
        <v>6521</v>
      </c>
      <c r="E2801" s="8634" t="s">
        <v>6522</v>
      </c>
      <c r="F2801" s="8634" t="s">
        <v>2322</v>
      </c>
      <c r="G2801" s="8634" t="s">
        <v>6523</v>
      </c>
      <c r="H2801" s="8634" t="s">
        <v>24</v>
      </c>
      <c r="I2801" s="8634" t="s">
        <v>823</v>
      </c>
    </row>
    <row customHeight="1" ht="11.25">
      <c r="A2802" s="8634" t="s">
        <v>2182</v>
      </c>
      <c r="B2802" s="8634" t="s">
        <v>14</v>
      </c>
      <c r="C2802" s="8634" t="s">
        <v>7880</v>
      </c>
      <c r="D2802" s="8634" t="s">
        <v>7881</v>
      </c>
      <c r="E2802" s="8634" t="s">
        <v>7882</v>
      </c>
      <c r="F2802" s="8634" t="s">
        <v>2411</v>
      </c>
      <c r="G2802" s="8634" t="s">
        <v>7883</v>
      </c>
      <c r="H2802" s="8634" t="s">
        <v>24</v>
      </c>
      <c r="I2802" s="8634" t="s">
        <v>823</v>
      </c>
    </row>
    <row customHeight="1" ht="11.25">
      <c r="A2803" s="8634" t="s">
        <v>2182</v>
      </c>
      <c r="B2803" s="8634" t="s">
        <v>14</v>
      </c>
      <c r="C2803" s="8634" t="s">
        <v>2648</v>
      </c>
      <c r="D2803" s="8634" t="s">
        <v>2649</v>
      </c>
      <c r="E2803" s="8634" t="s">
        <v>2650</v>
      </c>
      <c r="F2803" s="8634" t="s">
        <v>2651</v>
      </c>
      <c r="G2803" s="8634" t="s">
        <v>24</v>
      </c>
      <c r="H2803" s="8634" t="s">
        <v>24</v>
      </c>
      <c r="I2803" s="8634" t="s">
        <v>823</v>
      </c>
    </row>
    <row customHeight="1" ht="11.25">
      <c r="A2804" s="8634" t="s">
        <v>2182</v>
      </c>
      <c r="B2804" s="8634" t="s">
        <v>14</v>
      </c>
      <c r="C2804" s="8634" t="s">
        <v>2652</v>
      </c>
      <c r="D2804" s="8634" t="s">
        <v>2653</v>
      </c>
      <c r="E2804" s="8634" t="s">
        <v>2654</v>
      </c>
      <c r="F2804" s="8634" t="s">
        <v>2223</v>
      </c>
      <c r="G2804" s="8634" t="s">
        <v>2655</v>
      </c>
      <c r="H2804" s="8634" t="s">
        <v>24</v>
      </c>
      <c r="I2804" s="8634" t="s">
        <v>823</v>
      </c>
    </row>
    <row customHeight="1" ht="11.25">
      <c r="A2805" s="8634" t="s">
        <v>2182</v>
      </c>
      <c r="B2805" s="8634" t="s">
        <v>14</v>
      </c>
      <c r="C2805" s="8634" t="s">
        <v>2664</v>
      </c>
      <c r="D2805" s="8634" t="s">
        <v>2665</v>
      </c>
      <c r="E2805" s="8634" t="s">
        <v>2666</v>
      </c>
      <c r="F2805" s="8634" t="s">
        <v>2512</v>
      </c>
      <c r="G2805" s="8634" t="s">
        <v>2667</v>
      </c>
      <c r="H2805" s="8634" t="s">
        <v>24</v>
      </c>
      <c r="I2805" s="8634" t="s">
        <v>823</v>
      </c>
    </row>
    <row customHeight="1" ht="11.25">
      <c r="A2806" s="8634" t="s">
        <v>2182</v>
      </c>
      <c r="B2806" s="8634" t="s">
        <v>14</v>
      </c>
      <c r="C2806" s="8634" t="s">
        <v>2668</v>
      </c>
      <c r="D2806" s="8634" t="s">
        <v>2669</v>
      </c>
      <c r="E2806" s="8634" t="s">
        <v>2670</v>
      </c>
      <c r="F2806" s="8634" t="s">
        <v>2671</v>
      </c>
      <c r="G2806" s="8634" t="s">
        <v>2672</v>
      </c>
      <c r="H2806" s="8634" t="s">
        <v>24</v>
      </c>
      <c r="I2806" s="8634" t="s">
        <v>823</v>
      </c>
    </row>
    <row customHeight="1" ht="11.25">
      <c r="A2807" s="8634" t="s">
        <v>2182</v>
      </c>
      <c r="B2807" s="8634" t="s">
        <v>14</v>
      </c>
      <c r="C2807" s="8634" t="s">
        <v>7884</v>
      </c>
      <c r="D2807" s="8634" t="s">
        <v>7885</v>
      </c>
      <c r="E2807" s="8634" t="s">
        <v>7886</v>
      </c>
      <c r="F2807" s="8634" t="s">
        <v>2394</v>
      </c>
      <c r="G2807" s="8634" t="s">
        <v>24</v>
      </c>
      <c r="H2807" s="8634" t="s">
        <v>24</v>
      </c>
      <c r="I2807" s="8634" t="s">
        <v>823</v>
      </c>
    </row>
    <row customHeight="1" ht="11.25">
      <c r="A2808" s="8634" t="s">
        <v>2182</v>
      </c>
      <c r="B2808" s="8634" t="s">
        <v>14</v>
      </c>
      <c r="C2808" s="8634" t="s">
        <v>2673</v>
      </c>
      <c r="D2808" s="8634" t="s">
        <v>2674</v>
      </c>
      <c r="E2808" s="8634" t="s">
        <v>2675</v>
      </c>
      <c r="F2808" s="8634" t="s">
        <v>2218</v>
      </c>
      <c r="G2808" s="8634" t="s">
        <v>2676</v>
      </c>
      <c r="H2808" s="8634" t="s">
        <v>24</v>
      </c>
      <c r="I2808" s="8634" t="s">
        <v>823</v>
      </c>
    </row>
    <row customHeight="1" ht="11.25">
      <c r="A2809" s="8634" t="s">
        <v>2182</v>
      </c>
      <c r="B2809" s="8634" t="s">
        <v>14</v>
      </c>
      <c r="C2809" s="8634" t="s">
        <v>2677</v>
      </c>
      <c r="D2809" s="8634" t="s">
        <v>2678</v>
      </c>
      <c r="E2809" s="8634" t="s">
        <v>2679</v>
      </c>
      <c r="F2809" s="8634" t="s">
        <v>2563</v>
      </c>
      <c r="G2809" s="8634" t="s">
        <v>2680</v>
      </c>
      <c r="H2809" s="8634" t="s">
        <v>2681</v>
      </c>
      <c r="I2809" s="8634" t="s">
        <v>823</v>
      </c>
    </row>
    <row customHeight="1" ht="11.25">
      <c r="A2810" s="8634" t="s">
        <v>2182</v>
      </c>
      <c r="B2810" s="8634" t="s">
        <v>14</v>
      </c>
      <c r="C2810" s="8634" t="s">
        <v>6528</v>
      </c>
      <c r="D2810" s="8634" t="s">
        <v>6529</v>
      </c>
      <c r="E2810" s="8634" t="s">
        <v>6530</v>
      </c>
      <c r="F2810" s="8634" t="s">
        <v>2398</v>
      </c>
      <c r="G2810" s="8634" t="s">
        <v>6531</v>
      </c>
      <c r="H2810" s="8634" t="s">
        <v>24</v>
      </c>
      <c r="I2810" s="8634" t="s">
        <v>823</v>
      </c>
    </row>
    <row customHeight="1" ht="11.25">
      <c r="A2811" s="8634" t="s">
        <v>2182</v>
      </c>
      <c r="B2811" s="8634" t="s">
        <v>14</v>
      </c>
      <c r="C2811" s="8634" t="s">
        <v>6532</v>
      </c>
      <c r="D2811" s="8634" t="s">
        <v>6533</v>
      </c>
      <c r="E2811" s="8634" t="s">
        <v>6534</v>
      </c>
      <c r="F2811" s="8634" t="s">
        <v>2398</v>
      </c>
      <c r="G2811" s="8634" t="s">
        <v>6535</v>
      </c>
      <c r="H2811" s="8634" t="s">
        <v>6536</v>
      </c>
      <c r="I2811" s="8634" t="s">
        <v>823</v>
      </c>
    </row>
    <row customHeight="1" ht="11.25">
      <c r="A2812" s="8634" t="s">
        <v>2182</v>
      </c>
      <c r="B2812" s="8634" t="s">
        <v>14</v>
      </c>
      <c r="C2812" s="8634" t="s">
        <v>6537</v>
      </c>
      <c r="D2812" s="8634" t="s">
        <v>6538</v>
      </c>
      <c r="E2812" s="8634" t="s">
        <v>6539</v>
      </c>
      <c r="F2812" s="8634" t="s">
        <v>2964</v>
      </c>
      <c r="G2812" s="8634" t="s">
        <v>24</v>
      </c>
      <c r="H2812" s="8634" t="s">
        <v>24</v>
      </c>
      <c r="I2812" s="8634" t="s">
        <v>823</v>
      </c>
    </row>
    <row customHeight="1" ht="11.25">
      <c r="A2813" s="8634" t="s">
        <v>2182</v>
      </c>
      <c r="B2813" s="8634" t="s">
        <v>14</v>
      </c>
      <c r="C2813" s="8634" t="s">
        <v>6540</v>
      </c>
      <c r="D2813" s="8634" t="s">
        <v>6541</v>
      </c>
      <c r="E2813" s="8634" t="s">
        <v>6542</v>
      </c>
      <c r="F2813" s="8634" t="s">
        <v>2334</v>
      </c>
      <c r="G2813" s="8634" t="s">
        <v>24</v>
      </c>
      <c r="H2813" s="8634" t="s">
        <v>24</v>
      </c>
      <c r="I2813" s="8634" t="s">
        <v>823</v>
      </c>
    </row>
    <row customHeight="1" ht="11.25">
      <c r="A2814" s="8634" t="s">
        <v>2182</v>
      </c>
      <c r="B2814" s="8634" t="s">
        <v>14</v>
      </c>
      <c r="C2814" s="8634" t="s">
        <v>2698</v>
      </c>
      <c r="D2814" s="8634" t="s">
        <v>2699</v>
      </c>
      <c r="E2814" s="8634" t="s">
        <v>2700</v>
      </c>
      <c r="F2814" s="8634" t="s">
        <v>2563</v>
      </c>
      <c r="G2814" s="8634" t="s">
        <v>2701</v>
      </c>
      <c r="H2814" s="8634" t="s">
        <v>24</v>
      </c>
      <c r="I2814" s="8634" t="s">
        <v>823</v>
      </c>
    </row>
    <row customHeight="1" ht="11.25">
      <c r="A2815" s="8634" t="s">
        <v>2182</v>
      </c>
      <c r="B2815" s="8634" t="s">
        <v>14</v>
      </c>
      <c r="C2815" s="8634" t="s">
        <v>2702</v>
      </c>
      <c r="D2815" s="8634" t="s">
        <v>2703</v>
      </c>
      <c r="E2815" s="8634" t="s">
        <v>2704</v>
      </c>
      <c r="F2815" s="8634" t="s">
        <v>2705</v>
      </c>
      <c r="G2815" s="8634" t="s">
        <v>2706</v>
      </c>
      <c r="H2815" s="8634" t="s">
        <v>24</v>
      </c>
      <c r="I2815" s="8634" t="s">
        <v>823</v>
      </c>
    </row>
    <row customHeight="1" ht="11.25">
      <c r="A2816" s="8634" t="s">
        <v>2182</v>
      </c>
      <c r="B2816" s="8634" t="s">
        <v>14</v>
      </c>
      <c r="C2816" s="8634" t="s">
        <v>2707</v>
      </c>
      <c r="D2816" s="8634" t="s">
        <v>2708</v>
      </c>
      <c r="E2816" s="8634" t="s">
        <v>2709</v>
      </c>
      <c r="F2816" s="8634" t="s">
        <v>2330</v>
      </c>
      <c r="G2816" s="8634" t="s">
        <v>2710</v>
      </c>
      <c r="H2816" s="8634" t="s">
        <v>24</v>
      </c>
      <c r="I2816" s="8634" t="s">
        <v>823</v>
      </c>
    </row>
    <row customHeight="1" ht="11.25">
      <c r="A2817" s="8634" t="s">
        <v>2182</v>
      </c>
      <c r="B2817" s="8634" t="s">
        <v>14</v>
      </c>
      <c r="C2817" s="8634" t="s">
        <v>2711</v>
      </c>
      <c r="D2817" s="8634" t="s">
        <v>2712</v>
      </c>
      <c r="E2817" s="8634" t="s">
        <v>2713</v>
      </c>
      <c r="F2817" s="8634" t="s">
        <v>2213</v>
      </c>
      <c r="G2817" s="8634" t="s">
        <v>2714</v>
      </c>
      <c r="H2817" s="8634" t="s">
        <v>24</v>
      </c>
      <c r="I2817" s="8634" t="s">
        <v>823</v>
      </c>
    </row>
    <row customHeight="1" ht="11.25">
      <c r="A2818" s="8634" t="s">
        <v>2182</v>
      </c>
      <c r="B2818" s="8634" t="s">
        <v>14</v>
      </c>
      <c r="C2818" s="8634" t="s">
        <v>6546</v>
      </c>
      <c r="D2818" s="8634" t="s">
        <v>6547</v>
      </c>
      <c r="E2818" s="8634" t="s">
        <v>6548</v>
      </c>
      <c r="F2818" s="8634" t="s">
        <v>2269</v>
      </c>
      <c r="G2818" s="8634" t="s">
        <v>24</v>
      </c>
      <c r="H2818" s="8634" t="s">
        <v>24</v>
      </c>
      <c r="I2818" s="8634" t="s">
        <v>823</v>
      </c>
    </row>
    <row customHeight="1" ht="11.25">
      <c r="A2819" s="8634" t="s">
        <v>2182</v>
      </c>
      <c r="B2819" s="8634" t="s">
        <v>14</v>
      </c>
      <c r="C2819" s="8634" t="s">
        <v>2739</v>
      </c>
      <c r="D2819" s="8634" t="s">
        <v>2740</v>
      </c>
      <c r="E2819" s="8634" t="s">
        <v>2741</v>
      </c>
      <c r="F2819" s="8634" t="s">
        <v>2742</v>
      </c>
      <c r="G2819" s="8634" t="s">
        <v>2743</v>
      </c>
      <c r="H2819" s="8634" t="s">
        <v>24</v>
      </c>
      <c r="I2819" s="8634" t="s">
        <v>823</v>
      </c>
    </row>
    <row customHeight="1" ht="11.25">
      <c r="A2820" s="8634" t="s">
        <v>2182</v>
      </c>
      <c r="B2820" s="8634" t="s">
        <v>14</v>
      </c>
      <c r="C2820" s="8634" t="s">
        <v>7887</v>
      </c>
      <c r="D2820" s="8634" t="s">
        <v>7888</v>
      </c>
      <c r="E2820" s="8634" t="s">
        <v>7889</v>
      </c>
      <c r="F2820" s="8634" t="s">
        <v>2492</v>
      </c>
      <c r="G2820" s="8634" t="s">
        <v>7890</v>
      </c>
      <c r="H2820" s="8634" t="s">
        <v>24</v>
      </c>
      <c r="I2820" s="8634" t="s">
        <v>823</v>
      </c>
    </row>
    <row customHeight="1" ht="11.25">
      <c r="A2821" s="8634" t="s">
        <v>2182</v>
      </c>
      <c r="B2821" s="8634" t="s">
        <v>14</v>
      </c>
      <c r="C2821" s="8634" t="s">
        <v>6559</v>
      </c>
      <c r="D2821" s="8634" t="s">
        <v>6560</v>
      </c>
      <c r="E2821" s="8634" t="s">
        <v>6561</v>
      </c>
      <c r="F2821" s="8634" t="s">
        <v>6562</v>
      </c>
      <c r="G2821" s="8634" t="s">
        <v>6563</v>
      </c>
      <c r="H2821" s="8634" t="s">
        <v>2870</v>
      </c>
      <c r="I2821" s="8634" t="s">
        <v>823</v>
      </c>
    </row>
    <row customHeight="1" ht="11.25">
      <c r="A2822" s="8634" t="s">
        <v>2182</v>
      </c>
      <c r="B2822" s="8634" t="s">
        <v>14</v>
      </c>
      <c r="C2822" s="8634" t="s">
        <v>6564</v>
      </c>
      <c r="D2822" s="8634" t="s">
        <v>6565</v>
      </c>
      <c r="E2822" s="8634" t="s">
        <v>5698</v>
      </c>
      <c r="F2822" s="8634" t="s">
        <v>5584</v>
      </c>
      <c r="G2822" s="8634" t="s">
        <v>6566</v>
      </c>
      <c r="H2822" s="8634" t="s">
        <v>24</v>
      </c>
      <c r="I2822" s="8634" t="s">
        <v>823</v>
      </c>
    </row>
    <row customHeight="1" ht="11.25">
      <c r="A2823" s="8634" t="s">
        <v>2182</v>
      </c>
      <c r="B2823" s="8634" t="s">
        <v>14</v>
      </c>
      <c r="C2823" s="8634" t="s">
        <v>2748</v>
      </c>
      <c r="D2823" s="8634" t="s">
        <v>2749</v>
      </c>
      <c r="E2823" s="8634" t="s">
        <v>2750</v>
      </c>
      <c r="F2823" s="8634" t="s">
        <v>2751</v>
      </c>
      <c r="G2823" s="8634" t="s">
        <v>2752</v>
      </c>
      <c r="H2823" s="8634" t="s">
        <v>24</v>
      </c>
      <c r="I2823" s="8634" t="s">
        <v>823</v>
      </c>
    </row>
    <row customHeight="1" ht="11.25">
      <c r="A2824" s="8634" t="s">
        <v>2182</v>
      </c>
      <c r="B2824" s="8634" t="s">
        <v>14</v>
      </c>
      <c r="C2824" s="8634" t="s">
        <v>2757</v>
      </c>
      <c r="D2824" s="8634" t="s">
        <v>2758</v>
      </c>
      <c r="E2824" s="8634" t="s">
        <v>2759</v>
      </c>
      <c r="F2824" s="8634" t="s">
        <v>2264</v>
      </c>
      <c r="G2824" s="8634" t="s">
        <v>24</v>
      </c>
      <c r="H2824" s="8634" t="s">
        <v>2187</v>
      </c>
      <c r="I2824" s="8634" t="s">
        <v>823</v>
      </c>
    </row>
    <row customHeight="1" ht="11.25">
      <c r="A2825" s="8634" t="s">
        <v>2182</v>
      </c>
      <c r="B2825" s="8634" t="s">
        <v>14</v>
      </c>
      <c r="C2825" s="8634" t="s">
        <v>6567</v>
      </c>
      <c r="D2825" s="8634" t="s">
        <v>6568</v>
      </c>
      <c r="E2825" s="8634" t="s">
        <v>6569</v>
      </c>
      <c r="F2825" s="8634" t="s">
        <v>2213</v>
      </c>
      <c r="G2825" s="8634" t="s">
        <v>24</v>
      </c>
      <c r="H2825" s="8634" t="s">
        <v>2773</v>
      </c>
      <c r="I2825" s="8634" t="s">
        <v>823</v>
      </c>
    </row>
    <row customHeight="1" ht="11.25">
      <c r="A2826" s="8634" t="s">
        <v>2182</v>
      </c>
      <c r="B2826" s="8634" t="s">
        <v>14</v>
      </c>
      <c r="C2826" s="8634" t="s">
        <v>6271</v>
      </c>
      <c r="D2826" s="8634" t="s">
        <v>6272</v>
      </c>
      <c r="E2826" s="8634" t="s">
        <v>6273</v>
      </c>
      <c r="F2826" s="8634" t="s">
        <v>2447</v>
      </c>
      <c r="G2826" s="8634" t="s">
        <v>24</v>
      </c>
      <c r="H2826" s="8634" t="s">
        <v>2187</v>
      </c>
      <c r="I2826" s="8634" t="s">
        <v>823</v>
      </c>
    </row>
    <row customHeight="1" ht="11.25">
      <c r="A2827" s="8634" t="s">
        <v>2182</v>
      </c>
      <c r="B2827" s="8634" t="s">
        <v>14</v>
      </c>
      <c r="C2827" s="8634" t="s">
        <v>6573</v>
      </c>
      <c r="D2827" s="8634" t="s">
        <v>6574</v>
      </c>
      <c r="E2827" s="8634" t="s">
        <v>6575</v>
      </c>
      <c r="F2827" s="8634" t="s">
        <v>6253</v>
      </c>
      <c r="G2827" s="8634" t="s">
        <v>6576</v>
      </c>
      <c r="H2827" s="8634" t="s">
        <v>6577</v>
      </c>
      <c r="I2827" s="8634" t="s">
        <v>823</v>
      </c>
    </row>
    <row customHeight="1" ht="11.25">
      <c r="A2828" s="8634" t="s">
        <v>2182</v>
      </c>
      <c r="B2828" s="8634" t="s">
        <v>14</v>
      </c>
      <c r="C2828" s="8634" t="s">
        <v>6578</v>
      </c>
      <c r="D2828" s="8634" t="s">
        <v>6579</v>
      </c>
      <c r="E2828" s="8634" t="s">
        <v>6580</v>
      </c>
      <c r="F2828" s="8634" t="s">
        <v>6581</v>
      </c>
      <c r="G2828" s="8634" t="s">
        <v>24</v>
      </c>
      <c r="H2828" s="8634" t="s">
        <v>6582</v>
      </c>
      <c r="I2828" s="8634" t="s">
        <v>823</v>
      </c>
    </row>
    <row customHeight="1" ht="11.25">
      <c r="A2829" s="8634" t="s">
        <v>2182</v>
      </c>
      <c r="B2829" s="8634" t="s">
        <v>14</v>
      </c>
      <c r="C2829" s="8634" t="s">
        <v>6583</v>
      </c>
      <c r="D2829" s="8634" t="s">
        <v>6584</v>
      </c>
      <c r="E2829" s="8634" t="s">
        <v>6585</v>
      </c>
      <c r="F2829" s="8634" t="s">
        <v>6586</v>
      </c>
      <c r="G2829" s="8634" t="s">
        <v>24</v>
      </c>
      <c r="H2829" s="8634" t="s">
        <v>24</v>
      </c>
      <c r="I2829" s="8634" t="s">
        <v>823</v>
      </c>
    </row>
    <row customHeight="1" ht="11.25">
      <c r="A2830" s="8634" t="s">
        <v>2182</v>
      </c>
      <c r="B2830" s="8634" t="s">
        <v>14</v>
      </c>
      <c r="C2830" s="8634" t="s">
        <v>2816</v>
      </c>
      <c r="D2830" s="8634" t="s">
        <v>2817</v>
      </c>
      <c r="E2830" s="8634" t="s">
        <v>2818</v>
      </c>
      <c r="F2830" s="8634" t="s">
        <v>2460</v>
      </c>
      <c r="G2830" s="8634" t="s">
        <v>2819</v>
      </c>
      <c r="H2830" s="8634" t="s">
        <v>24</v>
      </c>
      <c r="I2830" s="8634" t="s">
        <v>823</v>
      </c>
    </row>
    <row customHeight="1" ht="11.25">
      <c r="A2831" s="8634" t="s">
        <v>2182</v>
      </c>
      <c r="B2831" s="8634" t="s">
        <v>14</v>
      </c>
      <c r="C2831" s="8634" t="s">
        <v>2829</v>
      </c>
      <c r="D2831" s="8634" t="s">
        <v>2830</v>
      </c>
      <c r="E2831" s="8634" t="s">
        <v>2831</v>
      </c>
      <c r="F2831" s="8634" t="s">
        <v>2832</v>
      </c>
      <c r="G2831" s="8634" t="s">
        <v>2833</v>
      </c>
      <c r="H2831" s="8634" t="s">
        <v>2834</v>
      </c>
      <c r="I2831" s="8634" t="s">
        <v>823</v>
      </c>
    </row>
    <row customHeight="1" ht="11.25">
      <c r="A2832" s="8634" t="s">
        <v>2182</v>
      </c>
      <c r="B2832" s="8634" t="s">
        <v>14</v>
      </c>
      <c r="C2832" s="8634" t="s">
        <v>2839</v>
      </c>
      <c r="D2832" s="8634" t="s">
        <v>2840</v>
      </c>
      <c r="E2832" s="8634" t="s">
        <v>2841</v>
      </c>
      <c r="F2832" s="8634" t="s">
        <v>2349</v>
      </c>
      <c r="G2832" s="8634" t="s">
        <v>24</v>
      </c>
      <c r="H2832" s="8634" t="s">
        <v>2842</v>
      </c>
      <c r="I2832" s="8634" t="s">
        <v>823</v>
      </c>
    </row>
    <row customHeight="1" ht="11.25">
      <c r="A2833" s="8634" t="s">
        <v>2182</v>
      </c>
      <c r="B2833" s="8634" t="s">
        <v>14</v>
      </c>
      <c r="C2833" s="8634" t="s">
        <v>2847</v>
      </c>
      <c r="D2833" s="8634" t="s">
        <v>2848</v>
      </c>
      <c r="E2833" s="8634" t="s">
        <v>2849</v>
      </c>
      <c r="F2833" s="8634" t="s">
        <v>2460</v>
      </c>
      <c r="G2833" s="8634" t="s">
        <v>2850</v>
      </c>
      <c r="H2833" s="8634" t="s">
        <v>24</v>
      </c>
      <c r="I2833" s="8634" t="s">
        <v>823</v>
      </c>
    </row>
    <row customHeight="1" ht="11.25">
      <c r="A2834" s="8634" t="s">
        <v>2182</v>
      </c>
      <c r="B2834" s="8634" t="s">
        <v>14</v>
      </c>
      <c r="C2834" s="8634" t="s">
        <v>2855</v>
      </c>
      <c r="D2834" s="8634" t="s">
        <v>2856</v>
      </c>
      <c r="E2834" s="8634" t="s">
        <v>2857</v>
      </c>
      <c r="F2834" s="8634" t="s">
        <v>2721</v>
      </c>
      <c r="G2834" s="8634" t="s">
        <v>2858</v>
      </c>
      <c r="H2834" s="8634" t="s">
        <v>2187</v>
      </c>
      <c r="I2834" s="8634" t="s">
        <v>823</v>
      </c>
    </row>
    <row customHeight="1" ht="11.25">
      <c r="A2835" s="8634" t="s">
        <v>2182</v>
      </c>
      <c r="B2835" s="8634" t="s">
        <v>14</v>
      </c>
      <c r="C2835" s="8634" t="s">
        <v>2859</v>
      </c>
      <c r="D2835" s="8634" t="s">
        <v>2856</v>
      </c>
      <c r="E2835" s="8634" t="s">
        <v>2860</v>
      </c>
      <c r="F2835" s="8634" t="s">
        <v>2721</v>
      </c>
      <c r="G2835" s="8634" t="s">
        <v>2861</v>
      </c>
      <c r="H2835" s="8634" t="s">
        <v>24</v>
      </c>
      <c r="I2835" s="8634" t="s">
        <v>823</v>
      </c>
    </row>
    <row customHeight="1" ht="11.25">
      <c r="A2836" s="8634" t="s">
        <v>2182</v>
      </c>
      <c r="B2836" s="8634" t="s">
        <v>14</v>
      </c>
      <c r="C2836" s="8634" t="s">
        <v>2883</v>
      </c>
      <c r="D2836" s="8634" t="s">
        <v>2884</v>
      </c>
      <c r="E2836" s="8634" t="s">
        <v>2885</v>
      </c>
      <c r="F2836" s="8634" t="s">
        <v>2349</v>
      </c>
      <c r="G2836" s="8634" t="s">
        <v>2886</v>
      </c>
      <c r="H2836" s="8634" t="s">
        <v>24</v>
      </c>
      <c r="I2836" s="8634" t="s">
        <v>823</v>
      </c>
    </row>
    <row customHeight="1" ht="11.25">
      <c r="A2837" s="8634" t="s">
        <v>2182</v>
      </c>
      <c r="B2837" s="8634" t="s">
        <v>14</v>
      </c>
      <c r="C2837" s="8634" t="s">
        <v>2887</v>
      </c>
      <c r="D2837" s="8634" t="s">
        <v>2888</v>
      </c>
      <c r="E2837" s="8634" t="s">
        <v>2889</v>
      </c>
      <c r="F2837" s="8634" t="s">
        <v>2890</v>
      </c>
      <c r="G2837" s="8634" t="s">
        <v>2891</v>
      </c>
      <c r="H2837" s="8634" t="s">
        <v>24</v>
      </c>
      <c r="I2837" s="8634" t="s">
        <v>823</v>
      </c>
    </row>
    <row customHeight="1" ht="11.25">
      <c r="A2838" s="8634" t="s">
        <v>2182</v>
      </c>
      <c r="B2838" s="8634" t="s">
        <v>14</v>
      </c>
      <c r="C2838" s="8634" t="s">
        <v>2900</v>
      </c>
      <c r="D2838" s="8634" t="s">
        <v>2901</v>
      </c>
      <c r="E2838" s="8634" t="s">
        <v>2902</v>
      </c>
      <c r="F2838" s="8634" t="s">
        <v>2626</v>
      </c>
      <c r="G2838" s="8634" t="s">
        <v>2903</v>
      </c>
      <c r="H2838" s="8634" t="s">
        <v>24</v>
      </c>
      <c r="I2838" s="8634" t="s">
        <v>823</v>
      </c>
    </row>
    <row customHeight="1" ht="11.25">
      <c r="A2839" s="8634" t="s">
        <v>2182</v>
      </c>
      <c r="B2839" s="8634" t="s">
        <v>14</v>
      </c>
      <c r="C2839" s="8634" t="s">
        <v>2908</v>
      </c>
      <c r="D2839" s="8634" t="s">
        <v>2909</v>
      </c>
      <c r="E2839" s="8634" t="s">
        <v>2910</v>
      </c>
      <c r="F2839" s="8634" t="s">
        <v>2705</v>
      </c>
      <c r="G2839" s="8634" t="s">
        <v>24</v>
      </c>
      <c r="H2839" s="8634" t="s">
        <v>24</v>
      </c>
      <c r="I2839" s="8634" t="s">
        <v>823</v>
      </c>
    </row>
    <row customHeight="1" ht="11.25">
      <c r="A2840" s="8634" t="s">
        <v>2182</v>
      </c>
      <c r="B2840" s="8634" t="s">
        <v>14</v>
      </c>
      <c r="C2840" s="8634" t="s">
        <v>2911</v>
      </c>
      <c r="D2840" s="8634" t="s">
        <v>2912</v>
      </c>
      <c r="E2840" s="8634" t="s">
        <v>2913</v>
      </c>
      <c r="F2840" s="8634" t="s">
        <v>2626</v>
      </c>
      <c r="G2840" s="8634" t="s">
        <v>2914</v>
      </c>
      <c r="H2840" s="8634" t="s">
        <v>2915</v>
      </c>
      <c r="I2840" s="8634" t="s">
        <v>823</v>
      </c>
    </row>
    <row customHeight="1" ht="11.25">
      <c r="A2841" s="8634" t="s">
        <v>2182</v>
      </c>
      <c r="B2841" s="8634" t="s">
        <v>14</v>
      </c>
      <c r="C2841" s="8634" t="s">
        <v>2916</v>
      </c>
      <c r="D2841" s="8634" t="s">
        <v>2917</v>
      </c>
      <c r="E2841" s="8634" t="s">
        <v>2898</v>
      </c>
      <c r="F2841" s="8634" t="s">
        <v>2567</v>
      </c>
      <c r="G2841" s="8634" t="s">
        <v>2918</v>
      </c>
      <c r="H2841" s="8634" t="s">
        <v>24</v>
      </c>
      <c r="I2841" s="8634" t="s">
        <v>823</v>
      </c>
    </row>
    <row customHeight="1" ht="11.25">
      <c r="A2842" s="8634" t="s">
        <v>2182</v>
      </c>
      <c r="B2842" s="8634" t="s">
        <v>14</v>
      </c>
      <c r="C2842" s="8634" t="s">
        <v>6594</v>
      </c>
      <c r="D2842" s="8634" t="s">
        <v>6595</v>
      </c>
      <c r="E2842" s="8634" t="s">
        <v>6596</v>
      </c>
      <c r="F2842" s="8634" t="s">
        <v>2245</v>
      </c>
      <c r="G2842" s="8634" t="s">
        <v>24</v>
      </c>
      <c r="H2842" s="8634" t="s">
        <v>24</v>
      </c>
      <c r="I2842" s="8634" t="s">
        <v>823</v>
      </c>
    </row>
    <row customHeight="1" ht="11.25">
      <c r="A2843" s="8634" t="s">
        <v>2182</v>
      </c>
      <c r="B2843" s="8634" t="s">
        <v>14</v>
      </c>
      <c r="C2843" s="8634" t="s">
        <v>2919</v>
      </c>
      <c r="D2843" s="8634" t="s">
        <v>2920</v>
      </c>
      <c r="E2843" s="8634" t="s">
        <v>2921</v>
      </c>
      <c r="F2843" s="8634" t="s">
        <v>2626</v>
      </c>
      <c r="G2843" s="8634" t="s">
        <v>2922</v>
      </c>
      <c r="H2843" s="8634" t="s">
        <v>24</v>
      </c>
      <c r="I2843" s="8634" t="s">
        <v>823</v>
      </c>
    </row>
    <row customHeight="1" ht="11.25">
      <c r="A2844" s="8634" t="s">
        <v>2182</v>
      </c>
      <c r="B2844" s="8634" t="s">
        <v>14</v>
      </c>
      <c r="C2844" s="8634" t="s">
        <v>2923</v>
      </c>
      <c r="D2844" s="8634" t="s">
        <v>2924</v>
      </c>
      <c r="E2844" s="8634" t="s">
        <v>2925</v>
      </c>
      <c r="F2844" s="8634" t="s">
        <v>2344</v>
      </c>
      <c r="G2844" s="8634" t="s">
        <v>2926</v>
      </c>
      <c r="H2844" s="8634" t="s">
        <v>24</v>
      </c>
      <c r="I2844" s="8634" t="s">
        <v>823</v>
      </c>
    </row>
    <row customHeight="1" ht="11.25">
      <c r="A2845" s="8634" t="s">
        <v>2182</v>
      </c>
      <c r="B2845" s="8634" t="s">
        <v>14</v>
      </c>
      <c r="C2845" s="8634" t="s">
        <v>2927</v>
      </c>
      <c r="D2845" s="8634" t="s">
        <v>2928</v>
      </c>
      <c r="E2845" s="8634" t="s">
        <v>2929</v>
      </c>
      <c r="F2845" s="8634" t="s">
        <v>2394</v>
      </c>
      <c r="G2845" s="8634" t="s">
        <v>24</v>
      </c>
      <c r="H2845" s="8634" t="s">
        <v>24</v>
      </c>
      <c r="I2845" s="8634" t="s">
        <v>823</v>
      </c>
    </row>
    <row customHeight="1" ht="11.25">
      <c r="A2846" s="8634" t="s">
        <v>2182</v>
      </c>
      <c r="B2846" s="8634" t="s">
        <v>14</v>
      </c>
      <c r="C2846" s="8634" t="s">
        <v>6274</v>
      </c>
      <c r="D2846" s="8634" t="s">
        <v>6275</v>
      </c>
      <c r="E2846" s="8634" t="s">
        <v>6276</v>
      </c>
      <c r="F2846" s="8634" t="s">
        <v>2213</v>
      </c>
      <c r="G2846" s="8634" t="s">
        <v>6277</v>
      </c>
      <c r="H2846" s="8634" t="s">
        <v>6278</v>
      </c>
      <c r="I2846" s="8634" t="s">
        <v>823</v>
      </c>
    </row>
    <row customHeight="1" ht="11.25">
      <c r="A2847" s="8634" t="s">
        <v>2182</v>
      </c>
      <c r="B2847" s="8634" t="s">
        <v>14</v>
      </c>
      <c r="C2847" s="8634" t="s">
        <v>2938</v>
      </c>
      <c r="D2847" s="8634" t="s">
        <v>2939</v>
      </c>
      <c r="E2847" s="8634" t="s">
        <v>2940</v>
      </c>
      <c r="F2847" s="8634" t="s">
        <v>2218</v>
      </c>
      <c r="G2847" s="8634" t="s">
        <v>24</v>
      </c>
      <c r="H2847" s="8634" t="s">
        <v>24</v>
      </c>
      <c r="I2847" s="8634" t="s">
        <v>823</v>
      </c>
    </row>
    <row customHeight="1" ht="11.25">
      <c r="A2848" s="8634" t="s">
        <v>2182</v>
      </c>
      <c r="B2848" s="8634" t="s">
        <v>14</v>
      </c>
      <c r="C2848" s="8634" t="s">
        <v>2941</v>
      </c>
      <c r="D2848" s="8634" t="s">
        <v>2942</v>
      </c>
      <c r="E2848" s="8634" t="s">
        <v>2943</v>
      </c>
      <c r="F2848" s="8634" t="s">
        <v>2890</v>
      </c>
      <c r="G2848" s="8634" t="s">
        <v>2944</v>
      </c>
      <c r="H2848" s="8634" t="s">
        <v>24</v>
      </c>
      <c r="I2848" s="8634" t="s">
        <v>823</v>
      </c>
    </row>
    <row customHeight="1" ht="11.25">
      <c r="A2849" s="8634" t="s">
        <v>2182</v>
      </c>
      <c r="B2849" s="8634" t="s">
        <v>14</v>
      </c>
      <c r="C2849" s="8634" t="s">
        <v>2945</v>
      </c>
      <c r="D2849" s="8634" t="s">
        <v>2946</v>
      </c>
      <c r="E2849" s="8634" t="s">
        <v>2947</v>
      </c>
      <c r="F2849" s="8634" t="s">
        <v>2948</v>
      </c>
      <c r="G2849" s="8634" t="s">
        <v>2949</v>
      </c>
      <c r="H2849" s="8634" t="s">
        <v>2187</v>
      </c>
      <c r="I2849" s="8634" t="s">
        <v>823</v>
      </c>
    </row>
    <row customHeight="1" ht="11.25">
      <c r="A2850" s="8634" t="s">
        <v>2182</v>
      </c>
      <c r="B2850" s="8634" t="s">
        <v>14</v>
      </c>
      <c r="C2850" s="8634" t="s">
        <v>6604</v>
      </c>
      <c r="D2850" s="8634" t="s">
        <v>6605</v>
      </c>
      <c r="E2850" s="8634" t="s">
        <v>6606</v>
      </c>
      <c r="F2850" s="8634" t="s">
        <v>2322</v>
      </c>
      <c r="G2850" s="8634" t="s">
        <v>24</v>
      </c>
      <c r="H2850" s="8634" t="s">
        <v>24</v>
      </c>
      <c r="I2850" s="8634" t="s">
        <v>823</v>
      </c>
    </row>
    <row customHeight="1" ht="11.25">
      <c r="A2851" s="8634" t="s">
        <v>2182</v>
      </c>
      <c r="B2851" s="8634" t="s">
        <v>14</v>
      </c>
      <c r="C2851" s="8634" t="s">
        <v>6607</v>
      </c>
      <c r="D2851" s="8634" t="s">
        <v>6608</v>
      </c>
      <c r="E2851" s="8634" t="s">
        <v>6609</v>
      </c>
      <c r="F2851" s="8634" t="s">
        <v>2492</v>
      </c>
      <c r="G2851" s="8634" t="s">
        <v>6610</v>
      </c>
      <c r="H2851" s="8634" t="s">
        <v>2697</v>
      </c>
      <c r="I2851" s="8634" t="s">
        <v>823</v>
      </c>
    </row>
    <row customHeight="1" ht="11.25">
      <c r="A2852" s="8634" t="s">
        <v>2182</v>
      </c>
      <c r="B2852" s="8634" t="s">
        <v>14</v>
      </c>
      <c r="C2852" s="8634" t="s">
        <v>6611</v>
      </c>
      <c r="D2852" s="8634" t="s">
        <v>6612</v>
      </c>
      <c r="E2852" s="8634" t="s">
        <v>6613</v>
      </c>
      <c r="F2852" s="8634" t="s">
        <v>3332</v>
      </c>
      <c r="G2852" s="8634" t="s">
        <v>6614</v>
      </c>
      <c r="H2852" s="8634" t="s">
        <v>6615</v>
      </c>
      <c r="I2852" s="8634" t="s">
        <v>823</v>
      </c>
    </row>
    <row customHeight="1" ht="11.25">
      <c r="A2853" s="8634" t="s">
        <v>2182</v>
      </c>
      <c r="B2853" s="8634" t="s">
        <v>14</v>
      </c>
      <c r="C2853" s="8634" t="s">
        <v>6616</v>
      </c>
      <c r="D2853" s="8634" t="s">
        <v>6617</v>
      </c>
      <c r="E2853" s="8634" t="s">
        <v>6618</v>
      </c>
      <c r="F2853" s="8634" t="s">
        <v>2354</v>
      </c>
      <c r="G2853" s="8634" t="s">
        <v>6619</v>
      </c>
      <c r="H2853" s="8634" t="s">
        <v>24</v>
      </c>
      <c r="I2853" s="8634" t="s">
        <v>823</v>
      </c>
    </row>
    <row customHeight="1" ht="11.25">
      <c r="A2854" s="8634" t="s">
        <v>2182</v>
      </c>
      <c r="B2854" s="8634" t="s">
        <v>14</v>
      </c>
      <c r="C2854" s="8634" t="s">
        <v>2954</v>
      </c>
      <c r="D2854" s="8634" t="s">
        <v>2955</v>
      </c>
      <c r="E2854" s="8634" t="s">
        <v>2956</v>
      </c>
      <c r="F2854" s="8634" t="s">
        <v>2339</v>
      </c>
      <c r="G2854" s="8634" t="s">
        <v>2345</v>
      </c>
      <c r="H2854" s="8634" t="s">
        <v>24</v>
      </c>
      <c r="I2854" s="8634" t="s">
        <v>823</v>
      </c>
    </row>
    <row customHeight="1" ht="11.25">
      <c r="A2855" s="8634" t="s">
        <v>2182</v>
      </c>
      <c r="B2855" s="8634" t="s">
        <v>14</v>
      </c>
      <c r="C2855" s="8634" t="s">
        <v>2961</v>
      </c>
      <c r="D2855" s="8634" t="s">
        <v>2962</v>
      </c>
      <c r="E2855" s="8634" t="s">
        <v>2963</v>
      </c>
      <c r="F2855" s="8634" t="s">
        <v>2964</v>
      </c>
      <c r="G2855" s="8634" t="s">
        <v>2965</v>
      </c>
      <c r="H2855" s="8634" t="s">
        <v>24</v>
      </c>
      <c r="I2855" s="8634" t="s">
        <v>823</v>
      </c>
    </row>
    <row customHeight="1" ht="11.25">
      <c r="A2856" s="8634" t="s">
        <v>2182</v>
      </c>
      <c r="B2856" s="8634" t="s">
        <v>14</v>
      </c>
      <c r="C2856" s="8634" t="s">
        <v>2966</v>
      </c>
      <c r="D2856" s="8634" t="s">
        <v>2967</v>
      </c>
      <c r="E2856" s="8634" t="s">
        <v>2968</v>
      </c>
      <c r="F2856" s="8634" t="s">
        <v>2411</v>
      </c>
      <c r="G2856" s="8634" t="s">
        <v>24</v>
      </c>
      <c r="H2856" s="8634" t="s">
        <v>24</v>
      </c>
      <c r="I2856" s="8634" t="s">
        <v>823</v>
      </c>
    </row>
    <row customHeight="1" ht="11.25">
      <c r="A2857" s="8634" t="s">
        <v>2182</v>
      </c>
      <c r="B2857" s="8634" t="s">
        <v>14</v>
      </c>
      <c r="C2857" s="8634" t="s">
        <v>2973</v>
      </c>
      <c r="D2857" s="8634" t="s">
        <v>2974</v>
      </c>
      <c r="E2857" s="8634" t="s">
        <v>2975</v>
      </c>
      <c r="F2857" s="8634" t="s">
        <v>2976</v>
      </c>
      <c r="G2857" s="8634" t="s">
        <v>2977</v>
      </c>
      <c r="H2857" s="8634" t="s">
        <v>24</v>
      </c>
      <c r="I2857" s="8634" t="s">
        <v>823</v>
      </c>
    </row>
    <row customHeight="1" ht="11.25">
      <c r="A2858" s="8634" t="s">
        <v>2182</v>
      </c>
      <c r="B2858" s="8634" t="s">
        <v>14</v>
      </c>
      <c r="C2858" s="8634" t="s">
        <v>2978</v>
      </c>
      <c r="D2858" s="8634" t="s">
        <v>2979</v>
      </c>
      <c r="E2858" s="8634" t="s">
        <v>2980</v>
      </c>
      <c r="F2858" s="8634" t="s">
        <v>2354</v>
      </c>
      <c r="G2858" s="8634" t="s">
        <v>24</v>
      </c>
      <c r="H2858" s="8634" t="s">
        <v>2981</v>
      </c>
      <c r="I2858" s="8634" t="s">
        <v>823</v>
      </c>
    </row>
    <row customHeight="1" ht="11.25">
      <c r="A2859" s="8634" t="s">
        <v>2182</v>
      </c>
      <c r="B2859" s="8634" t="s">
        <v>14</v>
      </c>
      <c r="C2859" s="8634" t="s">
        <v>7891</v>
      </c>
      <c r="D2859" s="8634" t="s">
        <v>7892</v>
      </c>
      <c r="E2859" s="8634" t="s">
        <v>7893</v>
      </c>
      <c r="F2859" s="8634" t="s">
        <v>2411</v>
      </c>
      <c r="G2859" s="8634" t="s">
        <v>24</v>
      </c>
      <c r="H2859" s="8634" t="s">
        <v>2773</v>
      </c>
      <c r="I2859" s="8634" t="s">
        <v>823</v>
      </c>
    </row>
    <row customHeight="1" ht="11.25">
      <c r="A2860" s="8634" t="s">
        <v>2182</v>
      </c>
      <c r="B2860" s="8634" t="s">
        <v>14</v>
      </c>
      <c r="C2860" s="8634" t="s">
        <v>2997</v>
      </c>
      <c r="D2860" s="8634" t="s">
        <v>2998</v>
      </c>
      <c r="E2860" s="8634" t="s">
        <v>2999</v>
      </c>
      <c r="F2860" s="8634" t="s">
        <v>2322</v>
      </c>
      <c r="G2860" s="8634" t="s">
        <v>24</v>
      </c>
      <c r="H2860" s="8634" t="s">
        <v>3000</v>
      </c>
      <c r="I2860" s="8634" t="s">
        <v>823</v>
      </c>
    </row>
    <row customHeight="1" ht="11.25">
      <c r="A2861" s="8634" t="s">
        <v>2182</v>
      </c>
      <c r="B2861" s="8634" t="s">
        <v>14</v>
      </c>
      <c r="C2861" s="8634" t="s">
        <v>6627</v>
      </c>
      <c r="D2861" s="8634" t="s">
        <v>6628</v>
      </c>
      <c r="E2861" s="8634" t="s">
        <v>6629</v>
      </c>
      <c r="F2861" s="8634" t="s">
        <v>2213</v>
      </c>
      <c r="G2861" s="8634" t="s">
        <v>24</v>
      </c>
      <c r="H2861" s="8634" t="s">
        <v>2993</v>
      </c>
      <c r="I2861" s="8634" t="s">
        <v>823</v>
      </c>
    </row>
    <row customHeight="1" ht="11.25">
      <c r="A2862" s="8634" t="s">
        <v>2182</v>
      </c>
      <c r="B2862" s="8634" t="s">
        <v>14</v>
      </c>
      <c r="C2862" s="8634" t="s">
        <v>6630</v>
      </c>
      <c r="D2862" s="8634" t="s">
        <v>6631</v>
      </c>
      <c r="E2862" s="8634" t="s">
        <v>6250</v>
      </c>
      <c r="F2862" s="8634" t="s">
        <v>6039</v>
      </c>
      <c r="G2862" s="8634" t="s">
        <v>24</v>
      </c>
      <c r="H2862" s="8634" t="s">
        <v>24</v>
      </c>
      <c r="I2862" s="8634" t="s">
        <v>823</v>
      </c>
    </row>
    <row customHeight="1" ht="11.25">
      <c r="A2863" s="8634" t="s">
        <v>2182</v>
      </c>
      <c r="B2863" s="8634" t="s">
        <v>14</v>
      </c>
      <c r="C2863" s="8634" t="s">
        <v>3008</v>
      </c>
      <c r="D2863" s="8634" t="s">
        <v>3009</v>
      </c>
      <c r="E2863" s="8634" t="s">
        <v>3010</v>
      </c>
      <c r="F2863" s="8634" t="s">
        <v>3011</v>
      </c>
      <c r="G2863" s="8634" t="s">
        <v>3012</v>
      </c>
      <c r="H2863" s="8634" t="s">
        <v>24</v>
      </c>
      <c r="I2863" s="8634" t="s">
        <v>823</v>
      </c>
    </row>
    <row customHeight="1" ht="11.25">
      <c r="A2864" s="8634" t="s">
        <v>2182</v>
      </c>
      <c r="B2864" s="8634" t="s">
        <v>14</v>
      </c>
      <c r="C2864" s="8634" t="s">
        <v>3018</v>
      </c>
      <c r="D2864" s="8634" t="s">
        <v>3019</v>
      </c>
      <c r="E2864" s="8634" t="s">
        <v>3020</v>
      </c>
      <c r="F2864" s="8634" t="s">
        <v>2389</v>
      </c>
      <c r="G2864" s="8634" t="s">
        <v>3021</v>
      </c>
      <c r="H2864" s="8634" t="s">
        <v>24</v>
      </c>
      <c r="I2864" s="8634" t="s">
        <v>823</v>
      </c>
    </row>
    <row customHeight="1" ht="11.25">
      <c r="A2865" s="8634" t="s">
        <v>2182</v>
      </c>
      <c r="B2865" s="8634" t="s">
        <v>14</v>
      </c>
      <c r="C2865" s="8634" t="s">
        <v>3022</v>
      </c>
      <c r="D2865" s="8634" t="s">
        <v>3023</v>
      </c>
      <c r="E2865" s="8634" t="s">
        <v>3024</v>
      </c>
      <c r="F2865" s="8634" t="s">
        <v>2854</v>
      </c>
      <c r="G2865" s="8634" t="s">
        <v>3025</v>
      </c>
      <c r="H2865" s="8634" t="s">
        <v>24</v>
      </c>
      <c r="I2865" s="8634" t="s">
        <v>823</v>
      </c>
    </row>
    <row customHeight="1" ht="11.25">
      <c r="A2866" s="8634" t="s">
        <v>2182</v>
      </c>
      <c r="B2866" s="8634" t="s">
        <v>14</v>
      </c>
      <c r="C2866" s="8634" t="s">
        <v>3033</v>
      </c>
      <c r="D2866" s="8634" t="s">
        <v>3034</v>
      </c>
      <c r="E2866" s="8634" t="s">
        <v>3035</v>
      </c>
      <c r="F2866" s="8634" t="s">
        <v>2398</v>
      </c>
      <c r="G2866" s="8634" t="s">
        <v>3036</v>
      </c>
      <c r="H2866" s="8634" t="s">
        <v>24</v>
      </c>
      <c r="I2866" s="8634" t="s">
        <v>823</v>
      </c>
    </row>
    <row customHeight="1" ht="11.25">
      <c r="A2867" s="8634" t="s">
        <v>2182</v>
      </c>
      <c r="B2867" s="8634" t="s">
        <v>14</v>
      </c>
      <c r="C2867" s="8634" t="s">
        <v>6639</v>
      </c>
      <c r="D2867" s="8634" t="s">
        <v>6640</v>
      </c>
      <c r="E2867" s="8634" t="s">
        <v>6641</v>
      </c>
      <c r="F2867" s="8634" t="s">
        <v>2218</v>
      </c>
      <c r="G2867" s="8634" t="s">
        <v>6642</v>
      </c>
      <c r="H2867" s="8634" t="s">
        <v>6643</v>
      </c>
      <c r="I2867" s="8634" t="s">
        <v>823</v>
      </c>
    </row>
    <row customHeight="1" ht="11.25">
      <c r="A2868" s="8634" t="s">
        <v>2182</v>
      </c>
      <c r="B2868" s="8634" t="s">
        <v>14</v>
      </c>
      <c r="C2868" s="8634" t="s">
        <v>6644</v>
      </c>
      <c r="D2868" s="8634" t="s">
        <v>6645</v>
      </c>
      <c r="E2868" s="8634" t="s">
        <v>6646</v>
      </c>
      <c r="F2868" s="8634" t="s">
        <v>2411</v>
      </c>
      <c r="G2868" s="8634" t="s">
        <v>24</v>
      </c>
      <c r="H2868" s="8634" t="s">
        <v>24</v>
      </c>
      <c r="I2868" s="8634" t="s">
        <v>823</v>
      </c>
    </row>
    <row customHeight="1" ht="11.25">
      <c r="A2869" s="8634" t="s">
        <v>2182</v>
      </c>
      <c r="B2869" s="8634" t="s">
        <v>14</v>
      </c>
      <c r="C2869" s="8634" t="s">
        <v>6279</v>
      </c>
      <c r="D2869" s="8634" t="s">
        <v>6280</v>
      </c>
      <c r="E2869" s="8634" t="s">
        <v>6281</v>
      </c>
      <c r="F2869" s="8634" t="s">
        <v>2334</v>
      </c>
      <c r="G2869" s="8634" t="s">
        <v>24</v>
      </c>
      <c r="H2869" s="8634" t="s">
        <v>2187</v>
      </c>
      <c r="I2869" s="8634" t="s">
        <v>823</v>
      </c>
    </row>
    <row customHeight="1" ht="11.25">
      <c r="A2870" s="8634" t="s">
        <v>2182</v>
      </c>
      <c r="B2870" s="8634" t="s">
        <v>14</v>
      </c>
      <c r="C2870" s="8634" t="s">
        <v>6282</v>
      </c>
      <c r="D2870" s="8634" t="s">
        <v>6283</v>
      </c>
      <c r="E2870" s="8634" t="s">
        <v>6284</v>
      </c>
      <c r="F2870" s="8634" t="s">
        <v>2334</v>
      </c>
      <c r="G2870" s="8634" t="s">
        <v>6285</v>
      </c>
      <c r="H2870" s="8634" t="s">
        <v>2187</v>
      </c>
      <c r="I2870" s="8634" t="s">
        <v>823</v>
      </c>
    </row>
    <row customHeight="1" ht="11.25">
      <c r="A2871" s="8634" t="s">
        <v>2182</v>
      </c>
      <c r="B2871" s="8634" t="s">
        <v>14</v>
      </c>
      <c r="C2871" s="8634" t="s">
        <v>6651</v>
      </c>
      <c r="D2871" s="8634" t="s">
        <v>6652</v>
      </c>
      <c r="E2871" s="8634" t="s">
        <v>2185</v>
      </c>
      <c r="F2871" s="8634" t="s">
        <v>5723</v>
      </c>
      <c r="G2871" s="8634" t="s">
        <v>24</v>
      </c>
      <c r="H2871" s="8634" t="s">
        <v>2773</v>
      </c>
      <c r="I2871" s="8634" t="s">
        <v>823</v>
      </c>
    </row>
    <row customHeight="1" ht="11.25">
      <c r="A2872" s="8634" t="s">
        <v>2182</v>
      </c>
      <c r="B2872" s="8634" t="s">
        <v>14</v>
      </c>
      <c r="C2872" s="8634" t="s">
        <v>6286</v>
      </c>
      <c r="D2872" s="8634" t="s">
        <v>6287</v>
      </c>
      <c r="E2872" s="8634" t="s">
        <v>6288</v>
      </c>
      <c r="F2872" s="8634" t="s">
        <v>2349</v>
      </c>
      <c r="G2872" s="8634" t="s">
        <v>24</v>
      </c>
      <c r="H2872" s="8634" t="s">
        <v>2187</v>
      </c>
      <c r="I2872" s="8634" t="s">
        <v>823</v>
      </c>
    </row>
    <row customHeight="1" ht="11.25">
      <c r="A2873" s="8634" t="s">
        <v>2182</v>
      </c>
      <c r="B2873" s="8634" t="s">
        <v>14</v>
      </c>
      <c r="C2873" s="8634" t="s">
        <v>6656</v>
      </c>
      <c r="D2873" s="8634" t="s">
        <v>6657</v>
      </c>
      <c r="E2873" s="8634" t="s">
        <v>6658</v>
      </c>
      <c r="F2873" s="8634" t="s">
        <v>2492</v>
      </c>
      <c r="G2873" s="8634" t="s">
        <v>24</v>
      </c>
      <c r="H2873" s="8634" t="s">
        <v>24</v>
      </c>
      <c r="I2873" s="8634" t="s">
        <v>823</v>
      </c>
    </row>
    <row customHeight="1" ht="11.25">
      <c r="A2874" s="8634" t="s">
        <v>2182</v>
      </c>
      <c r="B2874" s="8634" t="s">
        <v>14</v>
      </c>
      <c r="C2874" s="8634" t="s">
        <v>6659</v>
      </c>
      <c r="D2874" s="8634" t="s">
        <v>6660</v>
      </c>
      <c r="E2874" s="8634" t="s">
        <v>6661</v>
      </c>
      <c r="F2874" s="8634" t="s">
        <v>2284</v>
      </c>
      <c r="G2874" s="8634" t="s">
        <v>6662</v>
      </c>
      <c r="H2874" s="8634" t="s">
        <v>24</v>
      </c>
      <c r="I2874" s="8634" t="s">
        <v>823</v>
      </c>
    </row>
    <row customHeight="1" ht="11.25">
      <c r="A2875" s="8634" t="s">
        <v>2182</v>
      </c>
      <c r="B2875" s="8634" t="s">
        <v>14</v>
      </c>
      <c r="C2875" s="8634" t="s">
        <v>7894</v>
      </c>
      <c r="D2875" s="8634" t="s">
        <v>7895</v>
      </c>
      <c r="E2875" s="8634" t="s">
        <v>7896</v>
      </c>
      <c r="F2875" s="8634" t="s">
        <v>2626</v>
      </c>
      <c r="G2875" s="8634" t="s">
        <v>24</v>
      </c>
      <c r="H2875" s="8634" t="s">
        <v>2187</v>
      </c>
      <c r="I2875" s="8634" t="s">
        <v>823</v>
      </c>
    </row>
    <row customHeight="1" ht="11.25">
      <c r="A2876" s="8634" t="s">
        <v>2182</v>
      </c>
      <c r="B2876" s="8634" t="s">
        <v>14</v>
      </c>
      <c r="C2876" s="8634" t="s">
        <v>6663</v>
      </c>
      <c r="D2876" s="8634" t="s">
        <v>6664</v>
      </c>
      <c r="E2876" s="8634" t="s">
        <v>6665</v>
      </c>
      <c r="F2876" s="8634" t="s">
        <v>3437</v>
      </c>
      <c r="G2876" s="8634" t="s">
        <v>6666</v>
      </c>
      <c r="H2876" s="8634" t="s">
        <v>24</v>
      </c>
      <c r="I2876" s="8634" t="s">
        <v>823</v>
      </c>
    </row>
    <row customHeight="1" ht="11.25">
      <c r="A2877" s="8634" t="s">
        <v>2182</v>
      </c>
      <c r="B2877" s="8634" t="s">
        <v>14</v>
      </c>
      <c r="C2877" s="8634" t="s">
        <v>3071</v>
      </c>
      <c r="D2877" s="8634" t="s">
        <v>3072</v>
      </c>
      <c r="E2877" s="8634" t="s">
        <v>3073</v>
      </c>
      <c r="F2877" s="8634" t="s">
        <v>2250</v>
      </c>
      <c r="G2877" s="8634" t="s">
        <v>24</v>
      </c>
      <c r="H2877" s="8634" t="s">
        <v>24</v>
      </c>
      <c r="I2877" s="8634" t="s">
        <v>823</v>
      </c>
    </row>
    <row customHeight="1" ht="11.25">
      <c r="A2878" s="8634" t="s">
        <v>2182</v>
      </c>
      <c r="B2878" s="8634" t="s">
        <v>14</v>
      </c>
      <c r="C2878" s="8634" t="s">
        <v>3094</v>
      </c>
      <c r="D2878" s="8634" t="s">
        <v>3095</v>
      </c>
      <c r="E2878" s="8634" t="s">
        <v>3096</v>
      </c>
      <c r="F2878" s="8634" t="s">
        <v>2213</v>
      </c>
      <c r="G2878" s="8634" t="s">
        <v>24</v>
      </c>
      <c r="H2878" s="8634" t="s">
        <v>2187</v>
      </c>
      <c r="I2878" s="8634" t="s">
        <v>823</v>
      </c>
    </row>
    <row customHeight="1" ht="11.25">
      <c r="A2879" s="8634" t="s">
        <v>2182</v>
      </c>
      <c r="B2879" s="8634" t="s">
        <v>14</v>
      </c>
      <c r="C2879" s="8634" t="s">
        <v>3101</v>
      </c>
      <c r="D2879" s="8634" t="s">
        <v>3102</v>
      </c>
      <c r="E2879" s="8634" t="s">
        <v>3103</v>
      </c>
      <c r="F2879" s="8634" t="s">
        <v>2600</v>
      </c>
      <c r="G2879" s="8634" t="s">
        <v>3104</v>
      </c>
      <c r="H2879" s="8634" t="s">
        <v>24</v>
      </c>
      <c r="I2879" s="8634" t="s">
        <v>823</v>
      </c>
    </row>
    <row customHeight="1" ht="11.25">
      <c r="A2880" s="8634" t="s">
        <v>2182</v>
      </c>
      <c r="B2880" s="8634" t="s">
        <v>14</v>
      </c>
      <c r="C2880" s="8634" t="s">
        <v>6669</v>
      </c>
      <c r="D2880" s="8634" t="s">
        <v>6670</v>
      </c>
      <c r="E2880" s="8634" t="s">
        <v>6671</v>
      </c>
      <c r="F2880" s="8634" t="s">
        <v>2477</v>
      </c>
      <c r="G2880" s="8634" t="s">
        <v>24</v>
      </c>
      <c r="H2880" s="8634" t="s">
        <v>3916</v>
      </c>
      <c r="I2880" s="8634" t="s">
        <v>823</v>
      </c>
    </row>
    <row customHeight="1" ht="11.25">
      <c r="A2881" s="8634" t="s">
        <v>2182</v>
      </c>
      <c r="B2881" s="8634" t="s">
        <v>14</v>
      </c>
      <c r="C2881" s="8634" t="s">
        <v>3116</v>
      </c>
      <c r="D2881" s="8634" t="s">
        <v>3117</v>
      </c>
      <c r="E2881" s="8634" t="s">
        <v>3118</v>
      </c>
      <c r="F2881" s="8634" t="s">
        <v>3119</v>
      </c>
      <c r="G2881" s="8634" t="s">
        <v>24</v>
      </c>
      <c r="H2881" s="8634" t="s">
        <v>24</v>
      </c>
      <c r="I2881" s="8634" t="s">
        <v>823</v>
      </c>
    </row>
    <row customHeight="1" ht="11.25">
      <c r="A2882" s="8634" t="s">
        <v>2182</v>
      </c>
      <c r="B2882" s="8634" t="s">
        <v>14</v>
      </c>
      <c r="C2882" s="8634" t="s">
        <v>6685</v>
      </c>
      <c r="D2882" s="8634" t="s">
        <v>6686</v>
      </c>
      <c r="E2882" s="8634" t="s">
        <v>6687</v>
      </c>
      <c r="F2882" s="8634" t="s">
        <v>2492</v>
      </c>
      <c r="G2882" s="8634" t="s">
        <v>24</v>
      </c>
      <c r="H2882" s="8634" t="s">
        <v>24</v>
      </c>
      <c r="I2882" s="8634" t="s">
        <v>823</v>
      </c>
    </row>
    <row customHeight="1" ht="11.25">
      <c r="A2883" s="8634" t="s">
        <v>2182</v>
      </c>
      <c r="B2883" s="8634" t="s">
        <v>14</v>
      </c>
      <c r="C2883" s="8634" t="s">
        <v>7897</v>
      </c>
      <c r="D2883" s="8634" t="s">
        <v>7898</v>
      </c>
      <c r="E2883" s="8634" t="s">
        <v>7899</v>
      </c>
      <c r="F2883" s="8634" t="s">
        <v>3437</v>
      </c>
      <c r="G2883" s="8634" t="s">
        <v>24</v>
      </c>
      <c r="H2883" s="8634" t="s">
        <v>7900</v>
      </c>
      <c r="I2883" s="8634" t="s">
        <v>823</v>
      </c>
    </row>
    <row customHeight="1" ht="11.25">
      <c r="A2884" s="8634" t="s">
        <v>2182</v>
      </c>
      <c r="B2884" s="8634" t="s">
        <v>14</v>
      </c>
      <c r="C2884" s="8634" t="s">
        <v>6688</v>
      </c>
      <c r="D2884" s="8634" t="s">
        <v>6689</v>
      </c>
      <c r="E2884" s="8634" t="s">
        <v>6690</v>
      </c>
      <c r="F2884" s="8634" t="s">
        <v>2626</v>
      </c>
      <c r="G2884" s="8634" t="s">
        <v>24</v>
      </c>
      <c r="H2884" s="8634" t="s">
        <v>24</v>
      </c>
      <c r="I2884" s="8634" t="s">
        <v>823</v>
      </c>
    </row>
    <row customHeight="1" ht="11.25">
      <c r="A2885" s="8634" t="s">
        <v>2182</v>
      </c>
      <c r="B2885" s="8634" t="s">
        <v>14</v>
      </c>
      <c r="C2885" s="8634" t="s">
        <v>7901</v>
      </c>
      <c r="D2885" s="8634" t="s">
        <v>7902</v>
      </c>
      <c r="E2885" s="8634" t="s">
        <v>7903</v>
      </c>
      <c r="F2885" s="8634" t="s">
        <v>2186</v>
      </c>
      <c r="G2885" s="8634" t="s">
        <v>24</v>
      </c>
      <c r="H2885" s="8634" t="s">
        <v>24</v>
      </c>
      <c r="I2885" s="8634" t="s">
        <v>823</v>
      </c>
    </row>
    <row customHeight="1" ht="11.25">
      <c r="A2886" s="8634" t="s">
        <v>2182</v>
      </c>
      <c r="B2886" s="8634" t="s">
        <v>14</v>
      </c>
      <c r="C2886" s="8634" t="s">
        <v>3135</v>
      </c>
      <c r="D2886" s="8634" t="s">
        <v>3136</v>
      </c>
      <c r="E2886" s="8634" t="s">
        <v>3137</v>
      </c>
      <c r="F2886" s="8634" t="s">
        <v>2186</v>
      </c>
      <c r="G2886" s="8634" t="s">
        <v>3138</v>
      </c>
      <c r="H2886" s="8634" t="s">
        <v>2238</v>
      </c>
      <c r="I2886" s="8634" t="s">
        <v>823</v>
      </c>
    </row>
    <row customHeight="1" ht="11.25">
      <c r="A2887" s="8634" t="s">
        <v>2182</v>
      </c>
      <c r="B2887" s="8634" t="s">
        <v>14</v>
      </c>
      <c r="C2887" s="8634" t="s">
        <v>3139</v>
      </c>
      <c r="D2887" s="8634" t="s">
        <v>3140</v>
      </c>
      <c r="E2887" s="8634" t="s">
        <v>3141</v>
      </c>
      <c r="F2887" s="8634" t="s">
        <v>2344</v>
      </c>
      <c r="G2887" s="8634" t="s">
        <v>24</v>
      </c>
      <c r="H2887" s="8634" t="s">
        <v>3142</v>
      </c>
      <c r="I2887" s="8634" t="s">
        <v>823</v>
      </c>
    </row>
    <row customHeight="1" ht="11.25">
      <c r="A2888" s="8634" t="s">
        <v>2182</v>
      </c>
      <c r="B2888" s="8634" t="s">
        <v>14</v>
      </c>
      <c r="C2888" s="8634" t="s">
        <v>6694</v>
      </c>
      <c r="D2888" s="8634" t="s">
        <v>6695</v>
      </c>
      <c r="E2888" s="8634" t="s">
        <v>3141</v>
      </c>
      <c r="F2888" s="8634" t="s">
        <v>6696</v>
      </c>
      <c r="G2888" s="8634" t="s">
        <v>24</v>
      </c>
      <c r="H2888" s="8634" t="s">
        <v>3142</v>
      </c>
      <c r="I2888" s="8634" t="s">
        <v>823</v>
      </c>
    </row>
    <row customHeight="1" ht="11.25">
      <c r="A2889" s="8634" t="s">
        <v>2182</v>
      </c>
      <c r="B2889" s="8634" t="s">
        <v>14</v>
      </c>
      <c r="C2889" s="8634" t="s">
        <v>6697</v>
      </c>
      <c r="D2889" s="8634" t="s">
        <v>6698</v>
      </c>
      <c r="E2889" s="8634" t="s">
        <v>6699</v>
      </c>
      <c r="F2889" s="8634" t="s">
        <v>2186</v>
      </c>
      <c r="G2889" s="8634" t="s">
        <v>24</v>
      </c>
      <c r="H2889" s="8634" t="s">
        <v>2773</v>
      </c>
      <c r="I2889" s="8634" t="s">
        <v>823</v>
      </c>
    </row>
    <row customHeight="1" ht="11.25">
      <c r="A2890" s="8634" t="s">
        <v>2182</v>
      </c>
      <c r="B2890" s="8634" t="s">
        <v>14</v>
      </c>
      <c r="C2890" s="8634" t="s">
        <v>6703</v>
      </c>
      <c r="D2890" s="8634" t="s">
        <v>3149</v>
      </c>
      <c r="E2890" s="8634" t="s">
        <v>6704</v>
      </c>
      <c r="F2890" s="8634" t="s">
        <v>6705</v>
      </c>
      <c r="G2890" s="8634" t="s">
        <v>24</v>
      </c>
      <c r="H2890" s="8634" t="s">
        <v>2187</v>
      </c>
      <c r="I2890" s="8634" t="s">
        <v>823</v>
      </c>
    </row>
    <row customHeight="1" ht="11.25">
      <c r="A2891" s="8634" t="s">
        <v>2182</v>
      </c>
      <c r="B2891" s="8634" t="s">
        <v>14</v>
      </c>
      <c r="C2891" s="8634" t="s">
        <v>3151</v>
      </c>
      <c r="D2891" s="8634" t="s">
        <v>3152</v>
      </c>
      <c r="E2891" s="8634" t="s">
        <v>3153</v>
      </c>
      <c r="F2891" s="8634" t="s">
        <v>2218</v>
      </c>
      <c r="G2891" s="8634" t="s">
        <v>24</v>
      </c>
      <c r="H2891" s="8634" t="s">
        <v>24</v>
      </c>
      <c r="I2891" s="8634" t="s">
        <v>823</v>
      </c>
    </row>
    <row customHeight="1" ht="11.25">
      <c r="A2892" s="8634" t="s">
        <v>2182</v>
      </c>
      <c r="B2892" s="8634" t="s">
        <v>14</v>
      </c>
      <c r="C2892" s="8634" t="s">
        <v>7904</v>
      </c>
      <c r="D2892" s="8634" t="s">
        <v>7905</v>
      </c>
      <c r="E2892" s="8634" t="s">
        <v>7906</v>
      </c>
      <c r="F2892" s="8634" t="s">
        <v>3130</v>
      </c>
      <c r="G2892" s="8634" t="s">
        <v>24</v>
      </c>
      <c r="H2892" s="8634" t="s">
        <v>2187</v>
      </c>
      <c r="I2892" s="8634" t="s">
        <v>823</v>
      </c>
    </row>
    <row customHeight="1" ht="11.25">
      <c r="A2893" s="8634" t="s">
        <v>2182</v>
      </c>
      <c r="B2893" s="8634" t="s">
        <v>14</v>
      </c>
      <c r="C2893" s="8634" t="s">
        <v>3158</v>
      </c>
      <c r="D2893" s="8634" t="s">
        <v>3159</v>
      </c>
      <c r="E2893" s="8634" t="s">
        <v>3160</v>
      </c>
      <c r="F2893" s="8634" t="s">
        <v>2213</v>
      </c>
      <c r="G2893" s="8634" t="s">
        <v>3161</v>
      </c>
      <c r="H2893" s="8634" t="s">
        <v>24</v>
      </c>
      <c r="I2893" s="8634" t="s">
        <v>823</v>
      </c>
    </row>
    <row customHeight="1" ht="11.25">
      <c r="A2894" s="8634" t="s">
        <v>2182</v>
      </c>
      <c r="B2894" s="8634" t="s">
        <v>14</v>
      </c>
      <c r="C2894" s="8634" t="s">
        <v>6712</v>
      </c>
      <c r="D2894" s="8634" t="s">
        <v>6713</v>
      </c>
      <c r="E2894" s="8634" t="s">
        <v>5685</v>
      </c>
      <c r="F2894" s="8634" t="s">
        <v>4103</v>
      </c>
      <c r="G2894" s="8634" t="s">
        <v>24</v>
      </c>
      <c r="H2894" s="8634" t="s">
        <v>2773</v>
      </c>
      <c r="I2894" s="8634" t="s">
        <v>823</v>
      </c>
    </row>
    <row customHeight="1" ht="11.25">
      <c r="A2895" s="8634" t="s">
        <v>2182</v>
      </c>
      <c r="B2895" s="8634" t="s">
        <v>14</v>
      </c>
      <c r="C2895" s="8634" t="s">
        <v>6717</v>
      </c>
      <c r="D2895" s="8634" t="s">
        <v>6718</v>
      </c>
      <c r="E2895" s="8634" t="s">
        <v>6719</v>
      </c>
      <c r="F2895" s="8634" t="s">
        <v>6720</v>
      </c>
      <c r="G2895" s="8634" t="s">
        <v>24</v>
      </c>
      <c r="H2895" s="8634" t="s">
        <v>6721</v>
      </c>
      <c r="I2895" s="8634" t="s">
        <v>823</v>
      </c>
    </row>
    <row customHeight="1" ht="11.25">
      <c r="A2896" s="8634" t="s">
        <v>2182</v>
      </c>
      <c r="B2896" s="8634" t="s">
        <v>14</v>
      </c>
      <c r="C2896" s="8634" t="s">
        <v>3181</v>
      </c>
      <c r="D2896" s="8634" t="s">
        <v>3182</v>
      </c>
      <c r="E2896" s="8634" t="s">
        <v>3183</v>
      </c>
      <c r="F2896" s="8634" t="s">
        <v>2186</v>
      </c>
      <c r="G2896" s="8634" t="s">
        <v>24</v>
      </c>
      <c r="H2896" s="8634" t="s">
        <v>24</v>
      </c>
      <c r="I2896" s="8634" t="s">
        <v>823</v>
      </c>
    </row>
    <row customHeight="1" ht="11.25">
      <c r="A2897" s="8634" t="s">
        <v>2182</v>
      </c>
      <c r="B2897" s="8634" t="s">
        <v>14</v>
      </c>
      <c r="C2897" s="8634" t="s">
        <v>7907</v>
      </c>
      <c r="D2897" s="8634" t="s">
        <v>7908</v>
      </c>
      <c r="E2897" s="8634" t="s">
        <v>7909</v>
      </c>
      <c r="F2897" s="8634" t="s">
        <v>2228</v>
      </c>
      <c r="G2897" s="8634" t="s">
        <v>24</v>
      </c>
      <c r="H2897" s="8634" t="s">
        <v>7910</v>
      </c>
      <c r="I2897" s="8634" t="s">
        <v>823</v>
      </c>
    </row>
    <row customHeight="1" ht="11.25">
      <c r="A2898" s="8634" t="s">
        <v>2182</v>
      </c>
      <c r="B2898" s="8634" t="s">
        <v>14</v>
      </c>
      <c r="C2898" s="8634" t="s">
        <v>6729</v>
      </c>
      <c r="D2898" s="8634" t="s">
        <v>6730</v>
      </c>
      <c r="E2898" s="8634" t="s">
        <v>6731</v>
      </c>
      <c r="F2898" s="8634" t="s">
        <v>2492</v>
      </c>
      <c r="G2898" s="8634" t="s">
        <v>24</v>
      </c>
      <c r="H2898" s="8634" t="s">
        <v>24</v>
      </c>
      <c r="I2898" s="8634" t="s">
        <v>823</v>
      </c>
    </row>
    <row customHeight="1" ht="11.25">
      <c r="A2899" s="8634" t="s">
        <v>2182</v>
      </c>
      <c r="B2899" s="8634" t="s">
        <v>14</v>
      </c>
      <c r="C2899" s="8634" t="s">
        <v>7911</v>
      </c>
      <c r="D2899" s="8634" t="s">
        <v>7912</v>
      </c>
      <c r="E2899" s="8634" t="s">
        <v>7913</v>
      </c>
      <c r="F2899" s="8634" t="s">
        <v>2228</v>
      </c>
      <c r="G2899" s="8634" t="s">
        <v>24</v>
      </c>
      <c r="H2899" s="8634" t="s">
        <v>2187</v>
      </c>
      <c r="I2899" s="8634" t="s">
        <v>823</v>
      </c>
    </row>
    <row customHeight="1" ht="11.25">
      <c r="A2900" s="8634" t="s">
        <v>2182</v>
      </c>
      <c r="B2900" s="8634" t="s">
        <v>14</v>
      </c>
      <c r="C2900" s="8634" t="s">
        <v>7914</v>
      </c>
      <c r="D2900" s="8634" t="s">
        <v>7915</v>
      </c>
      <c r="E2900" s="8634" t="s">
        <v>7916</v>
      </c>
      <c r="F2900" s="8634" t="s">
        <v>2890</v>
      </c>
      <c r="G2900" s="8634" t="s">
        <v>7917</v>
      </c>
      <c r="H2900" s="8634" t="s">
        <v>24</v>
      </c>
      <c r="I2900" s="8634" t="s">
        <v>823</v>
      </c>
    </row>
    <row customHeight="1" ht="11.25">
      <c r="A2901" s="8634" t="s">
        <v>2182</v>
      </c>
      <c r="B2901" s="8634" t="s">
        <v>14</v>
      </c>
      <c r="C2901" s="8634" t="s">
        <v>7918</v>
      </c>
      <c r="D2901" s="8634" t="s">
        <v>7919</v>
      </c>
      <c r="E2901" s="8634" t="s">
        <v>7920</v>
      </c>
      <c r="F2901" s="8634" t="s">
        <v>7224</v>
      </c>
      <c r="G2901" s="8634" t="s">
        <v>7921</v>
      </c>
      <c r="H2901" s="8634" t="s">
        <v>24</v>
      </c>
      <c r="I2901" s="8634" t="s">
        <v>823</v>
      </c>
    </row>
    <row customHeight="1" ht="11.25">
      <c r="A2902" s="8634" t="s">
        <v>2182</v>
      </c>
      <c r="B2902" s="8634" t="s">
        <v>14</v>
      </c>
      <c r="C2902" s="8634" t="s">
        <v>7922</v>
      </c>
      <c r="D2902" s="8634" t="s">
        <v>7923</v>
      </c>
      <c r="E2902" s="8634" t="s">
        <v>7924</v>
      </c>
      <c r="F2902" s="8634" t="s">
        <v>2322</v>
      </c>
      <c r="G2902" s="8634" t="s">
        <v>7925</v>
      </c>
      <c r="H2902" s="8634" t="s">
        <v>7926</v>
      </c>
      <c r="I2902" s="8634" t="s">
        <v>823</v>
      </c>
    </row>
    <row customHeight="1" ht="11.25">
      <c r="A2903" s="8634" t="s">
        <v>2182</v>
      </c>
      <c r="B2903" s="8634" t="s">
        <v>14</v>
      </c>
      <c r="C2903" s="8634" t="s">
        <v>7927</v>
      </c>
      <c r="D2903" s="8634" t="s">
        <v>7928</v>
      </c>
      <c r="E2903" s="8634" t="s">
        <v>7929</v>
      </c>
      <c r="F2903" s="8634" t="s">
        <v>2284</v>
      </c>
      <c r="G2903" s="8634" t="s">
        <v>24</v>
      </c>
      <c r="H2903" s="8634" t="s">
        <v>7930</v>
      </c>
      <c r="I2903" s="8634" t="s">
        <v>823</v>
      </c>
    </row>
    <row customHeight="1" ht="11.25">
      <c r="A2904" s="8634" t="s">
        <v>2182</v>
      </c>
      <c r="B2904" s="8634" t="s">
        <v>14</v>
      </c>
      <c r="C2904" s="8634" t="s">
        <v>6747</v>
      </c>
      <c r="D2904" s="8634" t="s">
        <v>6748</v>
      </c>
      <c r="E2904" s="8634" t="s">
        <v>3160</v>
      </c>
      <c r="F2904" s="8634" t="s">
        <v>6749</v>
      </c>
      <c r="G2904" s="8634" t="s">
        <v>24</v>
      </c>
      <c r="H2904" s="8634" t="s">
        <v>2187</v>
      </c>
      <c r="I2904" s="8634" t="s">
        <v>823</v>
      </c>
    </row>
    <row customHeight="1" ht="11.25">
      <c r="A2905" s="8634" t="s">
        <v>2182</v>
      </c>
      <c r="B2905" s="8634" t="s">
        <v>14</v>
      </c>
      <c r="C2905" s="8634" t="s">
        <v>6292</v>
      </c>
      <c r="D2905" s="8634" t="s">
        <v>6293</v>
      </c>
      <c r="E2905" s="8634" t="s">
        <v>6294</v>
      </c>
      <c r="F2905" s="8634" t="s">
        <v>2460</v>
      </c>
      <c r="G2905" s="8634" t="s">
        <v>24</v>
      </c>
      <c r="H2905" s="8634" t="s">
        <v>2187</v>
      </c>
      <c r="I2905" s="8634" t="s">
        <v>823</v>
      </c>
    </row>
    <row customHeight="1" ht="11.25">
      <c r="A2906" s="8634" t="s">
        <v>2182</v>
      </c>
      <c r="B2906" s="8634" t="s">
        <v>14</v>
      </c>
      <c r="C2906" s="8634" t="s">
        <v>6754</v>
      </c>
      <c r="D2906" s="8634" t="s">
        <v>6755</v>
      </c>
      <c r="E2906" s="8634" t="s">
        <v>6756</v>
      </c>
      <c r="F2906" s="8634" t="s">
        <v>2563</v>
      </c>
      <c r="G2906" s="8634" t="s">
        <v>24</v>
      </c>
      <c r="H2906" s="8634" t="s">
        <v>24</v>
      </c>
      <c r="I2906" s="8634" t="s">
        <v>823</v>
      </c>
    </row>
    <row customHeight="1" ht="11.25">
      <c r="A2907" s="8634" t="s">
        <v>2182</v>
      </c>
      <c r="B2907" s="8634" t="s">
        <v>14</v>
      </c>
      <c r="C2907" s="8634" t="s">
        <v>3226</v>
      </c>
      <c r="D2907" s="8634" t="s">
        <v>3227</v>
      </c>
      <c r="E2907" s="8634" t="s">
        <v>3228</v>
      </c>
      <c r="F2907" s="8634" t="s">
        <v>2626</v>
      </c>
      <c r="G2907" s="8634" t="s">
        <v>24</v>
      </c>
      <c r="H2907" s="8634" t="s">
        <v>2187</v>
      </c>
      <c r="I2907" s="8634" t="s">
        <v>823</v>
      </c>
    </row>
    <row customHeight="1" ht="11.25">
      <c r="A2908" s="8634" t="s">
        <v>2182</v>
      </c>
      <c r="B2908" s="8634" t="s">
        <v>14</v>
      </c>
      <c r="C2908" s="8634" t="s">
        <v>3229</v>
      </c>
      <c r="D2908" s="8634" t="s">
        <v>3230</v>
      </c>
      <c r="E2908" s="8634" t="s">
        <v>3231</v>
      </c>
      <c r="F2908" s="8634" t="s">
        <v>2354</v>
      </c>
      <c r="G2908" s="8634" t="s">
        <v>24</v>
      </c>
      <c r="H2908" s="8634" t="s">
        <v>2187</v>
      </c>
      <c r="I2908" s="8634" t="s">
        <v>823</v>
      </c>
    </row>
    <row customHeight="1" ht="11.25">
      <c r="A2909" s="8634" t="s">
        <v>2182</v>
      </c>
      <c r="B2909" s="8634" t="s">
        <v>14</v>
      </c>
      <c r="C2909" s="8634" t="s">
        <v>3232</v>
      </c>
      <c r="D2909" s="8634" t="s">
        <v>3233</v>
      </c>
      <c r="E2909" s="8634" t="s">
        <v>3234</v>
      </c>
      <c r="F2909" s="8634" t="s">
        <v>3235</v>
      </c>
      <c r="G2909" s="8634" t="s">
        <v>24</v>
      </c>
      <c r="H2909" s="8634" t="s">
        <v>2187</v>
      </c>
      <c r="I2909" s="8634" t="s">
        <v>823</v>
      </c>
    </row>
    <row customHeight="1" ht="11.25">
      <c r="A2910" s="8634" t="s">
        <v>2182</v>
      </c>
      <c r="B2910" s="8634" t="s">
        <v>14</v>
      </c>
      <c r="C2910" s="8634" t="s">
        <v>6757</v>
      </c>
      <c r="D2910" s="8634" t="s">
        <v>3239</v>
      </c>
      <c r="E2910" s="8634" t="s">
        <v>6758</v>
      </c>
      <c r="F2910" s="8634" t="s">
        <v>2318</v>
      </c>
      <c r="G2910" s="8634" t="s">
        <v>24</v>
      </c>
      <c r="H2910" s="8634" t="s">
        <v>2773</v>
      </c>
      <c r="I2910" s="8634" t="s">
        <v>823</v>
      </c>
    </row>
    <row customHeight="1" ht="11.25">
      <c r="A2911" s="8634" t="s">
        <v>2182</v>
      </c>
      <c r="B2911" s="8634" t="s">
        <v>14</v>
      </c>
      <c r="C2911" s="8634" t="s">
        <v>6762</v>
      </c>
      <c r="D2911" s="8634" t="s">
        <v>6763</v>
      </c>
      <c r="E2911" s="8634" t="s">
        <v>6764</v>
      </c>
      <c r="F2911" s="8634" t="s">
        <v>575</v>
      </c>
      <c r="G2911" s="8634" t="s">
        <v>6765</v>
      </c>
      <c r="H2911" s="8634" t="s">
        <v>24</v>
      </c>
      <c r="I2911" s="8634" t="s">
        <v>823</v>
      </c>
    </row>
    <row customHeight="1" ht="11.25">
      <c r="A2912" s="8634" t="s">
        <v>2182</v>
      </c>
      <c r="B2912" s="8634" t="s">
        <v>14</v>
      </c>
      <c r="C2912" s="8634" t="s">
        <v>24</v>
      </c>
      <c r="D2912" s="8634" t="s">
        <v>3263</v>
      </c>
      <c r="E2912" s="8634" t="s">
        <v>3264</v>
      </c>
      <c r="F2912" s="8634" t="s">
        <v>2218</v>
      </c>
      <c r="G2912" s="8634" t="s">
        <v>24</v>
      </c>
      <c r="H2912" s="8634" t="s">
        <v>24</v>
      </c>
      <c r="I2912" s="8634" t="s">
        <v>823</v>
      </c>
    </row>
    <row customHeight="1" ht="11.25">
      <c r="A2913" s="8634" t="s">
        <v>2182</v>
      </c>
      <c r="B2913" s="8634" t="s">
        <v>14</v>
      </c>
      <c r="C2913" s="8634" t="s">
        <v>6769</v>
      </c>
      <c r="D2913" s="8634" t="s">
        <v>6770</v>
      </c>
      <c r="E2913" s="8634" t="s">
        <v>6771</v>
      </c>
      <c r="F2913" s="8634" t="s">
        <v>6772</v>
      </c>
      <c r="G2913" s="8634" t="s">
        <v>24</v>
      </c>
      <c r="H2913" s="8634" t="s">
        <v>24</v>
      </c>
      <c r="I2913" s="8634" t="s">
        <v>823</v>
      </c>
    </row>
    <row customHeight="1" ht="11.25">
      <c r="A2914" s="8634" t="s">
        <v>2182</v>
      </c>
      <c r="B2914" s="8634" t="s">
        <v>14</v>
      </c>
      <c r="C2914" s="8634" t="s">
        <v>3265</v>
      </c>
      <c r="D2914" s="8634" t="s">
        <v>3266</v>
      </c>
      <c r="E2914" s="8634" t="s">
        <v>3267</v>
      </c>
      <c r="F2914" s="8634" t="s">
        <v>2721</v>
      </c>
      <c r="G2914" s="8634" t="s">
        <v>24</v>
      </c>
      <c r="H2914" s="8634" t="s">
        <v>2993</v>
      </c>
      <c r="I2914" s="8634" t="s">
        <v>823</v>
      </c>
    </row>
    <row customHeight="1" ht="11.25">
      <c r="A2915" s="8634" t="s">
        <v>2182</v>
      </c>
      <c r="B2915" s="8634" t="s">
        <v>14</v>
      </c>
      <c r="C2915" s="8634" t="s">
        <v>3271</v>
      </c>
      <c r="D2915" s="8634" t="s">
        <v>3272</v>
      </c>
      <c r="E2915" s="8634" t="s">
        <v>3273</v>
      </c>
      <c r="F2915" s="8634" t="s">
        <v>2322</v>
      </c>
      <c r="G2915" s="8634" t="s">
        <v>24</v>
      </c>
      <c r="H2915" s="8634" t="s">
        <v>3274</v>
      </c>
      <c r="I2915" s="8634" t="s">
        <v>823</v>
      </c>
    </row>
    <row customHeight="1" ht="11.25">
      <c r="A2916" s="8634" t="s">
        <v>2182</v>
      </c>
      <c r="B2916" s="8634" t="s">
        <v>14</v>
      </c>
      <c r="C2916" s="8634" t="s">
        <v>3275</v>
      </c>
      <c r="D2916" s="8634" t="s">
        <v>3276</v>
      </c>
      <c r="E2916" s="8634" t="s">
        <v>3277</v>
      </c>
      <c r="F2916" s="8634" t="s">
        <v>3278</v>
      </c>
      <c r="G2916" s="8634" t="s">
        <v>3279</v>
      </c>
      <c r="H2916" s="8634" t="s">
        <v>24</v>
      </c>
      <c r="I2916" s="8634" t="s">
        <v>823</v>
      </c>
    </row>
    <row customHeight="1" ht="11.25">
      <c r="A2917" s="8634" t="s">
        <v>2182</v>
      </c>
      <c r="B2917" s="8634" t="s">
        <v>14</v>
      </c>
      <c r="C2917" s="8634" t="s">
        <v>3280</v>
      </c>
      <c r="D2917" s="8634" t="s">
        <v>3281</v>
      </c>
      <c r="E2917" s="8634" t="s">
        <v>3282</v>
      </c>
      <c r="F2917" s="8634" t="s">
        <v>2339</v>
      </c>
      <c r="G2917" s="8634" t="s">
        <v>24</v>
      </c>
      <c r="H2917" s="8634" t="s">
        <v>24</v>
      </c>
      <c r="I2917" s="8634" t="s">
        <v>823</v>
      </c>
    </row>
    <row customHeight="1" ht="11.25">
      <c r="A2918" s="8634" t="s">
        <v>2182</v>
      </c>
      <c r="B2918" s="8634" t="s">
        <v>14</v>
      </c>
      <c r="C2918" s="8634" t="s">
        <v>7931</v>
      </c>
      <c r="D2918" s="8634" t="s">
        <v>7932</v>
      </c>
      <c r="E2918" s="8634" t="s">
        <v>7933</v>
      </c>
      <c r="F2918" s="8634" t="s">
        <v>2492</v>
      </c>
      <c r="G2918" s="8634" t="s">
        <v>7934</v>
      </c>
      <c r="H2918" s="8634" t="s">
        <v>24</v>
      </c>
      <c r="I2918" s="8634" t="s">
        <v>823</v>
      </c>
    </row>
    <row customHeight="1" ht="11.25">
      <c r="A2919" s="8634" t="s">
        <v>2182</v>
      </c>
      <c r="B2919" s="8634" t="s">
        <v>14</v>
      </c>
      <c r="C2919" s="8634" t="s">
        <v>7935</v>
      </c>
      <c r="D2919" s="8634" t="s">
        <v>7936</v>
      </c>
      <c r="E2919" s="8634" t="s">
        <v>7937</v>
      </c>
      <c r="F2919" s="8634" t="s">
        <v>2213</v>
      </c>
      <c r="G2919" s="8634" t="s">
        <v>7938</v>
      </c>
      <c r="H2919" s="8634" t="s">
        <v>24</v>
      </c>
      <c r="I2919" s="8634" t="s">
        <v>823</v>
      </c>
    </row>
    <row customHeight="1" ht="11.25">
      <c r="A2920" s="8634" t="s">
        <v>2182</v>
      </c>
      <c r="B2920" s="8634" t="s">
        <v>14</v>
      </c>
      <c r="C2920" s="8634" t="s">
        <v>3300</v>
      </c>
      <c r="D2920" s="8634" t="s">
        <v>3301</v>
      </c>
      <c r="E2920" s="8634" t="s">
        <v>3302</v>
      </c>
      <c r="F2920" s="8634" t="s">
        <v>2411</v>
      </c>
      <c r="G2920" s="8634" t="s">
        <v>3303</v>
      </c>
      <c r="H2920" s="8634" t="s">
        <v>24</v>
      </c>
      <c r="I2920" s="8634" t="s">
        <v>823</v>
      </c>
    </row>
    <row customHeight="1" ht="11.25">
      <c r="A2921" s="8634" t="s">
        <v>2182</v>
      </c>
      <c r="B2921" s="8634" t="s">
        <v>14</v>
      </c>
      <c r="C2921" s="8634" t="s">
        <v>6773</v>
      </c>
      <c r="D2921" s="8634" t="s">
        <v>6774</v>
      </c>
      <c r="E2921" s="8634" t="s">
        <v>6775</v>
      </c>
      <c r="F2921" s="8634" t="s">
        <v>2411</v>
      </c>
      <c r="G2921" s="8634" t="s">
        <v>6776</v>
      </c>
      <c r="H2921" s="8634" t="s">
        <v>2238</v>
      </c>
      <c r="I2921" s="8634" t="s">
        <v>823</v>
      </c>
    </row>
    <row customHeight="1" ht="11.25">
      <c r="A2922" s="8634" t="s">
        <v>2182</v>
      </c>
      <c r="B2922" s="8634" t="s">
        <v>14</v>
      </c>
      <c r="C2922" s="8634" t="s">
        <v>7939</v>
      </c>
      <c r="D2922" s="8634" t="s">
        <v>7940</v>
      </c>
      <c r="E2922" s="8634" t="s">
        <v>7941</v>
      </c>
      <c r="F2922" s="8634" t="s">
        <v>2563</v>
      </c>
      <c r="G2922" s="8634" t="s">
        <v>3017</v>
      </c>
      <c r="H2922" s="8634" t="s">
        <v>24</v>
      </c>
      <c r="I2922" s="8634" t="s">
        <v>823</v>
      </c>
    </row>
    <row customHeight="1" ht="11.25">
      <c r="A2923" s="8634" t="s">
        <v>2182</v>
      </c>
      <c r="B2923" s="8634" t="s">
        <v>14</v>
      </c>
      <c r="C2923" s="8634" t="s">
        <v>6777</v>
      </c>
      <c r="D2923" s="8634" t="s">
        <v>6778</v>
      </c>
      <c r="E2923" s="8634" t="s">
        <v>6779</v>
      </c>
      <c r="F2923" s="8634" t="s">
        <v>3278</v>
      </c>
      <c r="G2923" s="8634" t="s">
        <v>24</v>
      </c>
      <c r="H2923" s="8634" t="s">
        <v>6780</v>
      </c>
      <c r="I2923" s="8634" t="s">
        <v>823</v>
      </c>
    </row>
    <row customHeight="1" ht="11.25">
      <c r="A2924" s="8634" t="s">
        <v>2182</v>
      </c>
      <c r="B2924" s="8634" t="s">
        <v>14</v>
      </c>
      <c r="C2924" s="8634" t="s">
        <v>6781</v>
      </c>
      <c r="D2924" s="8634" t="s">
        <v>6778</v>
      </c>
      <c r="E2924" s="8634" t="s">
        <v>6782</v>
      </c>
      <c r="F2924" s="8634" t="s">
        <v>3346</v>
      </c>
      <c r="G2924" s="8634" t="s">
        <v>3347</v>
      </c>
      <c r="H2924" s="8634" t="s">
        <v>24</v>
      </c>
      <c r="I2924" s="8634" t="s">
        <v>823</v>
      </c>
    </row>
    <row customHeight="1" ht="11.25">
      <c r="A2925" s="8634" t="s">
        <v>2182</v>
      </c>
      <c r="B2925" s="8634" t="s">
        <v>14</v>
      </c>
      <c r="C2925" s="8634" t="s">
        <v>3325</v>
      </c>
      <c r="D2925" s="8634" t="s">
        <v>3326</v>
      </c>
      <c r="E2925" s="8634" t="s">
        <v>3327</v>
      </c>
      <c r="F2925" s="8634" t="s">
        <v>2890</v>
      </c>
      <c r="G2925" s="8634" t="s">
        <v>3328</v>
      </c>
      <c r="H2925" s="8634" t="s">
        <v>24</v>
      </c>
      <c r="I2925" s="8634" t="s">
        <v>823</v>
      </c>
    </row>
    <row customHeight="1" ht="11.25">
      <c r="A2926" s="8634" t="s">
        <v>2182</v>
      </c>
      <c r="B2926" s="8634" t="s">
        <v>14</v>
      </c>
      <c r="C2926" s="8634" t="s">
        <v>6783</v>
      </c>
      <c r="D2926" s="8634" t="s">
        <v>6784</v>
      </c>
      <c r="E2926" s="8634" t="s">
        <v>6785</v>
      </c>
      <c r="F2926" s="8634" t="s">
        <v>2563</v>
      </c>
      <c r="G2926" s="8634" t="s">
        <v>6786</v>
      </c>
      <c r="H2926" s="8634" t="s">
        <v>24</v>
      </c>
      <c r="I2926" s="8634" t="s">
        <v>823</v>
      </c>
    </row>
    <row customHeight="1" ht="11.25">
      <c r="A2927" s="8634" t="s">
        <v>2182</v>
      </c>
      <c r="B2927" s="8634" t="s">
        <v>14</v>
      </c>
      <c r="C2927" s="8634" t="s">
        <v>3336</v>
      </c>
      <c r="D2927" s="8634" t="s">
        <v>3337</v>
      </c>
      <c r="E2927" s="8634" t="s">
        <v>3338</v>
      </c>
      <c r="F2927" s="8634" t="s">
        <v>2322</v>
      </c>
      <c r="G2927" s="8634" t="s">
        <v>3339</v>
      </c>
      <c r="H2927" s="8634" t="s">
        <v>24</v>
      </c>
      <c r="I2927" s="8634" t="s">
        <v>823</v>
      </c>
    </row>
    <row customHeight="1" ht="11.25">
      <c r="A2928" s="8634" t="s">
        <v>2182</v>
      </c>
      <c r="B2928" s="8634" t="s">
        <v>14</v>
      </c>
      <c r="C2928" s="8634" t="s">
        <v>3340</v>
      </c>
      <c r="D2928" s="8634" t="s">
        <v>3341</v>
      </c>
      <c r="E2928" s="8634" t="s">
        <v>3342</v>
      </c>
      <c r="F2928" s="8634" t="s">
        <v>3332</v>
      </c>
      <c r="G2928" s="8634" t="s">
        <v>24</v>
      </c>
      <c r="H2928" s="8634" t="s">
        <v>24</v>
      </c>
      <c r="I2928" s="8634" t="s">
        <v>823</v>
      </c>
    </row>
    <row customHeight="1" ht="11.25">
      <c r="A2929" s="8634" t="s">
        <v>2182</v>
      </c>
      <c r="B2929" s="8634" t="s">
        <v>14</v>
      </c>
      <c r="C2929" s="8634" t="s">
        <v>3348</v>
      </c>
      <c r="D2929" s="8634" t="s">
        <v>3349</v>
      </c>
      <c r="E2929" s="8634" t="s">
        <v>3350</v>
      </c>
      <c r="F2929" s="8634" t="s">
        <v>3278</v>
      </c>
      <c r="G2929" s="8634" t="s">
        <v>3351</v>
      </c>
      <c r="H2929" s="8634" t="s">
        <v>24</v>
      </c>
      <c r="I2929" s="8634" t="s">
        <v>823</v>
      </c>
    </row>
    <row customHeight="1" ht="11.25">
      <c r="A2930" s="8634" t="s">
        <v>2182</v>
      </c>
      <c r="B2930" s="8634" t="s">
        <v>14</v>
      </c>
      <c r="C2930" s="8634" t="s">
        <v>3370</v>
      </c>
      <c r="D2930" s="8634" t="s">
        <v>3371</v>
      </c>
      <c r="E2930" s="8634" t="s">
        <v>3372</v>
      </c>
      <c r="F2930" s="8634" t="s">
        <v>2322</v>
      </c>
      <c r="G2930" s="8634" t="s">
        <v>3373</v>
      </c>
      <c r="H2930" s="8634" t="s">
        <v>24</v>
      </c>
      <c r="I2930" s="8634" t="s">
        <v>823</v>
      </c>
    </row>
    <row customHeight="1" ht="11.25">
      <c r="A2931" s="8634" t="s">
        <v>2182</v>
      </c>
      <c r="B2931" s="8634" t="s">
        <v>14</v>
      </c>
      <c r="C2931" s="8634" t="s">
        <v>3380</v>
      </c>
      <c r="D2931" s="8634" t="s">
        <v>3381</v>
      </c>
      <c r="E2931" s="8634" t="s">
        <v>3382</v>
      </c>
      <c r="F2931" s="8634" t="s">
        <v>3383</v>
      </c>
      <c r="G2931" s="8634" t="s">
        <v>24</v>
      </c>
      <c r="H2931" s="8634" t="s">
        <v>24</v>
      </c>
      <c r="I2931" s="8634" t="s">
        <v>823</v>
      </c>
    </row>
    <row customHeight="1" ht="11.25">
      <c r="A2932" s="8634" t="s">
        <v>2182</v>
      </c>
      <c r="B2932" s="8634" t="s">
        <v>14</v>
      </c>
      <c r="C2932" s="8634" t="s">
        <v>3384</v>
      </c>
      <c r="D2932" s="8634" t="s">
        <v>3385</v>
      </c>
      <c r="E2932" s="8634" t="s">
        <v>3386</v>
      </c>
      <c r="F2932" s="8634" t="s">
        <v>2398</v>
      </c>
      <c r="G2932" s="8634" t="s">
        <v>2886</v>
      </c>
      <c r="H2932" s="8634" t="s">
        <v>24</v>
      </c>
      <c r="I2932" s="8634" t="s">
        <v>823</v>
      </c>
    </row>
    <row customHeight="1" ht="11.25">
      <c r="A2933" s="8634" t="s">
        <v>2182</v>
      </c>
      <c r="B2933" s="8634" t="s">
        <v>14</v>
      </c>
      <c r="C2933" s="8634" t="s">
        <v>6295</v>
      </c>
      <c r="D2933" s="8634" t="s">
        <v>6296</v>
      </c>
      <c r="E2933" s="8634" t="s">
        <v>6297</v>
      </c>
      <c r="F2933" s="8634" t="s">
        <v>2330</v>
      </c>
      <c r="G2933" s="8634" t="s">
        <v>24</v>
      </c>
      <c r="H2933" s="8634" t="s">
        <v>2187</v>
      </c>
      <c r="I2933" s="8634" t="s">
        <v>823</v>
      </c>
    </row>
    <row customHeight="1" ht="11.25">
      <c r="A2934" s="8634" t="s">
        <v>2182</v>
      </c>
      <c r="B2934" s="8634" t="s">
        <v>14</v>
      </c>
      <c r="C2934" s="8634" t="s">
        <v>3393</v>
      </c>
      <c r="D2934" s="8634" t="s">
        <v>3394</v>
      </c>
      <c r="E2934" s="8634" t="s">
        <v>3395</v>
      </c>
      <c r="F2934" s="8634" t="s">
        <v>2349</v>
      </c>
      <c r="G2934" s="8634" t="s">
        <v>3396</v>
      </c>
      <c r="H2934" s="8634" t="s">
        <v>24</v>
      </c>
      <c r="I2934" s="8634" t="s">
        <v>823</v>
      </c>
    </row>
    <row customHeight="1" ht="11.25">
      <c r="A2935" s="8634" t="s">
        <v>2182</v>
      </c>
      <c r="B2935" s="8634" t="s">
        <v>14</v>
      </c>
      <c r="C2935" s="8634" t="s">
        <v>3397</v>
      </c>
      <c r="D2935" s="8634" t="s">
        <v>3398</v>
      </c>
      <c r="E2935" s="8634" t="s">
        <v>3399</v>
      </c>
      <c r="F2935" s="8634" t="s">
        <v>2447</v>
      </c>
      <c r="G2935" s="8634" t="s">
        <v>3400</v>
      </c>
      <c r="H2935" s="8634" t="s">
        <v>24</v>
      </c>
      <c r="I2935" s="8634" t="s">
        <v>823</v>
      </c>
    </row>
    <row customHeight="1" ht="11.25">
      <c r="A2936" s="8634" t="s">
        <v>2182</v>
      </c>
      <c r="B2936" s="8634" t="s">
        <v>14</v>
      </c>
      <c r="C2936" s="8634" t="s">
        <v>7942</v>
      </c>
      <c r="D2936" s="8634" t="s">
        <v>7943</v>
      </c>
      <c r="E2936" s="8634" t="s">
        <v>7944</v>
      </c>
      <c r="F2936" s="8634" t="s">
        <v>2228</v>
      </c>
      <c r="G2936" s="8634" t="s">
        <v>24</v>
      </c>
      <c r="H2936" s="8634" t="s">
        <v>2773</v>
      </c>
      <c r="I2936" s="8634" t="s">
        <v>823</v>
      </c>
    </row>
    <row customHeight="1" ht="11.25">
      <c r="A2937" s="8634" t="s">
        <v>2182</v>
      </c>
      <c r="B2937" s="8634" t="s">
        <v>14</v>
      </c>
      <c r="C2937" s="8634" t="s">
        <v>3401</v>
      </c>
      <c r="D2937" s="8634" t="s">
        <v>3402</v>
      </c>
      <c r="E2937" s="8634" t="s">
        <v>3403</v>
      </c>
      <c r="F2937" s="8634" t="s">
        <v>2284</v>
      </c>
      <c r="G2937" s="8634" t="s">
        <v>3404</v>
      </c>
      <c r="H2937" s="8634" t="s">
        <v>24</v>
      </c>
      <c r="I2937" s="8634" t="s">
        <v>823</v>
      </c>
    </row>
    <row customHeight="1" ht="11.25">
      <c r="A2938" s="8634" t="s">
        <v>2182</v>
      </c>
      <c r="B2938" s="8634" t="s">
        <v>14</v>
      </c>
      <c r="C2938" s="8634" t="s">
        <v>3405</v>
      </c>
      <c r="D2938" s="8634" t="s">
        <v>3406</v>
      </c>
      <c r="E2938" s="8634" t="s">
        <v>3407</v>
      </c>
      <c r="F2938" s="8634" t="s">
        <v>2213</v>
      </c>
      <c r="G2938" s="8634" t="s">
        <v>3408</v>
      </c>
      <c r="H2938" s="8634" t="s">
        <v>24</v>
      </c>
      <c r="I2938" s="8634" t="s">
        <v>823</v>
      </c>
    </row>
    <row customHeight="1" ht="11.25">
      <c r="A2939" s="8634" t="s">
        <v>2182</v>
      </c>
      <c r="B2939" s="8634" t="s">
        <v>14</v>
      </c>
      <c r="C2939" s="8634" t="s">
        <v>3409</v>
      </c>
      <c r="D2939" s="8634" t="s">
        <v>3410</v>
      </c>
      <c r="E2939" s="8634" t="s">
        <v>3411</v>
      </c>
      <c r="F2939" s="8634" t="s">
        <v>2213</v>
      </c>
      <c r="G2939" s="8634" t="s">
        <v>24</v>
      </c>
      <c r="H2939" s="8634" t="s">
        <v>24</v>
      </c>
      <c r="I2939" s="8634" t="s">
        <v>823</v>
      </c>
    </row>
    <row customHeight="1" ht="11.25">
      <c r="A2940" s="8634" t="s">
        <v>2182</v>
      </c>
      <c r="B2940" s="8634" t="s">
        <v>14</v>
      </c>
      <c r="C2940" s="8634" t="s">
        <v>3412</v>
      </c>
      <c r="D2940" s="8634" t="s">
        <v>3413</v>
      </c>
      <c r="E2940" s="8634" t="s">
        <v>3414</v>
      </c>
      <c r="F2940" s="8634" t="s">
        <v>2334</v>
      </c>
      <c r="G2940" s="8634" t="s">
        <v>24</v>
      </c>
      <c r="H2940" s="8634" t="s">
        <v>2187</v>
      </c>
      <c r="I2940" s="8634" t="s">
        <v>823</v>
      </c>
    </row>
    <row customHeight="1" ht="11.25">
      <c r="A2941" s="8634" t="s">
        <v>2182</v>
      </c>
      <c r="B2941" s="8634" t="s">
        <v>14</v>
      </c>
      <c r="C2941" s="8634" t="s">
        <v>6787</v>
      </c>
      <c r="D2941" s="8634" t="s">
        <v>6788</v>
      </c>
      <c r="E2941" s="8634" t="s">
        <v>6789</v>
      </c>
      <c r="F2941" s="8634" t="s">
        <v>2334</v>
      </c>
      <c r="G2941" s="8634" t="s">
        <v>6790</v>
      </c>
      <c r="H2941" s="8634" t="s">
        <v>2187</v>
      </c>
      <c r="I2941" s="8634" t="s">
        <v>823</v>
      </c>
    </row>
    <row customHeight="1" ht="11.25">
      <c r="A2942" s="8634" t="s">
        <v>2182</v>
      </c>
      <c r="B2942" s="8634" t="s">
        <v>14</v>
      </c>
      <c r="C2942" s="8634" t="s">
        <v>3415</v>
      </c>
      <c r="D2942" s="8634" t="s">
        <v>3416</v>
      </c>
      <c r="E2942" s="8634" t="s">
        <v>3417</v>
      </c>
      <c r="F2942" s="8634" t="s">
        <v>2186</v>
      </c>
      <c r="G2942" s="8634" t="s">
        <v>3418</v>
      </c>
      <c r="H2942" s="8634" t="s">
        <v>24</v>
      </c>
      <c r="I2942" s="8634" t="s">
        <v>823</v>
      </c>
    </row>
    <row customHeight="1" ht="11.25">
      <c r="A2943" s="8634" t="s">
        <v>2182</v>
      </c>
      <c r="B2943" s="8634" t="s">
        <v>14</v>
      </c>
      <c r="C2943" s="8634" t="s">
        <v>6791</v>
      </c>
      <c r="D2943" s="8634" t="s">
        <v>6792</v>
      </c>
      <c r="E2943" s="8634" t="s">
        <v>6793</v>
      </c>
      <c r="F2943" s="8634" t="s">
        <v>2492</v>
      </c>
      <c r="G2943" s="8634" t="s">
        <v>24</v>
      </c>
      <c r="H2943" s="8634" t="s">
        <v>2773</v>
      </c>
      <c r="I2943" s="8634" t="s">
        <v>823</v>
      </c>
    </row>
    <row customHeight="1" ht="11.25">
      <c r="A2944" s="8634" t="s">
        <v>2182</v>
      </c>
      <c r="B2944" s="8634" t="s">
        <v>14</v>
      </c>
      <c r="C2944" s="8634" t="s">
        <v>6794</v>
      </c>
      <c r="D2944" s="8634" t="s">
        <v>6795</v>
      </c>
      <c r="E2944" s="8634" t="s">
        <v>6796</v>
      </c>
      <c r="F2944" s="8634" t="s">
        <v>2245</v>
      </c>
      <c r="G2944" s="8634" t="s">
        <v>6797</v>
      </c>
      <c r="H2944" s="8634" t="s">
        <v>2238</v>
      </c>
      <c r="I2944" s="8634" t="s">
        <v>823</v>
      </c>
    </row>
    <row customHeight="1" ht="11.25">
      <c r="A2945" s="8634" t="s">
        <v>2182</v>
      </c>
      <c r="B2945" s="8634" t="s">
        <v>14</v>
      </c>
      <c r="C2945" s="8634" t="s">
        <v>3419</v>
      </c>
      <c r="D2945" s="8634" t="s">
        <v>3420</v>
      </c>
      <c r="E2945" s="8634" t="s">
        <v>3421</v>
      </c>
      <c r="F2945" s="8634" t="s">
        <v>2389</v>
      </c>
      <c r="G2945" s="8634" t="s">
        <v>3422</v>
      </c>
      <c r="H2945" s="8634" t="s">
        <v>24</v>
      </c>
      <c r="I2945" s="8634" t="s">
        <v>823</v>
      </c>
    </row>
    <row customHeight="1" ht="11.25">
      <c r="A2946" s="8634" t="s">
        <v>2182</v>
      </c>
      <c r="B2946" s="8634" t="s">
        <v>14</v>
      </c>
      <c r="C2946" s="8634" t="s">
        <v>6798</v>
      </c>
      <c r="D2946" s="8634" t="s">
        <v>6799</v>
      </c>
      <c r="E2946" s="8634" t="s">
        <v>6800</v>
      </c>
      <c r="F2946" s="8634" t="s">
        <v>2477</v>
      </c>
      <c r="G2946" s="8634" t="s">
        <v>24</v>
      </c>
      <c r="H2946" s="8634" t="s">
        <v>24</v>
      </c>
      <c r="I2946" s="8634" t="s">
        <v>823</v>
      </c>
    </row>
    <row customHeight="1" ht="11.25">
      <c r="A2947" s="8634" t="s">
        <v>2182</v>
      </c>
      <c r="B2947" s="8634" t="s">
        <v>14</v>
      </c>
      <c r="C2947" s="8634" t="s">
        <v>6801</v>
      </c>
      <c r="D2947" s="8634" t="s">
        <v>3424</v>
      </c>
      <c r="E2947" s="8634" t="s">
        <v>6802</v>
      </c>
      <c r="F2947" s="8634" t="s">
        <v>2447</v>
      </c>
      <c r="G2947" s="8634" t="s">
        <v>6803</v>
      </c>
      <c r="H2947" s="8634" t="s">
        <v>6804</v>
      </c>
      <c r="I2947" s="8634" t="s">
        <v>823</v>
      </c>
    </row>
    <row customHeight="1" ht="11.25">
      <c r="A2948" s="8634" t="s">
        <v>2182</v>
      </c>
      <c r="B2948" s="8634" t="s">
        <v>14</v>
      </c>
      <c r="C2948" s="8634" t="s">
        <v>3423</v>
      </c>
      <c r="D2948" s="8634" t="s">
        <v>3424</v>
      </c>
      <c r="E2948" s="8634" t="s">
        <v>3425</v>
      </c>
      <c r="F2948" s="8634" t="s">
        <v>2376</v>
      </c>
      <c r="G2948" s="8634" t="s">
        <v>3426</v>
      </c>
      <c r="H2948" s="8634" t="s">
        <v>24</v>
      </c>
      <c r="I2948" s="8634" t="s">
        <v>823</v>
      </c>
    </row>
    <row customHeight="1" ht="11.25">
      <c r="A2949" s="8634" t="s">
        <v>2182</v>
      </c>
      <c r="B2949" s="8634" t="s">
        <v>14</v>
      </c>
      <c r="C2949" s="8634" t="s">
        <v>6805</v>
      </c>
      <c r="D2949" s="8634" t="s">
        <v>3424</v>
      </c>
      <c r="E2949" s="8634" t="s">
        <v>6806</v>
      </c>
      <c r="F2949" s="8634" t="s">
        <v>2823</v>
      </c>
      <c r="G2949" s="8634" t="s">
        <v>24</v>
      </c>
      <c r="H2949" s="8634" t="s">
        <v>24</v>
      </c>
      <c r="I2949" s="8634" t="s">
        <v>823</v>
      </c>
    </row>
    <row customHeight="1" ht="11.25">
      <c r="A2950" s="8634" t="s">
        <v>2182</v>
      </c>
      <c r="B2950" s="8634" t="s">
        <v>14</v>
      </c>
      <c r="C2950" s="8634" t="s">
        <v>6807</v>
      </c>
      <c r="D2950" s="8634" t="s">
        <v>3424</v>
      </c>
      <c r="E2950" s="8634" t="s">
        <v>6808</v>
      </c>
      <c r="F2950" s="8634" t="s">
        <v>2600</v>
      </c>
      <c r="G2950" s="8634" t="s">
        <v>6809</v>
      </c>
      <c r="H2950" s="8634" t="s">
        <v>24</v>
      </c>
      <c r="I2950" s="8634" t="s">
        <v>823</v>
      </c>
    </row>
    <row customHeight="1" ht="11.25">
      <c r="A2951" s="8634" t="s">
        <v>2182</v>
      </c>
      <c r="B2951" s="8634" t="s">
        <v>14</v>
      </c>
      <c r="C2951" s="8634" t="s">
        <v>6810</v>
      </c>
      <c r="D2951" s="8634" t="s">
        <v>3424</v>
      </c>
      <c r="E2951" s="8634" t="s">
        <v>6811</v>
      </c>
      <c r="F2951" s="8634" t="s">
        <v>3200</v>
      </c>
      <c r="G2951" s="8634" t="s">
        <v>24</v>
      </c>
      <c r="H2951" s="8634" t="s">
        <v>24</v>
      </c>
      <c r="I2951" s="8634" t="s">
        <v>823</v>
      </c>
    </row>
    <row customHeight="1" ht="11.25">
      <c r="A2952" s="8634" t="s">
        <v>2182</v>
      </c>
      <c r="B2952" s="8634" t="s">
        <v>14</v>
      </c>
      <c r="C2952" s="8634" t="s">
        <v>3427</v>
      </c>
      <c r="D2952" s="8634" t="s">
        <v>3428</v>
      </c>
      <c r="E2952" s="8634" t="s">
        <v>3429</v>
      </c>
      <c r="F2952" s="8634" t="s">
        <v>2363</v>
      </c>
      <c r="G2952" s="8634" t="s">
        <v>24</v>
      </c>
      <c r="H2952" s="8634" t="s">
        <v>24</v>
      </c>
      <c r="I2952" s="8634" t="s">
        <v>823</v>
      </c>
    </row>
    <row customHeight="1" ht="11.25">
      <c r="A2953" s="8634" t="s">
        <v>2182</v>
      </c>
      <c r="B2953" s="8634" t="s">
        <v>14</v>
      </c>
      <c r="C2953" s="8634" t="s">
        <v>6298</v>
      </c>
      <c r="D2953" s="8634" t="s">
        <v>6299</v>
      </c>
      <c r="E2953" s="8634" t="s">
        <v>6300</v>
      </c>
      <c r="F2953" s="8634" t="s">
        <v>2613</v>
      </c>
      <c r="G2953" s="8634" t="s">
        <v>6301</v>
      </c>
      <c r="H2953" s="8634" t="s">
        <v>24</v>
      </c>
      <c r="I2953" s="8634" t="s">
        <v>823</v>
      </c>
    </row>
    <row customHeight="1" ht="11.25">
      <c r="A2954" s="8634" t="s">
        <v>2182</v>
      </c>
      <c r="B2954" s="8634" t="s">
        <v>14</v>
      </c>
      <c r="C2954" s="8634" t="s">
        <v>6812</v>
      </c>
      <c r="D2954" s="8634" t="s">
        <v>6813</v>
      </c>
      <c r="E2954" s="8634" t="s">
        <v>6814</v>
      </c>
      <c r="F2954" s="8634" t="s">
        <v>2376</v>
      </c>
      <c r="G2954" s="8634" t="s">
        <v>24</v>
      </c>
      <c r="H2954" s="8634" t="s">
        <v>6815</v>
      </c>
      <c r="I2954" s="8634" t="s">
        <v>823</v>
      </c>
    </row>
    <row customHeight="1" ht="11.25">
      <c r="A2955" s="8634" t="s">
        <v>2182</v>
      </c>
      <c r="B2955" s="8634" t="s">
        <v>14</v>
      </c>
      <c r="C2955" s="8634" t="s">
        <v>3430</v>
      </c>
      <c r="D2955" s="8634" t="s">
        <v>3431</v>
      </c>
      <c r="E2955" s="8634" t="s">
        <v>3432</v>
      </c>
      <c r="F2955" s="8634" t="s">
        <v>2334</v>
      </c>
      <c r="G2955" s="8634" t="s">
        <v>3433</v>
      </c>
      <c r="H2955" s="8634" t="s">
        <v>24</v>
      </c>
      <c r="I2955" s="8634" t="s">
        <v>823</v>
      </c>
    </row>
    <row customHeight="1" ht="11.25">
      <c r="A2956" s="8634" t="s">
        <v>2182</v>
      </c>
      <c r="B2956" s="8634" t="s">
        <v>14</v>
      </c>
      <c r="C2956" s="8634" t="s">
        <v>3434</v>
      </c>
      <c r="D2956" s="8634" t="s">
        <v>3435</v>
      </c>
      <c r="E2956" s="8634" t="s">
        <v>3436</v>
      </c>
      <c r="F2956" s="8634" t="s">
        <v>3437</v>
      </c>
      <c r="G2956" s="8634" t="s">
        <v>24</v>
      </c>
      <c r="H2956" s="8634" t="s">
        <v>3438</v>
      </c>
      <c r="I2956" s="8634" t="s">
        <v>823</v>
      </c>
    </row>
    <row customHeight="1" ht="11.25">
      <c r="A2957" s="8634" t="s">
        <v>2182</v>
      </c>
      <c r="B2957" s="8634" t="s">
        <v>14</v>
      </c>
      <c r="C2957" s="8634" t="s">
        <v>3439</v>
      </c>
      <c r="D2957" s="8634" t="s">
        <v>3440</v>
      </c>
      <c r="E2957" s="8634" t="s">
        <v>3441</v>
      </c>
      <c r="F2957" s="8634" t="s">
        <v>2186</v>
      </c>
      <c r="G2957" s="8634" t="s">
        <v>24</v>
      </c>
      <c r="H2957" s="8634" t="s">
        <v>2238</v>
      </c>
      <c r="I2957" s="8634" t="s">
        <v>823</v>
      </c>
    </row>
    <row customHeight="1" ht="11.25">
      <c r="A2958" s="8634" t="s">
        <v>2182</v>
      </c>
      <c r="B2958" s="8634" t="s">
        <v>14</v>
      </c>
      <c r="C2958" s="8634" t="s">
        <v>6302</v>
      </c>
      <c r="D2958" s="8634" t="s">
        <v>6303</v>
      </c>
      <c r="E2958" s="8634" t="s">
        <v>6304</v>
      </c>
      <c r="F2958" s="8634" t="s">
        <v>2411</v>
      </c>
      <c r="G2958" s="8634" t="s">
        <v>24</v>
      </c>
      <c r="H2958" s="8634" t="s">
        <v>3222</v>
      </c>
      <c r="I2958" s="8634" t="s">
        <v>823</v>
      </c>
    </row>
    <row customHeight="1" ht="11.25">
      <c r="A2959" s="8634" t="s">
        <v>2182</v>
      </c>
      <c r="B2959" s="8634" t="s">
        <v>14</v>
      </c>
      <c r="C2959" s="8634" t="s">
        <v>3442</v>
      </c>
      <c r="D2959" s="8634" t="s">
        <v>3443</v>
      </c>
      <c r="E2959" s="8634" t="s">
        <v>3444</v>
      </c>
      <c r="F2959" s="8634" t="s">
        <v>2376</v>
      </c>
      <c r="G2959" s="8634" t="s">
        <v>3445</v>
      </c>
      <c r="H2959" s="8634" t="s">
        <v>3446</v>
      </c>
      <c r="I2959" s="8634" t="s">
        <v>823</v>
      </c>
    </row>
    <row customHeight="1" ht="11.25">
      <c r="A2960" s="8634" t="s">
        <v>2182</v>
      </c>
      <c r="B2960" s="8634" t="s">
        <v>14</v>
      </c>
      <c r="C2960" s="8634" t="s">
        <v>6816</v>
      </c>
      <c r="D2960" s="8634" t="s">
        <v>6817</v>
      </c>
      <c r="E2960" s="8634" t="s">
        <v>6818</v>
      </c>
      <c r="F2960" s="8634" t="s">
        <v>2245</v>
      </c>
      <c r="G2960" s="8634" t="s">
        <v>24</v>
      </c>
      <c r="H2960" s="8634" t="s">
        <v>6819</v>
      </c>
      <c r="I2960" s="8634" t="s">
        <v>823</v>
      </c>
    </row>
    <row customHeight="1" ht="11.25">
      <c r="A2961" s="8634" t="s">
        <v>2182</v>
      </c>
      <c r="B2961" s="8634" t="s">
        <v>14</v>
      </c>
      <c r="C2961" s="8634" t="s">
        <v>6820</v>
      </c>
      <c r="D2961" s="8634" t="s">
        <v>6821</v>
      </c>
      <c r="E2961" s="8634" t="s">
        <v>6822</v>
      </c>
      <c r="F2961" s="8634" t="s">
        <v>2344</v>
      </c>
      <c r="G2961" s="8634" t="s">
        <v>6823</v>
      </c>
      <c r="H2961" s="8634" t="s">
        <v>24</v>
      </c>
      <c r="I2961" s="8634" t="s">
        <v>823</v>
      </c>
    </row>
    <row customHeight="1" ht="11.25">
      <c r="A2962" s="8634" t="s">
        <v>2182</v>
      </c>
      <c r="B2962" s="8634" t="s">
        <v>14</v>
      </c>
      <c r="C2962" s="8634" t="s">
        <v>3454</v>
      </c>
      <c r="D2962" s="8634" t="s">
        <v>3455</v>
      </c>
      <c r="E2962" s="8634" t="s">
        <v>3456</v>
      </c>
      <c r="F2962" s="8634" t="s">
        <v>2626</v>
      </c>
      <c r="G2962" s="8634" t="s">
        <v>24</v>
      </c>
      <c r="H2962" s="8634" t="s">
        <v>2187</v>
      </c>
      <c r="I2962" s="8634" t="s">
        <v>823</v>
      </c>
    </row>
    <row customHeight="1" ht="11.25">
      <c r="A2963" s="8634" t="s">
        <v>2182</v>
      </c>
      <c r="B2963" s="8634" t="s">
        <v>14</v>
      </c>
      <c r="C2963" s="8634" t="s">
        <v>3457</v>
      </c>
      <c r="D2963" s="8634" t="s">
        <v>3458</v>
      </c>
      <c r="E2963" s="8634" t="s">
        <v>3459</v>
      </c>
      <c r="F2963" s="8634" t="s">
        <v>3460</v>
      </c>
      <c r="G2963" s="8634" t="s">
        <v>3461</v>
      </c>
      <c r="H2963" s="8634" t="s">
        <v>24</v>
      </c>
      <c r="I2963" s="8634" t="s">
        <v>823</v>
      </c>
    </row>
    <row customHeight="1" ht="11.25">
      <c r="A2964" s="8634" t="s">
        <v>2182</v>
      </c>
      <c r="B2964" s="8634" t="s">
        <v>14</v>
      </c>
      <c r="C2964" s="8634" t="s">
        <v>3462</v>
      </c>
      <c r="D2964" s="8634" t="s">
        <v>3463</v>
      </c>
      <c r="E2964" s="8634" t="s">
        <v>3464</v>
      </c>
      <c r="F2964" s="8634" t="s">
        <v>2349</v>
      </c>
      <c r="G2964" s="8634" t="s">
        <v>24</v>
      </c>
      <c r="H2964" s="8634" t="s">
        <v>2187</v>
      </c>
      <c r="I2964" s="8634" t="s">
        <v>823</v>
      </c>
    </row>
    <row customHeight="1" ht="11.25">
      <c r="A2965" s="8634" t="s">
        <v>2182</v>
      </c>
      <c r="B2965" s="8634" t="s">
        <v>14</v>
      </c>
      <c r="C2965" s="8634" t="s">
        <v>3465</v>
      </c>
      <c r="D2965" s="8634" t="s">
        <v>3466</v>
      </c>
      <c r="E2965" s="8634" t="s">
        <v>3467</v>
      </c>
      <c r="F2965" s="8634" t="s">
        <v>2349</v>
      </c>
      <c r="G2965" s="8634" t="s">
        <v>24</v>
      </c>
      <c r="H2965" s="8634" t="s">
        <v>3468</v>
      </c>
      <c r="I2965" s="8634" t="s">
        <v>823</v>
      </c>
    </row>
    <row customHeight="1" ht="11.25">
      <c r="A2966" s="8634" t="s">
        <v>2182</v>
      </c>
      <c r="B2966" s="8634" t="s">
        <v>14</v>
      </c>
      <c r="C2966" s="8634" t="s">
        <v>3469</v>
      </c>
      <c r="D2966" s="8634" t="s">
        <v>3470</v>
      </c>
      <c r="E2966" s="8634" t="s">
        <v>3471</v>
      </c>
      <c r="F2966" s="8634" t="s">
        <v>2213</v>
      </c>
      <c r="G2966" s="8634" t="s">
        <v>3472</v>
      </c>
      <c r="H2966" s="8634" t="s">
        <v>3473</v>
      </c>
      <c r="I2966" s="8634" t="s">
        <v>823</v>
      </c>
    </row>
    <row customHeight="1" ht="11.25">
      <c r="A2967" s="8634" t="s">
        <v>2182</v>
      </c>
      <c r="B2967" s="8634" t="s">
        <v>14</v>
      </c>
      <c r="C2967" s="8634" t="s">
        <v>3474</v>
      </c>
      <c r="D2967" s="8634" t="s">
        <v>3475</v>
      </c>
      <c r="E2967" s="8634" t="s">
        <v>3476</v>
      </c>
      <c r="F2967" s="8634" t="s">
        <v>2213</v>
      </c>
      <c r="G2967" s="8634" t="s">
        <v>3477</v>
      </c>
      <c r="H2967" s="8634" t="s">
        <v>24</v>
      </c>
      <c r="I2967" s="8634" t="s">
        <v>823</v>
      </c>
    </row>
    <row customHeight="1" ht="11.25">
      <c r="A2968" s="8634" t="s">
        <v>2182</v>
      </c>
      <c r="B2968" s="8634" t="s">
        <v>14</v>
      </c>
      <c r="C2968" s="8634" t="s">
        <v>3481</v>
      </c>
      <c r="D2968" s="8634" t="s">
        <v>3482</v>
      </c>
      <c r="E2968" s="8634" t="s">
        <v>3483</v>
      </c>
      <c r="F2968" s="8634" t="s">
        <v>2237</v>
      </c>
      <c r="G2968" s="8634" t="s">
        <v>24</v>
      </c>
      <c r="H2968" s="8634" t="s">
        <v>3484</v>
      </c>
      <c r="I2968" s="8634" t="s">
        <v>823</v>
      </c>
    </row>
    <row customHeight="1" ht="11.25">
      <c r="A2969" s="8634" t="s">
        <v>2182</v>
      </c>
      <c r="B2969" s="8634" t="s">
        <v>14</v>
      </c>
      <c r="C2969" s="8634" t="s">
        <v>3485</v>
      </c>
      <c r="D2969" s="8634" t="s">
        <v>3486</v>
      </c>
      <c r="E2969" s="8634" t="s">
        <v>3487</v>
      </c>
      <c r="F2969" s="8634" t="s">
        <v>2245</v>
      </c>
      <c r="G2969" s="8634" t="s">
        <v>24</v>
      </c>
      <c r="H2969" s="8634" t="s">
        <v>3488</v>
      </c>
      <c r="I2969" s="8634" t="s">
        <v>823</v>
      </c>
    </row>
    <row customHeight="1" ht="11.25">
      <c r="A2970" s="8634" t="s">
        <v>2182</v>
      </c>
      <c r="B2970" s="8634" t="s">
        <v>14</v>
      </c>
      <c r="C2970" s="8634" t="s">
        <v>7945</v>
      </c>
      <c r="D2970" s="8634" t="s">
        <v>7946</v>
      </c>
      <c r="E2970" s="8634" t="s">
        <v>7947</v>
      </c>
      <c r="F2970" s="8634" t="s">
        <v>2223</v>
      </c>
      <c r="G2970" s="8634" t="s">
        <v>24</v>
      </c>
      <c r="H2970" s="8634" t="s">
        <v>7948</v>
      </c>
      <c r="I2970" s="8634" t="s">
        <v>823</v>
      </c>
    </row>
    <row customHeight="1" ht="11.25">
      <c r="A2971" s="8634" t="s">
        <v>2182</v>
      </c>
      <c r="B2971" s="8634" t="s">
        <v>14</v>
      </c>
      <c r="C2971" s="8634" t="s">
        <v>3489</v>
      </c>
      <c r="D2971" s="8634" t="s">
        <v>3490</v>
      </c>
      <c r="E2971" s="8634" t="s">
        <v>3491</v>
      </c>
      <c r="F2971" s="8634" t="s">
        <v>2756</v>
      </c>
      <c r="G2971" s="8634" t="s">
        <v>24</v>
      </c>
      <c r="H2971" s="8634" t="s">
        <v>2400</v>
      </c>
      <c r="I2971" s="8634" t="s">
        <v>823</v>
      </c>
    </row>
    <row customHeight="1" ht="11.25">
      <c r="A2972" s="8634" t="s">
        <v>2182</v>
      </c>
      <c r="B2972" s="8634" t="s">
        <v>14</v>
      </c>
      <c r="C2972" s="8634" t="s">
        <v>3492</v>
      </c>
      <c r="D2972" s="8634" t="s">
        <v>3493</v>
      </c>
      <c r="E2972" s="8634" t="s">
        <v>3494</v>
      </c>
      <c r="F2972" s="8634" t="s">
        <v>2477</v>
      </c>
      <c r="G2972" s="8634" t="s">
        <v>3495</v>
      </c>
      <c r="H2972" s="8634" t="s">
        <v>3496</v>
      </c>
      <c r="I2972" s="8634" t="s">
        <v>823</v>
      </c>
    </row>
    <row customHeight="1" ht="11.25">
      <c r="A2973" s="8634" t="s">
        <v>2182</v>
      </c>
      <c r="B2973" s="8634" t="s">
        <v>14</v>
      </c>
      <c r="C2973" s="8634" t="s">
        <v>6824</v>
      </c>
      <c r="D2973" s="8634" t="s">
        <v>6825</v>
      </c>
      <c r="E2973" s="8634" t="s">
        <v>6826</v>
      </c>
      <c r="F2973" s="8634" t="s">
        <v>2696</v>
      </c>
      <c r="G2973" s="8634" t="s">
        <v>24</v>
      </c>
      <c r="H2973" s="8634" t="s">
        <v>6827</v>
      </c>
      <c r="I2973" s="8634" t="s">
        <v>823</v>
      </c>
    </row>
    <row customHeight="1" ht="11.25">
      <c r="A2974" s="8634" t="s">
        <v>2182</v>
      </c>
      <c r="B2974" s="8634" t="s">
        <v>14</v>
      </c>
      <c r="C2974" s="8634" t="s">
        <v>6828</v>
      </c>
      <c r="D2974" s="8634" t="s">
        <v>6829</v>
      </c>
      <c r="E2974" s="8634" t="s">
        <v>6830</v>
      </c>
      <c r="F2974" s="8634" t="s">
        <v>2671</v>
      </c>
      <c r="G2974" s="8634" t="s">
        <v>24</v>
      </c>
      <c r="H2974" s="8634" t="s">
        <v>6831</v>
      </c>
      <c r="I2974" s="8634" t="s">
        <v>823</v>
      </c>
    </row>
    <row customHeight="1" ht="11.25">
      <c r="A2975" s="8634" t="s">
        <v>2182</v>
      </c>
      <c r="B2975" s="8634" t="s">
        <v>14</v>
      </c>
      <c r="C2975" s="8634" t="s">
        <v>3505</v>
      </c>
      <c r="D2975" s="8634" t="s">
        <v>3506</v>
      </c>
      <c r="E2975" s="8634" t="s">
        <v>3507</v>
      </c>
      <c r="F2975" s="8634" t="s">
        <v>3508</v>
      </c>
      <c r="G2975" s="8634" t="s">
        <v>3509</v>
      </c>
      <c r="H2975" s="8634" t="s">
        <v>24</v>
      </c>
      <c r="I2975" s="8634" t="s">
        <v>823</v>
      </c>
    </row>
    <row customHeight="1" ht="11.25">
      <c r="A2976" s="8634" t="s">
        <v>2182</v>
      </c>
      <c r="B2976" s="8634" t="s">
        <v>14</v>
      </c>
      <c r="C2976" s="8634" t="s">
        <v>6832</v>
      </c>
      <c r="D2976" s="8634" t="s">
        <v>6833</v>
      </c>
      <c r="E2976" s="8634" t="s">
        <v>6834</v>
      </c>
      <c r="F2976" s="8634" t="s">
        <v>2334</v>
      </c>
      <c r="G2976" s="8634" t="s">
        <v>6835</v>
      </c>
      <c r="H2976" s="8634" t="s">
        <v>24</v>
      </c>
      <c r="I2976" s="8634" t="s">
        <v>823</v>
      </c>
    </row>
    <row customHeight="1" ht="11.25">
      <c r="A2977" s="8634" t="s">
        <v>2182</v>
      </c>
      <c r="B2977" s="8634" t="s">
        <v>14</v>
      </c>
      <c r="C2977" s="8634" t="s">
        <v>6836</v>
      </c>
      <c r="D2977" s="8634" t="s">
        <v>6837</v>
      </c>
      <c r="E2977" s="8634" t="s">
        <v>6838</v>
      </c>
      <c r="F2977" s="8634" t="s">
        <v>2334</v>
      </c>
      <c r="G2977" s="8634" t="s">
        <v>24</v>
      </c>
      <c r="H2977" s="8634" t="s">
        <v>24</v>
      </c>
      <c r="I2977" s="8634" t="s">
        <v>823</v>
      </c>
    </row>
    <row customHeight="1" ht="11.25">
      <c r="A2978" s="8634" t="s">
        <v>2182</v>
      </c>
      <c r="B2978" s="8634" t="s">
        <v>14</v>
      </c>
      <c r="C2978" s="8634" t="s">
        <v>3510</v>
      </c>
      <c r="D2978" s="8634" t="s">
        <v>3511</v>
      </c>
      <c r="E2978" s="8634" t="s">
        <v>3512</v>
      </c>
      <c r="F2978" s="8634" t="s">
        <v>2228</v>
      </c>
      <c r="G2978" s="8634" t="s">
        <v>3513</v>
      </c>
      <c r="H2978" s="8634" t="s">
        <v>2187</v>
      </c>
      <c r="I2978" s="8634" t="s">
        <v>823</v>
      </c>
    </row>
    <row customHeight="1" ht="11.25">
      <c r="A2979" s="8634" t="s">
        <v>2182</v>
      </c>
      <c r="B2979" s="8634" t="s">
        <v>14</v>
      </c>
      <c r="C2979" s="8634" t="s">
        <v>3514</v>
      </c>
      <c r="D2979" s="8634" t="s">
        <v>3515</v>
      </c>
      <c r="E2979" s="8634" t="s">
        <v>3516</v>
      </c>
      <c r="F2979" s="8634" t="s">
        <v>2600</v>
      </c>
      <c r="G2979" s="8634" t="s">
        <v>3517</v>
      </c>
      <c r="H2979" s="8634" t="s">
        <v>3518</v>
      </c>
      <c r="I2979" s="8634" t="s">
        <v>823</v>
      </c>
    </row>
    <row customHeight="1" ht="11.25">
      <c r="A2980" s="8634" t="s">
        <v>2182</v>
      </c>
      <c r="B2980" s="8634" t="s">
        <v>14</v>
      </c>
      <c r="C2980" s="8634" t="s">
        <v>6839</v>
      </c>
      <c r="D2980" s="8634" t="s">
        <v>6840</v>
      </c>
      <c r="E2980" s="8634" t="s">
        <v>6841</v>
      </c>
      <c r="F2980" s="8634" t="s">
        <v>2705</v>
      </c>
      <c r="G2980" s="8634" t="s">
        <v>6842</v>
      </c>
      <c r="H2980" s="8634" t="s">
        <v>24</v>
      </c>
      <c r="I2980" s="8634" t="s">
        <v>823</v>
      </c>
    </row>
    <row customHeight="1" ht="11.25">
      <c r="A2981" s="8634" t="s">
        <v>2182</v>
      </c>
      <c r="B2981" s="8634" t="s">
        <v>14</v>
      </c>
      <c r="C2981" s="8634" t="s">
        <v>7949</v>
      </c>
      <c r="D2981" s="8634" t="s">
        <v>7950</v>
      </c>
      <c r="E2981" s="8634" t="s">
        <v>7951</v>
      </c>
      <c r="F2981" s="8634" t="s">
        <v>3437</v>
      </c>
      <c r="G2981" s="8634" t="s">
        <v>24</v>
      </c>
      <c r="H2981" s="8634" t="s">
        <v>2773</v>
      </c>
      <c r="I2981" s="8634" t="s">
        <v>823</v>
      </c>
    </row>
    <row customHeight="1" ht="11.25">
      <c r="A2982" s="8634" t="s">
        <v>2182</v>
      </c>
      <c r="B2982" s="8634" t="s">
        <v>14</v>
      </c>
      <c r="C2982" s="8634" t="s">
        <v>6843</v>
      </c>
      <c r="D2982" s="8634" t="s">
        <v>6844</v>
      </c>
      <c r="E2982" s="8634" t="s">
        <v>6845</v>
      </c>
      <c r="F2982" s="8634" t="s">
        <v>2600</v>
      </c>
      <c r="G2982" s="8634" t="s">
        <v>6846</v>
      </c>
      <c r="H2982" s="8634" t="s">
        <v>24</v>
      </c>
      <c r="I2982" s="8634" t="s">
        <v>823</v>
      </c>
    </row>
    <row customHeight="1" ht="11.25">
      <c r="A2983" s="8634" t="s">
        <v>2182</v>
      </c>
      <c r="B2983" s="8634" t="s">
        <v>14</v>
      </c>
      <c r="C2983" s="8634" t="s">
        <v>6851</v>
      </c>
      <c r="D2983" s="8634" t="s">
        <v>6852</v>
      </c>
      <c r="E2983" s="8634" t="s">
        <v>6853</v>
      </c>
      <c r="F2983" s="8634" t="s">
        <v>2600</v>
      </c>
      <c r="G2983" s="8634" t="s">
        <v>24</v>
      </c>
      <c r="H2983" s="8634" t="s">
        <v>6854</v>
      </c>
      <c r="I2983" s="8634" t="s">
        <v>823</v>
      </c>
    </row>
    <row customHeight="1" ht="11.25">
      <c r="A2984" s="8634" t="s">
        <v>2182</v>
      </c>
      <c r="B2984" s="8634" t="s">
        <v>14</v>
      </c>
      <c r="C2984" s="8634" t="s">
        <v>3530</v>
      </c>
      <c r="D2984" s="8634" t="s">
        <v>3531</v>
      </c>
      <c r="E2984" s="8634" t="s">
        <v>3532</v>
      </c>
      <c r="F2984" s="8634" t="s">
        <v>2600</v>
      </c>
      <c r="G2984" s="8634" t="s">
        <v>24</v>
      </c>
      <c r="H2984" s="8634" t="s">
        <v>2993</v>
      </c>
      <c r="I2984" s="8634" t="s">
        <v>823</v>
      </c>
    </row>
    <row customHeight="1" ht="11.25">
      <c r="A2985" s="8634" t="s">
        <v>2182</v>
      </c>
      <c r="B2985" s="8634" t="s">
        <v>14</v>
      </c>
      <c r="C2985" s="8634" t="s">
        <v>3533</v>
      </c>
      <c r="D2985" s="8634" t="s">
        <v>3534</v>
      </c>
      <c r="E2985" s="8634" t="s">
        <v>3535</v>
      </c>
      <c r="F2985" s="8634" t="s">
        <v>2696</v>
      </c>
      <c r="G2985" s="8634" t="s">
        <v>24</v>
      </c>
      <c r="H2985" s="8634" t="s">
        <v>3536</v>
      </c>
      <c r="I2985" s="8634" t="s">
        <v>823</v>
      </c>
    </row>
    <row customHeight="1" ht="11.25">
      <c r="A2986" s="8634" t="s">
        <v>2182</v>
      </c>
      <c r="B2986" s="8634" t="s">
        <v>14</v>
      </c>
      <c r="C2986" s="8634" t="s">
        <v>3537</v>
      </c>
      <c r="D2986" s="8634" t="s">
        <v>3538</v>
      </c>
      <c r="E2986" s="8634" t="s">
        <v>3539</v>
      </c>
      <c r="F2986" s="8634" t="s">
        <v>3540</v>
      </c>
      <c r="G2986" s="8634" t="s">
        <v>24</v>
      </c>
      <c r="H2986" s="8634" t="s">
        <v>2187</v>
      </c>
      <c r="I2986" s="8634" t="s">
        <v>823</v>
      </c>
    </row>
    <row customHeight="1" ht="11.25">
      <c r="A2987" s="8634" t="s">
        <v>2182</v>
      </c>
      <c r="B2987" s="8634" t="s">
        <v>14</v>
      </c>
      <c r="C2987" s="8634" t="s">
        <v>3541</v>
      </c>
      <c r="D2987" s="8634" t="s">
        <v>3542</v>
      </c>
      <c r="E2987" s="8634" t="s">
        <v>3543</v>
      </c>
      <c r="F2987" s="8634" t="s">
        <v>2334</v>
      </c>
      <c r="G2987" s="8634" t="s">
        <v>24</v>
      </c>
      <c r="H2987" s="8634" t="s">
        <v>2187</v>
      </c>
      <c r="I2987" s="8634" t="s">
        <v>823</v>
      </c>
    </row>
    <row customHeight="1" ht="11.25">
      <c r="A2988" s="8634" t="s">
        <v>2182</v>
      </c>
      <c r="B2988" s="8634" t="s">
        <v>14</v>
      </c>
      <c r="C2988" s="8634" t="s">
        <v>3544</v>
      </c>
      <c r="D2988" s="8634" t="s">
        <v>3545</v>
      </c>
      <c r="E2988" s="8634" t="s">
        <v>3546</v>
      </c>
      <c r="F2988" s="8634" t="s">
        <v>2705</v>
      </c>
      <c r="G2988" s="8634" t="s">
        <v>3547</v>
      </c>
      <c r="H2988" s="8634" t="s">
        <v>2187</v>
      </c>
      <c r="I2988" s="8634" t="s">
        <v>823</v>
      </c>
    </row>
    <row customHeight="1" ht="11.25">
      <c r="A2989" s="8634" t="s">
        <v>2182</v>
      </c>
      <c r="B2989" s="8634" t="s">
        <v>14</v>
      </c>
      <c r="C2989" s="8634" t="s">
        <v>3548</v>
      </c>
      <c r="D2989" s="8634" t="s">
        <v>3549</v>
      </c>
      <c r="E2989" s="8634" t="s">
        <v>3550</v>
      </c>
      <c r="F2989" s="8634" t="s">
        <v>2626</v>
      </c>
      <c r="G2989" s="8634" t="s">
        <v>3551</v>
      </c>
      <c r="H2989" s="8634" t="s">
        <v>24</v>
      </c>
      <c r="I2989" s="8634" t="s">
        <v>823</v>
      </c>
    </row>
    <row customHeight="1" ht="11.25">
      <c r="A2990" s="8634" t="s">
        <v>2182</v>
      </c>
      <c r="B2990" s="8634" t="s">
        <v>14</v>
      </c>
      <c r="C2990" s="8634" t="s">
        <v>3552</v>
      </c>
      <c r="D2990" s="8634" t="s">
        <v>3553</v>
      </c>
      <c r="E2990" s="8634" t="s">
        <v>3554</v>
      </c>
      <c r="F2990" s="8634" t="s">
        <v>2339</v>
      </c>
      <c r="G2990" s="8634" t="s">
        <v>3555</v>
      </c>
      <c r="H2990" s="8634" t="s">
        <v>24</v>
      </c>
      <c r="I2990" s="8634" t="s">
        <v>823</v>
      </c>
    </row>
    <row customHeight="1" ht="11.25">
      <c r="A2991" s="8634" t="s">
        <v>2182</v>
      </c>
      <c r="B2991" s="8634" t="s">
        <v>14</v>
      </c>
      <c r="C2991" s="8634" t="s">
        <v>3556</v>
      </c>
      <c r="D2991" s="8634" t="s">
        <v>3557</v>
      </c>
      <c r="E2991" s="8634" t="s">
        <v>3558</v>
      </c>
      <c r="F2991" s="8634" t="s">
        <v>2411</v>
      </c>
      <c r="G2991" s="8634" t="s">
        <v>24</v>
      </c>
      <c r="H2991" s="8634" t="s">
        <v>3559</v>
      </c>
      <c r="I2991" s="8634" t="s">
        <v>823</v>
      </c>
    </row>
    <row customHeight="1" ht="11.25">
      <c r="A2992" s="8634" t="s">
        <v>2182</v>
      </c>
      <c r="B2992" s="8634" t="s">
        <v>14</v>
      </c>
      <c r="C2992" s="8634" t="s">
        <v>3560</v>
      </c>
      <c r="D2992" s="8634" t="s">
        <v>3561</v>
      </c>
      <c r="E2992" s="8634" t="s">
        <v>3562</v>
      </c>
      <c r="F2992" s="8634" t="s">
        <v>2218</v>
      </c>
      <c r="G2992" s="8634" t="s">
        <v>3563</v>
      </c>
      <c r="H2992" s="8634" t="s">
        <v>3564</v>
      </c>
      <c r="I2992" s="8634" t="s">
        <v>823</v>
      </c>
    </row>
    <row customHeight="1" ht="11.25">
      <c r="A2993" s="8634" t="s">
        <v>2182</v>
      </c>
      <c r="B2993" s="8634" t="s">
        <v>14</v>
      </c>
      <c r="C2993" s="8634" t="s">
        <v>6857</v>
      </c>
      <c r="D2993" s="8634" t="s">
        <v>6858</v>
      </c>
      <c r="E2993" s="8634" t="s">
        <v>6859</v>
      </c>
      <c r="F2993" s="8634" t="s">
        <v>2245</v>
      </c>
      <c r="G2993" s="8634" t="s">
        <v>5098</v>
      </c>
      <c r="H2993" s="8634" t="s">
        <v>24</v>
      </c>
      <c r="I2993" s="8634" t="s">
        <v>823</v>
      </c>
    </row>
    <row customHeight="1" ht="11.25">
      <c r="A2994" s="8634" t="s">
        <v>2182</v>
      </c>
      <c r="B2994" s="8634" t="s">
        <v>14</v>
      </c>
      <c r="C2994" s="8634" t="s">
        <v>6860</v>
      </c>
      <c r="D2994" s="8634" t="s">
        <v>6861</v>
      </c>
      <c r="E2994" s="8634" t="s">
        <v>6862</v>
      </c>
      <c r="F2994" s="8634" t="s">
        <v>2284</v>
      </c>
      <c r="G2994" s="8634" t="s">
        <v>24</v>
      </c>
      <c r="H2994" s="8634" t="s">
        <v>2773</v>
      </c>
      <c r="I2994" s="8634" t="s">
        <v>823</v>
      </c>
    </row>
    <row customHeight="1" ht="11.25">
      <c r="A2995" s="8634" t="s">
        <v>2182</v>
      </c>
      <c r="B2995" s="8634" t="s">
        <v>14</v>
      </c>
      <c r="C2995" s="8634" t="s">
        <v>6309</v>
      </c>
      <c r="D2995" s="8634" t="s">
        <v>6310</v>
      </c>
      <c r="E2995" s="8634" t="s">
        <v>6311</v>
      </c>
      <c r="F2995" s="8634" t="s">
        <v>2349</v>
      </c>
      <c r="G2995" s="8634" t="s">
        <v>24</v>
      </c>
      <c r="H2995" s="8634" t="s">
        <v>2993</v>
      </c>
      <c r="I2995" s="8634" t="s">
        <v>823</v>
      </c>
    </row>
    <row customHeight="1" ht="11.25">
      <c r="A2996" s="8634" t="s">
        <v>2182</v>
      </c>
      <c r="B2996" s="8634" t="s">
        <v>14</v>
      </c>
      <c r="C2996" s="8634" t="s">
        <v>6863</v>
      </c>
      <c r="D2996" s="8634" t="s">
        <v>6864</v>
      </c>
      <c r="E2996" s="8634" t="s">
        <v>6865</v>
      </c>
      <c r="F2996" s="8634" t="s">
        <v>2398</v>
      </c>
      <c r="G2996" s="8634" t="s">
        <v>6866</v>
      </c>
      <c r="H2996" s="8634" t="s">
        <v>2870</v>
      </c>
      <c r="I2996" s="8634" t="s">
        <v>823</v>
      </c>
    </row>
    <row customHeight="1" ht="11.25">
      <c r="A2997" s="8634" t="s">
        <v>2182</v>
      </c>
      <c r="B2997" s="8634" t="s">
        <v>14</v>
      </c>
      <c r="C2997" s="8634" t="s">
        <v>3574</v>
      </c>
      <c r="D2997" s="8634" t="s">
        <v>3575</v>
      </c>
      <c r="E2997" s="8634" t="s">
        <v>3576</v>
      </c>
      <c r="F2997" s="8634" t="s">
        <v>2334</v>
      </c>
      <c r="G2997" s="8634" t="s">
        <v>24</v>
      </c>
      <c r="H2997" s="8634" t="s">
        <v>2187</v>
      </c>
      <c r="I2997" s="8634" t="s">
        <v>823</v>
      </c>
    </row>
    <row customHeight="1" ht="11.25">
      <c r="A2998" s="8634" t="s">
        <v>2182</v>
      </c>
      <c r="B2998" s="8634" t="s">
        <v>14</v>
      </c>
      <c r="C2998" s="8634" t="s">
        <v>3577</v>
      </c>
      <c r="D2998" s="8634" t="s">
        <v>3578</v>
      </c>
      <c r="E2998" s="8634" t="s">
        <v>3579</v>
      </c>
      <c r="F2998" s="8634" t="s">
        <v>2300</v>
      </c>
      <c r="G2998" s="8634" t="s">
        <v>24</v>
      </c>
      <c r="H2998" s="8634" t="s">
        <v>2187</v>
      </c>
      <c r="I2998" s="8634" t="s">
        <v>823</v>
      </c>
    </row>
    <row customHeight="1" ht="11.25">
      <c r="A2999" s="8634" t="s">
        <v>2182</v>
      </c>
      <c r="B2999" s="8634" t="s">
        <v>14</v>
      </c>
      <c r="C2999" s="8634" t="s">
        <v>3580</v>
      </c>
      <c r="D2999" s="8634" t="s">
        <v>3581</v>
      </c>
      <c r="E2999" s="8634" t="s">
        <v>3582</v>
      </c>
      <c r="F2999" s="8634" t="s">
        <v>2411</v>
      </c>
      <c r="G2999" s="8634" t="s">
        <v>3583</v>
      </c>
      <c r="H2999" s="8634" t="s">
        <v>2400</v>
      </c>
      <c r="I2999" s="8634" t="s">
        <v>823</v>
      </c>
    </row>
    <row customHeight="1" ht="11.25">
      <c r="A3000" s="8634" t="s">
        <v>2182</v>
      </c>
      <c r="B3000" s="8634" t="s">
        <v>14</v>
      </c>
      <c r="C3000" s="8634" t="s">
        <v>6867</v>
      </c>
      <c r="D3000" s="8634" t="s">
        <v>6868</v>
      </c>
      <c r="E3000" s="8634" t="s">
        <v>6869</v>
      </c>
      <c r="F3000" s="8634" t="s">
        <v>2376</v>
      </c>
      <c r="G3000" s="8634" t="s">
        <v>6870</v>
      </c>
      <c r="H3000" s="8634" t="s">
        <v>24</v>
      </c>
      <c r="I3000" s="8634" t="s">
        <v>823</v>
      </c>
    </row>
    <row customHeight="1" ht="11.25">
      <c r="A3001" s="8634" t="s">
        <v>2182</v>
      </c>
      <c r="B3001" s="8634" t="s">
        <v>14</v>
      </c>
      <c r="C3001" s="8634" t="s">
        <v>6871</v>
      </c>
      <c r="D3001" s="8634" t="s">
        <v>6872</v>
      </c>
      <c r="E3001" s="8634" t="s">
        <v>6873</v>
      </c>
      <c r="F3001" s="8634" t="s">
        <v>4090</v>
      </c>
      <c r="G3001" s="8634" t="s">
        <v>24</v>
      </c>
      <c r="H3001" s="8634" t="s">
        <v>3093</v>
      </c>
      <c r="I3001" s="8634" t="s">
        <v>823</v>
      </c>
    </row>
    <row customHeight="1" ht="11.25">
      <c r="A3002" s="8634" t="s">
        <v>2182</v>
      </c>
      <c r="B3002" s="8634" t="s">
        <v>14</v>
      </c>
      <c r="C3002" s="8634" t="s">
        <v>3584</v>
      </c>
      <c r="D3002" s="8634" t="s">
        <v>3585</v>
      </c>
      <c r="E3002" s="8634" t="s">
        <v>3586</v>
      </c>
      <c r="F3002" s="8634" t="s">
        <v>2626</v>
      </c>
      <c r="G3002" s="8634" t="s">
        <v>3587</v>
      </c>
      <c r="H3002" s="8634" t="s">
        <v>24</v>
      </c>
      <c r="I3002" s="8634" t="s">
        <v>823</v>
      </c>
    </row>
    <row customHeight="1" ht="11.25">
      <c r="A3003" s="8634" t="s">
        <v>2182</v>
      </c>
      <c r="B3003" s="8634" t="s">
        <v>14</v>
      </c>
      <c r="C3003" s="8634" t="s">
        <v>3588</v>
      </c>
      <c r="D3003" s="8634" t="s">
        <v>3589</v>
      </c>
      <c r="E3003" s="8634" t="s">
        <v>3590</v>
      </c>
      <c r="F3003" s="8634" t="s">
        <v>2274</v>
      </c>
      <c r="G3003" s="8634" t="s">
        <v>24</v>
      </c>
      <c r="H3003" s="8634" t="s">
        <v>24</v>
      </c>
      <c r="I3003" s="8634" t="s">
        <v>823</v>
      </c>
    </row>
    <row customHeight="1" ht="11.25">
      <c r="A3004" s="8634" t="s">
        <v>2182</v>
      </c>
      <c r="B3004" s="8634" t="s">
        <v>14</v>
      </c>
      <c r="C3004" s="8634" t="s">
        <v>6874</v>
      </c>
      <c r="D3004" s="8634" t="s">
        <v>6875</v>
      </c>
      <c r="E3004" s="8634" t="s">
        <v>6876</v>
      </c>
      <c r="F3004" s="8634" t="s">
        <v>2334</v>
      </c>
      <c r="G3004" s="8634" t="s">
        <v>24</v>
      </c>
      <c r="H3004" s="8634" t="s">
        <v>2187</v>
      </c>
      <c r="I3004" s="8634" t="s">
        <v>823</v>
      </c>
    </row>
    <row customHeight="1" ht="11.25">
      <c r="A3005" s="8634" t="s">
        <v>2182</v>
      </c>
      <c r="B3005" s="8634" t="s">
        <v>14</v>
      </c>
      <c r="C3005" s="8634" t="s">
        <v>6877</v>
      </c>
      <c r="D3005" s="8634" t="s">
        <v>6878</v>
      </c>
      <c r="E3005" s="8634" t="s">
        <v>6879</v>
      </c>
      <c r="F3005" s="8634" t="s">
        <v>2339</v>
      </c>
      <c r="G3005" s="8634" t="s">
        <v>24</v>
      </c>
      <c r="H3005" s="8634" t="s">
        <v>24</v>
      </c>
      <c r="I3005" s="8634" t="s">
        <v>823</v>
      </c>
    </row>
    <row customHeight="1" ht="11.25">
      <c r="A3006" s="8634" t="s">
        <v>2182</v>
      </c>
      <c r="B3006" s="8634" t="s">
        <v>14</v>
      </c>
      <c r="C3006" s="8634" t="s">
        <v>3595</v>
      </c>
      <c r="D3006" s="8634" t="s">
        <v>3596</v>
      </c>
      <c r="E3006" s="8634" t="s">
        <v>3597</v>
      </c>
      <c r="F3006" s="8634" t="s">
        <v>2600</v>
      </c>
      <c r="G3006" s="8634" t="s">
        <v>3598</v>
      </c>
      <c r="H3006" s="8634" t="s">
        <v>24</v>
      </c>
      <c r="I3006" s="8634" t="s">
        <v>823</v>
      </c>
    </row>
    <row customHeight="1" ht="11.25">
      <c r="A3007" s="8634" t="s">
        <v>2182</v>
      </c>
      <c r="B3007" s="8634" t="s">
        <v>14</v>
      </c>
      <c r="C3007" s="8634" t="s">
        <v>3599</v>
      </c>
      <c r="D3007" s="8634" t="s">
        <v>3600</v>
      </c>
      <c r="E3007" s="8634" t="s">
        <v>3601</v>
      </c>
      <c r="F3007" s="8634" t="s">
        <v>2376</v>
      </c>
      <c r="G3007" s="8634" t="s">
        <v>3602</v>
      </c>
      <c r="H3007" s="8634" t="s">
        <v>24</v>
      </c>
      <c r="I3007" s="8634" t="s">
        <v>823</v>
      </c>
    </row>
    <row customHeight="1" ht="11.25">
      <c r="A3008" s="8634" t="s">
        <v>2182</v>
      </c>
      <c r="B3008" s="8634" t="s">
        <v>14</v>
      </c>
      <c r="C3008" s="8634" t="s">
        <v>3603</v>
      </c>
      <c r="D3008" s="8634" t="s">
        <v>3604</v>
      </c>
      <c r="E3008" s="8634" t="s">
        <v>3605</v>
      </c>
      <c r="F3008" s="8634" t="s">
        <v>2696</v>
      </c>
      <c r="G3008" s="8634" t="s">
        <v>3606</v>
      </c>
      <c r="H3008" s="8634" t="s">
        <v>3607</v>
      </c>
      <c r="I3008" s="8634" t="s">
        <v>823</v>
      </c>
    </row>
    <row customHeight="1" ht="11.25">
      <c r="A3009" s="8634" t="s">
        <v>2182</v>
      </c>
      <c r="B3009" s="8634" t="s">
        <v>14</v>
      </c>
      <c r="C3009" s="8634" t="s">
        <v>3611</v>
      </c>
      <c r="D3009" s="8634" t="s">
        <v>3612</v>
      </c>
      <c r="E3009" s="8634" t="s">
        <v>3613</v>
      </c>
      <c r="F3009" s="8634" t="s">
        <v>2245</v>
      </c>
      <c r="G3009" s="8634" t="s">
        <v>3614</v>
      </c>
      <c r="H3009" s="8634" t="s">
        <v>2400</v>
      </c>
      <c r="I3009" s="8634" t="s">
        <v>823</v>
      </c>
    </row>
    <row customHeight="1" ht="11.25">
      <c r="A3010" s="8634" t="s">
        <v>2182</v>
      </c>
      <c r="B3010" s="8634" t="s">
        <v>14</v>
      </c>
      <c r="C3010" s="8634" t="s">
        <v>3615</v>
      </c>
      <c r="D3010" s="8634" t="s">
        <v>3616</v>
      </c>
      <c r="E3010" s="8634" t="s">
        <v>3617</v>
      </c>
      <c r="F3010" s="8634" t="s">
        <v>2600</v>
      </c>
      <c r="G3010" s="8634" t="s">
        <v>3618</v>
      </c>
      <c r="H3010" s="8634" t="s">
        <v>3619</v>
      </c>
      <c r="I3010" s="8634" t="s">
        <v>823</v>
      </c>
    </row>
    <row customHeight="1" ht="11.25">
      <c r="A3011" s="8634" t="s">
        <v>2182</v>
      </c>
      <c r="B3011" s="8634" t="s">
        <v>14</v>
      </c>
      <c r="C3011" s="8634" t="s">
        <v>6880</v>
      </c>
      <c r="D3011" s="8634" t="s">
        <v>6881</v>
      </c>
      <c r="E3011" s="8634" t="s">
        <v>6882</v>
      </c>
      <c r="F3011" s="8634" t="s">
        <v>2279</v>
      </c>
      <c r="G3011" s="8634" t="s">
        <v>6883</v>
      </c>
      <c r="H3011" s="8634" t="s">
        <v>24</v>
      </c>
      <c r="I3011" s="8634" t="s">
        <v>823</v>
      </c>
    </row>
    <row customHeight="1" ht="11.25">
      <c r="A3012" s="8634" t="s">
        <v>2182</v>
      </c>
      <c r="B3012" s="8634" t="s">
        <v>14</v>
      </c>
      <c r="C3012" s="8634" t="s">
        <v>3628</v>
      </c>
      <c r="D3012" s="8634" t="s">
        <v>3629</v>
      </c>
      <c r="E3012" s="8634" t="s">
        <v>3630</v>
      </c>
      <c r="F3012" s="8634" t="s">
        <v>3631</v>
      </c>
      <c r="G3012" s="8634" t="s">
        <v>3632</v>
      </c>
      <c r="H3012" s="8634" t="s">
        <v>24</v>
      </c>
      <c r="I3012" s="8634" t="s">
        <v>823</v>
      </c>
    </row>
    <row customHeight="1" ht="11.25">
      <c r="A3013" s="8634" t="s">
        <v>2182</v>
      </c>
      <c r="B3013" s="8634" t="s">
        <v>14</v>
      </c>
      <c r="C3013" s="8634" t="s">
        <v>3649</v>
      </c>
      <c r="D3013" s="8634" t="s">
        <v>3650</v>
      </c>
      <c r="E3013" s="8634" t="s">
        <v>3651</v>
      </c>
      <c r="F3013" s="8634" t="s">
        <v>2300</v>
      </c>
      <c r="G3013" s="8634" t="s">
        <v>24</v>
      </c>
      <c r="H3013" s="8634" t="s">
        <v>2187</v>
      </c>
      <c r="I3013" s="8634" t="s">
        <v>823</v>
      </c>
    </row>
    <row customHeight="1" ht="11.25">
      <c r="A3014" s="8634" t="s">
        <v>2182</v>
      </c>
      <c r="B3014" s="8634" t="s">
        <v>14</v>
      </c>
      <c r="C3014" s="8634" t="s">
        <v>3652</v>
      </c>
      <c r="D3014" s="8634" t="s">
        <v>3653</v>
      </c>
      <c r="E3014" s="8634" t="s">
        <v>3654</v>
      </c>
      <c r="F3014" s="8634" t="s">
        <v>2626</v>
      </c>
      <c r="G3014" s="8634" t="s">
        <v>3655</v>
      </c>
      <c r="H3014" s="8634" t="s">
        <v>24</v>
      </c>
      <c r="I3014" s="8634" t="s">
        <v>823</v>
      </c>
    </row>
    <row customHeight="1" ht="11.25">
      <c r="A3015" s="8634" t="s">
        <v>2182</v>
      </c>
      <c r="B3015" s="8634" t="s">
        <v>14</v>
      </c>
      <c r="C3015" s="8634" t="s">
        <v>3656</v>
      </c>
      <c r="D3015" s="8634" t="s">
        <v>3657</v>
      </c>
      <c r="E3015" s="8634" t="s">
        <v>3658</v>
      </c>
      <c r="F3015" s="8634" t="s">
        <v>2398</v>
      </c>
      <c r="G3015" s="8634" t="s">
        <v>3659</v>
      </c>
      <c r="H3015" s="8634" t="s">
        <v>2870</v>
      </c>
      <c r="I3015" s="8634" t="s">
        <v>823</v>
      </c>
    </row>
    <row customHeight="1" ht="11.25">
      <c r="A3016" s="8634" t="s">
        <v>2182</v>
      </c>
      <c r="B3016" s="8634" t="s">
        <v>14</v>
      </c>
      <c r="C3016" s="8634" t="s">
        <v>3660</v>
      </c>
      <c r="D3016" s="8634" t="s">
        <v>3661</v>
      </c>
      <c r="E3016" s="8634" t="s">
        <v>3662</v>
      </c>
      <c r="F3016" s="8634" t="s">
        <v>2696</v>
      </c>
      <c r="G3016" s="8634" t="s">
        <v>3663</v>
      </c>
      <c r="H3016" s="8634" t="s">
        <v>24</v>
      </c>
      <c r="I3016" s="8634" t="s">
        <v>823</v>
      </c>
    </row>
    <row customHeight="1" ht="11.25">
      <c r="A3017" s="8634" t="s">
        <v>2182</v>
      </c>
      <c r="B3017" s="8634" t="s">
        <v>14</v>
      </c>
      <c r="C3017" s="8634" t="s">
        <v>3664</v>
      </c>
      <c r="D3017" s="8634" t="s">
        <v>3665</v>
      </c>
      <c r="E3017" s="8634" t="s">
        <v>3666</v>
      </c>
      <c r="F3017" s="8634" t="s">
        <v>2460</v>
      </c>
      <c r="G3017" s="8634" t="s">
        <v>3667</v>
      </c>
      <c r="H3017" s="8634" t="s">
        <v>24</v>
      </c>
      <c r="I3017" s="8634" t="s">
        <v>823</v>
      </c>
    </row>
    <row customHeight="1" ht="11.25">
      <c r="A3018" s="8634" t="s">
        <v>2182</v>
      </c>
      <c r="B3018" s="8634" t="s">
        <v>14</v>
      </c>
      <c r="C3018" s="8634" t="s">
        <v>3668</v>
      </c>
      <c r="D3018" s="8634" t="s">
        <v>3669</v>
      </c>
      <c r="E3018" s="8634" t="s">
        <v>3670</v>
      </c>
      <c r="F3018" s="8634" t="s">
        <v>3248</v>
      </c>
      <c r="G3018" s="8634" t="s">
        <v>24</v>
      </c>
      <c r="H3018" s="8634" t="s">
        <v>24</v>
      </c>
      <c r="I3018" s="8634" t="s">
        <v>823</v>
      </c>
    </row>
    <row customHeight="1" ht="11.25">
      <c r="A3019" s="8634" t="s">
        <v>2182</v>
      </c>
      <c r="B3019" s="8634" t="s">
        <v>14</v>
      </c>
      <c r="C3019" s="8634" t="s">
        <v>6884</v>
      </c>
      <c r="D3019" s="8634" t="s">
        <v>6885</v>
      </c>
      <c r="E3019" s="8634" t="s">
        <v>6886</v>
      </c>
      <c r="F3019" s="8634" t="s">
        <v>2322</v>
      </c>
      <c r="G3019" s="8634" t="s">
        <v>6887</v>
      </c>
      <c r="H3019" s="8634" t="s">
        <v>6888</v>
      </c>
      <c r="I3019" s="8634" t="s">
        <v>823</v>
      </c>
    </row>
    <row customHeight="1" ht="11.25">
      <c r="A3020" s="8634" t="s">
        <v>2182</v>
      </c>
      <c r="B3020" s="8634" t="s">
        <v>14</v>
      </c>
      <c r="C3020" s="8634" t="s">
        <v>3698</v>
      </c>
      <c r="D3020" s="8634" t="s">
        <v>3699</v>
      </c>
      <c r="E3020" s="8634" t="s">
        <v>3700</v>
      </c>
      <c r="F3020" s="8634" t="s">
        <v>2228</v>
      </c>
      <c r="G3020" s="8634" t="s">
        <v>24</v>
      </c>
      <c r="H3020" s="8634" t="s">
        <v>24</v>
      </c>
      <c r="I3020" s="8634" t="s">
        <v>823</v>
      </c>
    </row>
    <row customHeight="1" ht="11.25">
      <c r="A3021" s="8634" t="s">
        <v>2182</v>
      </c>
      <c r="B3021" s="8634" t="s">
        <v>14</v>
      </c>
      <c r="C3021" s="8634" t="s">
        <v>3701</v>
      </c>
      <c r="D3021" s="8634" t="s">
        <v>3702</v>
      </c>
      <c r="E3021" s="8634" t="s">
        <v>3703</v>
      </c>
      <c r="F3021" s="8634" t="s">
        <v>2567</v>
      </c>
      <c r="G3021" s="8634" t="s">
        <v>24</v>
      </c>
      <c r="H3021" s="8634" t="s">
        <v>2187</v>
      </c>
      <c r="I3021" s="8634" t="s">
        <v>823</v>
      </c>
    </row>
    <row customHeight="1" ht="11.25">
      <c r="A3022" s="8634" t="s">
        <v>2182</v>
      </c>
      <c r="B3022" s="8634" t="s">
        <v>14</v>
      </c>
      <c r="C3022" s="8634" t="s">
        <v>6889</v>
      </c>
      <c r="D3022" s="8634" t="s">
        <v>6890</v>
      </c>
      <c r="E3022" s="8634" t="s">
        <v>6891</v>
      </c>
      <c r="F3022" s="8634" t="s">
        <v>2492</v>
      </c>
      <c r="G3022" s="8634" t="s">
        <v>24</v>
      </c>
      <c r="H3022" s="8634" t="s">
        <v>6892</v>
      </c>
      <c r="I3022" s="8634" t="s">
        <v>823</v>
      </c>
    </row>
    <row customHeight="1" ht="11.25">
      <c r="A3023" s="8634" t="s">
        <v>2182</v>
      </c>
      <c r="B3023" s="8634" t="s">
        <v>14</v>
      </c>
      <c r="C3023" s="8634" t="s">
        <v>3711</v>
      </c>
      <c r="D3023" s="8634" t="s">
        <v>3712</v>
      </c>
      <c r="E3023" s="8634" t="s">
        <v>3713</v>
      </c>
      <c r="F3023" s="8634" t="s">
        <v>2274</v>
      </c>
      <c r="G3023" s="8634" t="s">
        <v>3714</v>
      </c>
      <c r="H3023" s="8634" t="s">
        <v>24</v>
      </c>
      <c r="I3023" s="8634" t="s">
        <v>823</v>
      </c>
    </row>
    <row customHeight="1" ht="11.25">
      <c r="A3024" s="8634" t="s">
        <v>2182</v>
      </c>
      <c r="B3024" s="8634" t="s">
        <v>14</v>
      </c>
      <c r="C3024" s="8634" t="s">
        <v>3715</v>
      </c>
      <c r="D3024" s="8634" t="s">
        <v>3716</v>
      </c>
      <c r="E3024" s="8634" t="s">
        <v>3717</v>
      </c>
      <c r="F3024" s="8634" t="s">
        <v>2334</v>
      </c>
      <c r="G3024" s="8634" t="s">
        <v>24</v>
      </c>
      <c r="H3024" s="8634" t="s">
        <v>2187</v>
      </c>
      <c r="I3024" s="8634" t="s">
        <v>823</v>
      </c>
    </row>
    <row customHeight="1" ht="11.25">
      <c r="A3025" s="8634" t="s">
        <v>2182</v>
      </c>
      <c r="B3025" s="8634" t="s">
        <v>14</v>
      </c>
      <c r="C3025" s="8634" t="s">
        <v>3718</v>
      </c>
      <c r="D3025" s="8634" t="s">
        <v>3719</v>
      </c>
      <c r="E3025" s="8634" t="s">
        <v>3720</v>
      </c>
      <c r="F3025" s="8634" t="s">
        <v>2705</v>
      </c>
      <c r="G3025" s="8634" t="s">
        <v>3721</v>
      </c>
      <c r="H3025" s="8634" t="s">
        <v>2187</v>
      </c>
      <c r="I3025" s="8634" t="s">
        <v>823</v>
      </c>
    </row>
    <row customHeight="1" ht="11.25">
      <c r="A3026" s="8634" t="s">
        <v>2182</v>
      </c>
      <c r="B3026" s="8634" t="s">
        <v>14</v>
      </c>
      <c r="C3026" s="8634" t="s">
        <v>3722</v>
      </c>
      <c r="D3026" s="8634" t="s">
        <v>3723</v>
      </c>
      <c r="E3026" s="8634" t="s">
        <v>3724</v>
      </c>
      <c r="F3026" s="8634" t="s">
        <v>2334</v>
      </c>
      <c r="G3026" s="8634" t="s">
        <v>24</v>
      </c>
      <c r="H3026" s="8634" t="s">
        <v>3725</v>
      </c>
      <c r="I3026" s="8634" t="s">
        <v>823</v>
      </c>
    </row>
    <row customHeight="1" ht="11.25">
      <c r="A3027" s="8634" t="s">
        <v>2182</v>
      </c>
      <c r="B3027" s="8634" t="s">
        <v>14</v>
      </c>
      <c r="C3027" s="8634" t="s">
        <v>6898</v>
      </c>
      <c r="D3027" s="8634" t="s">
        <v>6899</v>
      </c>
      <c r="E3027" s="8634" t="s">
        <v>6900</v>
      </c>
      <c r="F3027" s="8634" t="s">
        <v>2492</v>
      </c>
      <c r="G3027" s="8634" t="s">
        <v>24</v>
      </c>
      <c r="H3027" s="8634" t="s">
        <v>2870</v>
      </c>
      <c r="I3027" s="8634" t="s">
        <v>823</v>
      </c>
    </row>
    <row customHeight="1" ht="11.25">
      <c r="A3028" s="8634" t="s">
        <v>2182</v>
      </c>
      <c r="B3028" s="8634" t="s">
        <v>14</v>
      </c>
      <c r="C3028" s="8634" t="s">
        <v>3726</v>
      </c>
      <c r="D3028" s="8634" t="s">
        <v>3727</v>
      </c>
      <c r="E3028" s="8634" t="s">
        <v>3728</v>
      </c>
      <c r="F3028" s="8634" t="s">
        <v>2376</v>
      </c>
      <c r="G3028" s="8634" t="s">
        <v>24</v>
      </c>
      <c r="H3028" s="8634" t="s">
        <v>2187</v>
      </c>
      <c r="I3028" s="8634" t="s">
        <v>823</v>
      </c>
    </row>
    <row customHeight="1" ht="11.25">
      <c r="A3029" s="8634" t="s">
        <v>2182</v>
      </c>
      <c r="B3029" s="8634" t="s">
        <v>14</v>
      </c>
      <c r="C3029" s="8634" t="s">
        <v>3729</v>
      </c>
      <c r="D3029" s="8634" t="s">
        <v>3730</v>
      </c>
      <c r="E3029" s="8634" t="s">
        <v>3731</v>
      </c>
      <c r="F3029" s="8634" t="s">
        <v>2460</v>
      </c>
      <c r="G3029" s="8634" t="s">
        <v>3732</v>
      </c>
      <c r="H3029" s="8634" t="s">
        <v>2870</v>
      </c>
      <c r="I3029" s="8634" t="s">
        <v>823</v>
      </c>
    </row>
    <row customHeight="1" ht="11.25">
      <c r="A3030" s="8634" t="s">
        <v>2182</v>
      </c>
      <c r="B3030" s="8634" t="s">
        <v>14</v>
      </c>
      <c r="C3030" s="8634" t="s">
        <v>3733</v>
      </c>
      <c r="D3030" s="8634" t="s">
        <v>3734</v>
      </c>
      <c r="E3030" s="8634" t="s">
        <v>3735</v>
      </c>
      <c r="F3030" s="8634" t="s">
        <v>2600</v>
      </c>
      <c r="G3030" s="8634" t="s">
        <v>24</v>
      </c>
      <c r="H3030" s="8634" t="s">
        <v>2187</v>
      </c>
      <c r="I3030" s="8634" t="s">
        <v>823</v>
      </c>
    </row>
    <row customHeight="1" ht="11.25">
      <c r="A3031" s="8634" t="s">
        <v>2182</v>
      </c>
      <c r="B3031" s="8634" t="s">
        <v>14</v>
      </c>
      <c r="C3031" s="8634" t="s">
        <v>3736</v>
      </c>
      <c r="D3031" s="8634" t="s">
        <v>3737</v>
      </c>
      <c r="E3031" s="8634" t="s">
        <v>3738</v>
      </c>
      <c r="F3031" s="8634" t="s">
        <v>2245</v>
      </c>
      <c r="G3031" s="8634" t="s">
        <v>24</v>
      </c>
      <c r="H3031" s="8634" t="s">
        <v>2187</v>
      </c>
      <c r="I3031" s="8634" t="s">
        <v>823</v>
      </c>
    </row>
    <row customHeight="1" ht="11.25">
      <c r="A3032" s="8634" t="s">
        <v>2182</v>
      </c>
      <c r="B3032" s="8634" t="s">
        <v>14</v>
      </c>
      <c r="C3032" s="8634" t="s">
        <v>7952</v>
      </c>
      <c r="D3032" s="8634" t="s">
        <v>7953</v>
      </c>
      <c r="E3032" s="8634" t="s">
        <v>7954</v>
      </c>
      <c r="F3032" s="8634" t="s">
        <v>2269</v>
      </c>
      <c r="G3032" s="8634" t="s">
        <v>7955</v>
      </c>
      <c r="H3032" s="8634" t="s">
        <v>24</v>
      </c>
      <c r="I3032" s="8634" t="s">
        <v>823</v>
      </c>
    </row>
    <row customHeight="1" ht="11.25">
      <c r="A3033" s="8634" t="s">
        <v>2182</v>
      </c>
      <c r="B3033" s="8634" t="s">
        <v>14</v>
      </c>
      <c r="C3033" s="8634" t="s">
        <v>6901</v>
      </c>
      <c r="D3033" s="8634" t="s">
        <v>6902</v>
      </c>
      <c r="E3033" s="8634" t="s">
        <v>6903</v>
      </c>
      <c r="F3033" s="8634" t="s">
        <v>3776</v>
      </c>
      <c r="G3033" s="8634" t="s">
        <v>6904</v>
      </c>
      <c r="H3033" s="8634" t="s">
        <v>24</v>
      </c>
      <c r="I3033" s="8634" t="s">
        <v>823</v>
      </c>
    </row>
    <row customHeight="1" ht="11.25">
      <c r="A3034" s="8634" t="s">
        <v>2182</v>
      </c>
      <c r="B3034" s="8634" t="s">
        <v>14</v>
      </c>
      <c r="C3034" s="8634" t="s">
        <v>3742</v>
      </c>
      <c r="D3034" s="8634" t="s">
        <v>3743</v>
      </c>
      <c r="E3034" s="8634" t="s">
        <v>3744</v>
      </c>
      <c r="F3034" s="8634" t="s">
        <v>2600</v>
      </c>
      <c r="G3034" s="8634" t="s">
        <v>24</v>
      </c>
      <c r="H3034" s="8634" t="s">
        <v>2187</v>
      </c>
      <c r="I3034" s="8634" t="s">
        <v>823</v>
      </c>
    </row>
    <row customHeight="1" ht="11.25">
      <c r="A3035" s="8634" t="s">
        <v>2182</v>
      </c>
      <c r="B3035" s="8634" t="s">
        <v>14</v>
      </c>
      <c r="C3035" s="8634" t="s">
        <v>3745</v>
      </c>
      <c r="D3035" s="8634" t="s">
        <v>3746</v>
      </c>
      <c r="E3035" s="8634" t="s">
        <v>3747</v>
      </c>
      <c r="F3035" s="8634" t="s">
        <v>2398</v>
      </c>
      <c r="G3035" s="8634" t="s">
        <v>24</v>
      </c>
      <c r="H3035" s="8634" t="s">
        <v>24</v>
      </c>
      <c r="I3035" s="8634" t="s">
        <v>823</v>
      </c>
    </row>
    <row customHeight="1" ht="11.25">
      <c r="A3036" s="8634" t="s">
        <v>2182</v>
      </c>
      <c r="B3036" s="8634" t="s">
        <v>14</v>
      </c>
      <c r="C3036" s="8634" t="s">
        <v>3748</v>
      </c>
      <c r="D3036" s="8634" t="s">
        <v>3749</v>
      </c>
      <c r="E3036" s="8634" t="s">
        <v>3750</v>
      </c>
      <c r="F3036" s="8634" t="s">
        <v>2349</v>
      </c>
      <c r="G3036" s="8634" t="s">
        <v>24</v>
      </c>
      <c r="H3036" s="8634" t="s">
        <v>24</v>
      </c>
      <c r="I3036" s="8634" t="s">
        <v>823</v>
      </c>
    </row>
    <row customHeight="1" ht="11.25">
      <c r="A3037" s="8634" t="s">
        <v>2182</v>
      </c>
      <c r="B3037" s="8634" t="s">
        <v>14</v>
      </c>
      <c r="C3037" s="8634" t="s">
        <v>3754</v>
      </c>
      <c r="D3037" s="8634" t="s">
        <v>3755</v>
      </c>
      <c r="E3037" s="8634" t="s">
        <v>3756</v>
      </c>
      <c r="F3037" s="8634" t="s">
        <v>3757</v>
      </c>
      <c r="G3037" s="8634" t="s">
        <v>3758</v>
      </c>
      <c r="H3037" s="8634" t="s">
        <v>2400</v>
      </c>
      <c r="I3037" s="8634" t="s">
        <v>823</v>
      </c>
    </row>
    <row customHeight="1" ht="11.25">
      <c r="A3038" s="8634" t="s">
        <v>2182</v>
      </c>
      <c r="B3038" s="8634" t="s">
        <v>14</v>
      </c>
      <c r="C3038" s="8634" t="s">
        <v>3759</v>
      </c>
      <c r="D3038" s="8634" t="s">
        <v>3760</v>
      </c>
      <c r="E3038" s="8634" t="s">
        <v>3761</v>
      </c>
      <c r="F3038" s="8634" t="s">
        <v>2334</v>
      </c>
      <c r="G3038" s="8634" t="s">
        <v>24</v>
      </c>
      <c r="H3038" s="8634" t="s">
        <v>2187</v>
      </c>
      <c r="I3038" s="8634" t="s">
        <v>823</v>
      </c>
    </row>
    <row customHeight="1" ht="11.25">
      <c r="A3039" s="8634" t="s">
        <v>2182</v>
      </c>
      <c r="B3039" s="8634" t="s">
        <v>14</v>
      </c>
      <c r="C3039" s="8634" t="s">
        <v>3762</v>
      </c>
      <c r="D3039" s="8634" t="s">
        <v>3763</v>
      </c>
      <c r="E3039" s="8634" t="s">
        <v>3764</v>
      </c>
      <c r="F3039" s="8634" t="s">
        <v>3765</v>
      </c>
      <c r="G3039" s="8634" t="s">
        <v>24</v>
      </c>
      <c r="H3039" s="8634" t="s">
        <v>24</v>
      </c>
      <c r="I3039" s="8634" t="s">
        <v>823</v>
      </c>
    </row>
    <row customHeight="1" ht="11.25">
      <c r="A3040" s="8634" t="s">
        <v>2182</v>
      </c>
      <c r="B3040" s="8634" t="s">
        <v>14</v>
      </c>
      <c r="C3040" s="8634" t="s">
        <v>3766</v>
      </c>
      <c r="D3040" s="8634" t="s">
        <v>3767</v>
      </c>
      <c r="E3040" s="8634" t="s">
        <v>3768</v>
      </c>
      <c r="F3040" s="8634" t="s">
        <v>2567</v>
      </c>
      <c r="G3040" s="8634" t="s">
        <v>3769</v>
      </c>
      <c r="H3040" s="8634" t="s">
        <v>2870</v>
      </c>
      <c r="I3040" s="8634" t="s">
        <v>823</v>
      </c>
    </row>
    <row customHeight="1" ht="11.25">
      <c r="A3041" s="8634" t="s">
        <v>2182</v>
      </c>
      <c r="B3041" s="8634" t="s">
        <v>14</v>
      </c>
      <c r="C3041" s="8634" t="s">
        <v>3770</v>
      </c>
      <c r="D3041" s="8634" t="s">
        <v>3771</v>
      </c>
      <c r="E3041" s="8634" t="s">
        <v>3772</v>
      </c>
      <c r="F3041" s="8634" t="s">
        <v>2567</v>
      </c>
      <c r="G3041" s="8634" t="s">
        <v>24</v>
      </c>
      <c r="H3041" s="8634" t="s">
        <v>2993</v>
      </c>
      <c r="I3041" s="8634" t="s">
        <v>823</v>
      </c>
    </row>
    <row customHeight="1" ht="11.25">
      <c r="A3042" s="8634" t="s">
        <v>2182</v>
      </c>
      <c r="B3042" s="8634" t="s">
        <v>14</v>
      </c>
      <c r="C3042" s="8634" t="s">
        <v>3777</v>
      </c>
      <c r="D3042" s="8634" t="s">
        <v>3778</v>
      </c>
      <c r="E3042" s="8634" t="s">
        <v>3779</v>
      </c>
      <c r="F3042" s="8634" t="s">
        <v>2322</v>
      </c>
      <c r="G3042" s="8634" t="s">
        <v>24</v>
      </c>
      <c r="H3042" s="8634" t="s">
        <v>24</v>
      </c>
      <c r="I3042" s="8634" t="s">
        <v>823</v>
      </c>
    </row>
    <row customHeight="1" ht="11.25">
      <c r="A3043" s="8634" t="s">
        <v>2182</v>
      </c>
      <c r="B3043" s="8634" t="s">
        <v>14</v>
      </c>
      <c r="C3043" s="8634" t="s">
        <v>3784</v>
      </c>
      <c r="D3043" s="8634" t="s">
        <v>3785</v>
      </c>
      <c r="E3043" s="8634" t="s">
        <v>3786</v>
      </c>
      <c r="F3043" s="8634" t="s">
        <v>2334</v>
      </c>
      <c r="G3043" s="8634" t="s">
        <v>24</v>
      </c>
      <c r="H3043" s="8634" t="s">
        <v>2187</v>
      </c>
      <c r="I3043" s="8634" t="s">
        <v>823</v>
      </c>
    </row>
    <row customHeight="1" ht="11.25">
      <c r="A3044" s="8634" t="s">
        <v>2182</v>
      </c>
      <c r="B3044" s="8634" t="s">
        <v>14</v>
      </c>
      <c r="C3044" s="8634" t="s">
        <v>3789</v>
      </c>
      <c r="D3044" s="8634" t="s">
        <v>3790</v>
      </c>
      <c r="E3044" s="8634" t="s">
        <v>3791</v>
      </c>
      <c r="F3044" s="8634" t="s">
        <v>3792</v>
      </c>
      <c r="G3044" s="8634" t="s">
        <v>24</v>
      </c>
      <c r="H3044" s="8634" t="s">
        <v>24</v>
      </c>
      <c r="I3044" s="8634" t="s">
        <v>823</v>
      </c>
    </row>
    <row customHeight="1" ht="11.25">
      <c r="A3045" s="8634" t="s">
        <v>2182</v>
      </c>
      <c r="B3045" s="8634" t="s">
        <v>14</v>
      </c>
      <c r="C3045" s="8634" t="s">
        <v>3796</v>
      </c>
      <c r="D3045" s="8634" t="s">
        <v>3797</v>
      </c>
      <c r="E3045" s="8634" t="s">
        <v>3039</v>
      </c>
      <c r="F3045" s="8634" t="s">
        <v>3798</v>
      </c>
      <c r="G3045" s="8634" t="s">
        <v>24</v>
      </c>
      <c r="H3045" s="8634" t="s">
        <v>24</v>
      </c>
      <c r="I3045" s="8634" t="s">
        <v>823</v>
      </c>
    </row>
    <row customHeight="1" ht="11.25">
      <c r="A3046" s="8634" t="s">
        <v>2182</v>
      </c>
      <c r="B3046" s="8634" t="s">
        <v>14</v>
      </c>
      <c r="C3046" s="8634" t="s">
        <v>3799</v>
      </c>
      <c r="D3046" s="8634" t="s">
        <v>3800</v>
      </c>
      <c r="E3046" s="8634" t="s">
        <v>3039</v>
      </c>
      <c r="F3046" s="8634" t="s">
        <v>3801</v>
      </c>
      <c r="G3046" s="8634" t="s">
        <v>3473</v>
      </c>
      <c r="H3046" s="8634" t="s">
        <v>24</v>
      </c>
      <c r="I3046" s="8634" t="s">
        <v>823</v>
      </c>
    </row>
    <row customHeight="1" ht="11.25">
      <c r="A3047" s="8634" t="s">
        <v>2182</v>
      </c>
      <c r="B3047" s="8634" t="s">
        <v>14</v>
      </c>
      <c r="C3047" s="8634" t="s">
        <v>6910</v>
      </c>
      <c r="D3047" s="8634" t="s">
        <v>6911</v>
      </c>
      <c r="E3047" s="8634" t="s">
        <v>6912</v>
      </c>
      <c r="F3047" s="8634" t="s">
        <v>3078</v>
      </c>
      <c r="G3047" s="8634" t="s">
        <v>6913</v>
      </c>
      <c r="H3047" s="8634" t="s">
        <v>24</v>
      </c>
      <c r="I3047" s="8634" t="s">
        <v>823</v>
      </c>
    </row>
    <row customHeight="1" ht="11.25">
      <c r="A3048" s="8634" t="s">
        <v>2182</v>
      </c>
      <c r="B3048" s="8634" t="s">
        <v>14</v>
      </c>
      <c r="C3048" s="8634" t="s">
        <v>6914</v>
      </c>
      <c r="D3048" s="8634" t="s">
        <v>6915</v>
      </c>
      <c r="E3048" s="8634" t="s">
        <v>3039</v>
      </c>
      <c r="F3048" s="8634" t="s">
        <v>6916</v>
      </c>
      <c r="G3048" s="8634" t="s">
        <v>24</v>
      </c>
      <c r="H3048" s="8634" t="s">
        <v>24</v>
      </c>
      <c r="I3048" s="8634" t="s">
        <v>823</v>
      </c>
    </row>
    <row customHeight="1" ht="11.25">
      <c r="A3049" s="8634" t="s">
        <v>2182</v>
      </c>
      <c r="B3049" s="8634" t="s">
        <v>14</v>
      </c>
      <c r="C3049" s="8634" t="s">
        <v>3815</v>
      </c>
      <c r="D3049" s="8634" t="s">
        <v>3816</v>
      </c>
      <c r="E3049" s="8634" t="s">
        <v>3817</v>
      </c>
      <c r="F3049" s="8634" t="s">
        <v>2549</v>
      </c>
      <c r="G3049" s="8634" t="s">
        <v>3818</v>
      </c>
      <c r="H3049" s="8634" t="s">
        <v>24</v>
      </c>
      <c r="I3049" s="8634" t="s">
        <v>823</v>
      </c>
    </row>
    <row customHeight="1" ht="11.25">
      <c r="A3050" s="8634" t="s">
        <v>2182</v>
      </c>
      <c r="B3050" s="8634" t="s">
        <v>14</v>
      </c>
      <c r="C3050" s="8634" t="s">
        <v>6920</v>
      </c>
      <c r="D3050" s="8634" t="s">
        <v>6921</v>
      </c>
      <c r="E3050" s="8634" t="s">
        <v>6922</v>
      </c>
      <c r="F3050" s="8634" t="s">
        <v>2394</v>
      </c>
      <c r="G3050" s="8634" t="s">
        <v>24</v>
      </c>
      <c r="H3050" s="8634" t="s">
        <v>24</v>
      </c>
      <c r="I3050" s="8634" t="s">
        <v>823</v>
      </c>
    </row>
    <row customHeight="1" ht="11.25">
      <c r="A3051" s="8634" t="s">
        <v>2182</v>
      </c>
      <c r="B3051" s="8634" t="s">
        <v>14</v>
      </c>
      <c r="C3051" s="8634" t="s">
        <v>6923</v>
      </c>
      <c r="D3051" s="8634" t="s">
        <v>6924</v>
      </c>
      <c r="E3051" s="8634" t="s">
        <v>6925</v>
      </c>
      <c r="F3051" s="8634" t="s">
        <v>2334</v>
      </c>
      <c r="G3051" s="8634" t="s">
        <v>24</v>
      </c>
      <c r="H3051" s="8634" t="s">
        <v>24</v>
      </c>
      <c r="I3051" s="8634" t="s">
        <v>823</v>
      </c>
    </row>
    <row customHeight="1" ht="11.25">
      <c r="A3052" s="8634" t="s">
        <v>2182</v>
      </c>
      <c r="B3052" s="8634" t="s">
        <v>14</v>
      </c>
      <c r="C3052" s="8634" t="s">
        <v>6312</v>
      </c>
      <c r="D3052" s="8634" t="s">
        <v>6313</v>
      </c>
      <c r="E3052" s="8634" t="s">
        <v>6314</v>
      </c>
      <c r="F3052" s="8634" t="s">
        <v>2334</v>
      </c>
      <c r="G3052" s="8634" t="s">
        <v>24</v>
      </c>
      <c r="H3052" s="8634" t="s">
        <v>6315</v>
      </c>
      <c r="I3052" s="8634" t="s">
        <v>823</v>
      </c>
    </row>
    <row customHeight="1" ht="11.25">
      <c r="A3053" s="8634" t="s">
        <v>2182</v>
      </c>
      <c r="B3053" s="8634" t="s">
        <v>14</v>
      </c>
      <c r="C3053" s="8634" t="s">
        <v>6929</v>
      </c>
      <c r="D3053" s="8634" t="s">
        <v>6930</v>
      </c>
      <c r="E3053" s="8634" t="s">
        <v>6931</v>
      </c>
      <c r="F3053" s="8634" t="s">
        <v>2477</v>
      </c>
      <c r="G3053" s="8634" t="s">
        <v>24</v>
      </c>
      <c r="H3053" s="8634" t="s">
        <v>6932</v>
      </c>
      <c r="I3053" s="8634" t="s">
        <v>823</v>
      </c>
    </row>
    <row customHeight="1" ht="11.25">
      <c r="A3054" s="8634" t="s">
        <v>2182</v>
      </c>
      <c r="B3054" s="8634" t="s">
        <v>14</v>
      </c>
      <c r="C3054" s="8634" t="s">
        <v>6933</v>
      </c>
      <c r="D3054" s="8634" t="s">
        <v>6934</v>
      </c>
      <c r="E3054" s="8634" t="s">
        <v>6935</v>
      </c>
      <c r="F3054" s="8634" t="s">
        <v>2411</v>
      </c>
      <c r="G3054" s="8634" t="s">
        <v>24</v>
      </c>
      <c r="H3054" s="8634" t="s">
        <v>24</v>
      </c>
      <c r="I3054" s="8634" t="s">
        <v>823</v>
      </c>
    </row>
    <row customHeight="1" ht="11.25">
      <c r="A3055" s="8634" t="s">
        <v>2182</v>
      </c>
      <c r="B3055" s="8634" t="s">
        <v>14</v>
      </c>
      <c r="C3055" s="8634" t="s">
        <v>6936</v>
      </c>
      <c r="D3055" s="8634" t="s">
        <v>6937</v>
      </c>
      <c r="E3055" s="8634" t="s">
        <v>6938</v>
      </c>
      <c r="F3055" s="8634" t="s">
        <v>2334</v>
      </c>
      <c r="G3055" s="8634" t="s">
        <v>24</v>
      </c>
      <c r="H3055" s="8634" t="s">
        <v>6939</v>
      </c>
      <c r="I3055" s="8634" t="s">
        <v>823</v>
      </c>
    </row>
    <row customHeight="1" ht="11.25">
      <c r="A3056" s="8634" t="s">
        <v>2182</v>
      </c>
      <c r="B3056" s="8634" t="s">
        <v>14</v>
      </c>
      <c r="C3056" s="8634" t="s">
        <v>6943</v>
      </c>
      <c r="D3056" s="8634" t="s">
        <v>6944</v>
      </c>
      <c r="E3056" s="8634" t="s">
        <v>6945</v>
      </c>
      <c r="F3056" s="8634" t="s">
        <v>3078</v>
      </c>
      <c r="G3056" s="8634" t="s">
        <v>24</v>
      </c>
      <c r="H3056" s="8634" t="s">
        <v>24</v>
      </c>
      <c r="I3056" s="8634" t="s">
        <v>823</v>
      </c>
    </row>
    <row customHeight="1" ht="11.25">
      <c r="A3057" s="8634" t="s">
        <v>2182</v>
      </c>
      <c r="B3057" s="8634" t="s">
        <v>14</v>
      </c>
      <c r="C3057" s="8634" t="s">
        <v>3831</v>
      </c>
      <c r="D3057" s="8634" t="s">
        <v>3832</v>
      </c>
      <c r="E3057" s="8634" t="s">
        <v>3833</v>
      </c>
      <c r="F3057" s="8634" t="s">
        <v>2705</v>
      </c>
      <c r="G3057" s="8634" t="s">
        <v>24</v>
      </c>
      <c r="H3057" s="8634" t="s">
        <v>2187</v>
      </c>
      <c r="I3057" s="8634" t="s">
        <v>823</v>
      </c>
    </row>
    <row customHeight="1" ht="11.25">
      <c r="A3058" s="8634" t="s">
        <v>2182</v>
      </c>
      <c r="B3058" s="8634" t="s">
        <v>14</v>
      </c>
      <c r="C3058" s="8634" t="s">
        <v>6316</v>
      </c>
      <c r="D3058" s="8634" t="s">
        <v>6317</v>
      </c>
      <c r="E3058" s="8634" t="s">
        <v>6318</v>
      </c>
      <c r="F3058" s="8634" t="s">
        <v>2213</v>
      </c>
      <c r="G3058" s="8634" t="s">
        <v>24</v>
      </c>
      <c r="H3058" s="8634" t="s">
        <v>2187</v>
      </c>
      <c r="I3058" s="8634" t="s">
        <v>823</v>
      </c>
    </row>
    <row customHeight="1" ht="11.25">
      <c r="A3059" s="8634" t="s">
        <v>2182</v>
      </c>
      <c r="B3059" s="8634" t="s">
        <v>14</v>
      </c>
      <c r="C3059" s="8634" t="s">
        <v>3853</v>
      </c>
      <c r="D3059" s="8634" t="s">
        <v>3854</v>
      </c>
      <c r="E3059" s="8634" t="s">
        <v>3855</v>
      </c>
      <c r="F3059" s="8634" t="s">
        <v>2354</v>
      </c>
      <c r="G3059" s="8634" t="s">
        <v>24</v>
      </c>
      <c r="H3059" s="8634" t="s">
        <v>3856</v>
      </c>
      <c r="I3059" s="8634" t="s">
        <v>823</v>
      </c>
    </row>
    <row customHeight="1" ht="11.25">
      <c r="A3060" s="8634" t="s">
        <v>2182</v>
      </c>
      <c r="B3060" s="8634" t="s">
        <v>14</v>
      </c>
      <c r="C3060" s="8634" t="s">
        <v>3857</v>
      </c>
      <c r="D3060" s="8634" t="s">
        <v>3858</v>
      </c>
      <c r="E3060" s="8634" t="s">
        <v>3859</v>
      </c>
      <c r="F3060" s="8634" t="s">
        <v>2218</v>
      </c>
      <c r="G3060" s="8634" t="s">
        <v>24</v>
      </c>
      <c r="H3060" s="8634" t="s">
        <v>2187</v>
      </c>
      <c r="I3060" s="8634" t="s">
        <v>823</v>
      </c>
    </row>
    <row customHeight="1" ht="11.25">
      <c r="A3061" s="8634" t="s">
        <v>2182</v>
      </c>
      <c r="B3061" s="8634" t="s">
        <v>14</v>
      </c>
      <c r="C3061" s="8634" t="s">
        <v>3863</v>
      </c>
      <c r="D3061" s="8634" t="s">
        <v>3864</v>
      </c>
      <c r="E3061" s="8634" t="s">
        <v>3865</v>
      </c>
      <c r="F3061" s="8634" t="s">
        <v>2492</v>
      </c>
      <c r="G3061" s="8634" t="s">
        <v>24</v>
      </c>
      <c r="H3061" s="8634" t="s">
        <v>24</v>
      </c>
      <c r="I3061" s="8634" t="s">
        <v>823</v>
      </c>
    </row>
    <row customHeight="1" ht="11.25">
      <c r="A3062" s="8634" t="s">
        <v>2182</v>
      </c>
      <c r="B3062" s="8634" t="s">
        <v>14</v>
      </c>
      <c r="C3062" s="8634" t="s">
        <v>3866</v>
      </c>
      <c r="D3062" s="8634" t="s">
        <v>3867</v>
      </c>
      <c r="E3062" s="8634" t="s">
        <v>3868</v>
      </c>
      <c r="F3062" s="8634" t="s">
        <v>2398</v>
      </c>
      <c r="G3062" s="8634" t="s">
        <v>24</v>
      </c>
      <c r="H3062" s="8634" t="s">
        <v>2187</v>
      </c>
      <c r="I3062" s="8634" t="s">
        <v>823</v>
      </c>
    </row>
    <row customHeight="1" ht="11.25">
      <c r="A3063" s="8634" t="s">
        <v>2182</v>
      </c>
      <c r="B3063" s="8634" t="s">
        <v>14</v>
      </c>
      <c r="C3063" s="8634" t="s">
        <v>6954</v>
      </c>
      <c r="D3063" s="8634" t="s">
        <v>6955</v>
      </c>
      <c r="E3063" s="8634" t="s">
        <v>6956</v>
      </c>
      <c r="F3063" s="8634" t="s">
        <v>6957</v>
      </c>
      <c r="G3063" s="8634" t="s">
        <v>24</v>
      </c>
      <c r="H3063" s="8634" t="s">
        <v>24</v>
      </c>
      <c r="I3063" s="8634" t="s">
        <v>823</v>
      </c>
    </row>
    <row customHeight="1" ht="11.25">
      <c r="A3064" s="8634" t="s">
        <v>2182</v>
      </c>
      <c r="B3064" s="8634" t="s">
        <v>14</v>
      </c>
      <c r="C3064" s="8634" t="s">
        <v>6319</v>
      </c>
      <c r="D3064" s="8634" t="s">
        <v>6320</v>
      </c>
      <c r="E3064" s="8634" t="s">
        <v>6321</v>
      </c>
      <c r="F3064" s="8634" t="s">
        <v>2250</v>
      </c>
      <c r="G3064" s="8634" t="s">
        <v>24</v>
      </c>
      <c r="H3064" s="8634" t="s">
        <v>2993</v>
      </c>
      <c r="I3064" s="8634" t="s">
        <v>823</v>
      </c>
    </row>
    <row customHeight="1" ht="11.25">
      <c r="A3065" s="8634" t="s">
        <v>2182</v>
      </c>
      <c r="B3065" s="8634" t="s">
        <v>14</v>
      </c>
      <c r="C3065" s="8634" t="s">
        <v>7956</v>
      </c>
      <c r="D3065" s="8634" t="s">
        <v>7957</v>
      </c>
      <c r="E3065" s="8634" t="s">
        <v>7958</v>
      </c>
      <c r="F3065" s="8634" t="s">
        <v>2300</v>
      </c>
      <c r="G3065" s="8634" t="s">
        <v>7809</v>
      </c>
      <c r="H3065" s="8634" t="s">
        <v>24</v>
      </c>
      <c r="I3065" s="8634" t="s">
        <v>823</v>
      </c>
    </row>
    <row customHeight="1" ht="11.25">
      <c r="A3066" s="8634" t="s">
        <v>2182</v>
      </c>
      <c r="B3066" s="8634" t="s">
        <v>14</v>
      </c>
      <c r="C3066" s="8634" t="s">
        <v>3872</v>
      </c>
      <c r="D3066" s="8634" t="s">
        <v>3873</v>
      </c>
      <c r="E3066" s="8634" t="s">
        <v>3874</v>
      </c>
      <c r="F3066" s="8634" t="s">
        <v>2213</v>
      </c>
      <c r="G3066" s="8634" t="s">
        <v>3875</v>
      </c>
      <c r="H3066" s="8634" t="s">
        <v>24</v>
      </c>
      <c r="I3066" s="8634" t="s">
        <v>823</v>
      </c>
    </row>
    <row customHeight="1" ht="11.25">
      <c r="A3067" s="8634" t="s">
        <v>2182</v>
      </c>
      <c r="B3067" s="8634" t="s">
        <v>14</v>
      </c>
      <c r="C3067" s="8634" t="s">
        <v>6958</v>
      </c>
      <c r="D3067" s="8634" t="s">
        <v>6959</v>
      </c>
      <c r="E3067" s="8634" t="s">
        <v>6960</v>
      </c>
      <c r="F3067" s="8634" t="s">
        <v>2195</v>
      </c>
      <c r="G3067" s="8634" t="s">
        <v>24</v>
      </c>
      <c r="H3067" s="8634" t="s">
        <v>2400</v>
      </c>
      <c r="I3067" s="8634" t="s">
        <v>823</v>
      </c>
    </row>
    <row customHeight="1" ht="11.25">
      <c r="A3068" s="8634" t="s">
        <v>2182</v>
      </c>
      <c r="B3068" s="8634" t="s">
        <v>14</v>
      </c>
      <c r="C3068" s="8634" t="s">
        <v>6961</v>
      </c>
      <c r="D3068" s="8634" t="s">
        <v>6962</v>
      </c>
      <c r="E3068" s="8634" t="s">
        <v>6963</v>
      </c>
      <c r="F3068" s="8634" t="s">
        <v>2213</v>
      </c>
      <c r="G3068" s="8634" t="s">
        <v>24</v>
      </c>
      <c r="H3068" s="8634" t="s">
        <v>24</v>
      </c>
      <c r="I3068" s="8634" t="s">
        <v>823</v>
      </c>
    </row>
    <row customHeight="1" ht="11.25">
      <c r="A3069" s="8634" t="s">
        <v>2182</v>
      </c>
      <c r="B3069" s="8634" t="s">
        <v>14</v>
      </c>
      <c r="C3069" s="8634" t="s">
        <v>6967</v>
      </c>
      <c r="D3069" s="8634" t="s">
        <v>6968</v>
      </c>
      <c r="E3069" s="8634" t="s">
        <v>6969</v>
      </c>
      <c r="F3069" s="8634" t="s">
        <v>2460</v>
      </c>
      <c r="G3069" s="8634" t="s">
        <v>24</v>
      </c>
      <c r="H3069" s="8634" t="s">
        <v>2187</v>
      </c>
      <c r="I3069" s="8634" t="s">
        <v>823</v>
      </c>
    </row>
    <row customHeight="1" ht="11.25">
      <c r="A3070" s="8634" t="s">
        <v>2182</v>
      </c>
      <c r="B3070" s="8634" t="s">
        <v>14</v>
      </c>
      <c r="C3070" s="8634" t="s">
        <v>3895</v>
      </c>
      <c r="D3070" s="8634" t="s">
        <v>3896</v>
      </c>
      <c r="E3070" s="8634" t="s">
        <v>3897</v>
      </c>
      <c r="F3070" s="8634" t="s">
        <v>2721</v>
      </c>
      <c r="G3070" s="8634" t="s">
        <v>24</v>
      </c>
      <c r="H3070" s="8634" t="s">
        <v>2993</v>
      </c>
      <c r="I3070" s="8634" t="s">
        <v>823</v>
      </c>
    </row>
    <row customHeight="1" ht="11.25">
      <c r="A3071" s="8634" t="s">
        <v>2182</v>
      </c>
      <c r="B3071" s="8634" t="s">
        <v>14</v>
      </c>
      <c r="C3071" s="8634" t="s">
        <v>3898</v>
      </c>
      <c r="D3071" s="8634" t="s">
        <v>3899</v>
      </c>
      <c r="E3071" s="8634" t="s">
        <v>3900</v>
      </c>
      <c r="F3071" s="8634" t="s">
        <v>2705</v>
      </c>
      <c r="G3071" s="8634" t="s">
        <v>24</v>
      </c>
      <c r="H3071" s="8634" t="s">
        <v>24</v>
      </c>
      <c r="I3071" s="8634" t="s">
        <v>823</v>
      </c>
    </row>
    <row customHeight="1" ht="11.25">
      <c r="A3072" s="8634" t="s">
        <v>2182</v>
      </c>
      <c r="B3072" s="8634" t="s">
        <v>14</v>
      </c>
      <c r="C3072" s="8634" t="s">
        <v>3904</v>
      </c>
      <c r="D3072" s="8634" t="s">
        <v>3905</v>
      </c>
      <c r="E3072" s="8634" t="s">
        <v>3906</v>
      </c>
      <c r="F3072" s="8634" t="s">
        <v>2213</v>
      </c>
      <c r="G3072" s="8634" t="s">
        <v>24</v>
      </c>
      <c r="H3072" s="8634" t="s">
        <v>2187</v>
      </c>
      <c r="I3072" s="8634" t="s">
        <v>823</v>
      </c>
    </row>
    <row customHeight="1" ht="11.25">
      <c r="A3073" s="8634" t="s">
        <v>2182</v>
      </c>
      <c r="B3073" s="8634" t="s">
        <v>14</v>
      </c>
      <c r="C3073" s="8634" t="s">
        <v>6322</v>
      </c>
      <c r="D3073" s="8634" t="s">
        <v>6323</v>
      </c>
      <c r="E3073" s="8634" t="s">
        <v>6324</v>
      </c>
      <c r="F3073" s="8634" t="s">
        <v>2245</v>
      </c>
      <c r="G3073" s="8634" t="s">
        <v>24</v>
      </c>
      <c r="H3073" s="8634" t="s">
        <v>6325</v>
      </c>
      <c r="I3073" s="8634" t="s">
        <v>823</v>
      </c>
    </row>
    <row customHeight="1" ht="11.25">
      <c r="A3074" s="8634" t="s">
        <v>2182</v>
      </c>
      <c r="B3074" s="8634" t="s">
        <v>14</v>
      </c>
      <c r="C3074" s="8634" t="s">
        <v>3907</v>
      </c>
      <c r="D3074" s="8634" t="s">
        <v>3908</v>
      </c>
      <c r="E3074" s="8634" t="s">
        <v>3909</v>
      </c>
      <c r="F3074" s="8634" t="s">
        <v>2626</v>
      </c>
      <c r="G3074" s="8634" t="s">
        <v>24</v>
      </c>
      <c r="H3074" s="8634" t="s">
        <v>2400</v>
      </c>
      <c r="I3074" s="8634" t="s">
        <v>823</v>
      </c>
    </row>
    <row customHeight="1" ht="11.25">
      <c r="A3075" s="8634" t="s">
        <v>2182</v>
      </c>
      <c r="B3075" s="8634" t="s">
        <v>14</v>
      </c>
      <c r="C3075" s="8634" t="s">
        <v>7959</v>
      </c>
      <c r="D3075" s="8634" t="s">
        <v>7960</v>
      </c>
      <c r="E3075" s="8634" t="s">
        <v>7961</v>
      </c>
      <c r="F3075" s="8634" t="s">
        <v>2671</v>
      </c>
      <c r="G3075" s="8634" t="s">
        <v>24</v>
      </c>
      <c r="H3075" s="8634" t="s">
        <v>24</v>
      </c>
      <c r="I3075" s="8634" t="s">
        <v>823</v>
      </c>
    </row>
    <row customHeight="1" ht="11.25">
      <c r="A3076" s="8634" t="s">
        <v>2182</v>
      </c>
      <c r="B3076" s="8634" t="s">
        <v>14</v>
      </c>
      <c r="C3076" s="8634" t="s">
        <v>3913</v>
      </c>
      <c r="D3076" s="8634" t="s">
        <v>3914</v>
      </c>
      <c r="E3076" s="8634" t="s">
        <v>3915</v>
      </c>
      <c r="F3076" s="8634" t="s">
        <v>2218</v>
      </c>
      <c r="G3076" s="8634" t="s">
        <v>24</v>
      </c>
      <c r="H3076" s="8634" t="s">
        <v>3916</v>
      </c>
      <c r="I3076" s="8634" t="s">
        <v>823</v>
      </c>
    </row>
    <row customHeight="1" ht="11.25">
      <c r="A3077" s="8634" t="s">
        <v>2182</v>
      </c>
      <c r="B3077" s="8634" t="s">
        <v>14</v>
      </c>
      <c r="C3077" s="8634" t="s">
        <v>7962</v>
      </c>
      <c r="D3077" s="8634" t="s">
        <v>7963</v>
      </c>
      <c r="E3077" s="8634" t="s">
        <v>7964</v>
      </c>
      <c r="F3077" s="8634" t="s">
        <v>2890</v>
      </c>
      <c r="G3077" s="8634" t="s">
        <v>7965</v>
      </c>
      <c r="H3077" s="8634" t="s">
        <v>2187</v>
      </c>
      <c r="I3077" s="8634" t="s">
        <v>823</v>
      </c>
    </row>
    <row customHeight="1" ht="11.25">
      <c r="A3078" s="8634" t="s">
        <v>2182</v>
      </c>
      <c r="B3078" s="8634" t="s">
        <v>14</v>
      </c>
      <c r="C3078" s="8634" t="s">
        <v>3920</v>
      </c>
      <c r="D3078" s="8634" t="s">
        <v>3921</v>
      </c>
      <c r="E3078" s="8634" t="s">
        <v>3922</v>
      </c>
      <c r="F3078" s="8634" t="s">
        <v>2228</v>
      </c>
      <c r="G3078" s="8634" t="s">
        <v>24</v>
      </c>
      <c r="H3078" s="8634" t="s">
        <v>24</v>
      </c>
      <c r="I3078" s="8634" t="s">
        <v>823</v>
      </c>
    </row>
    <row customHeight="1" ht="11.25">
      <c r="A3079" s="8634" t="s">
        <v>2182</v>
      </c>
      <c r="B3079" s="8634" t="s">
        <v>14</v>
      </c>
      <c r="C3079" s="8634" t="s">
        <v>7966</v>
      </c>
      <c r="D3079" s="8634" t="s">
        <v>7967</v>
      </c>
      <c r="E3079" s="8634" t="s">
        <v>7968</v>
      </c>
      <c r="F3079" s="8634" t="s">
        <v>2376</v>
      </c>
      <c r="G3079" s="8634" t="s">
        <v>24</v>
      </c>
      <c r="H3079" s="8634" t="s">
        <v>7969</v>
      </c>
      <c r="I3079" s="8634" t="s">
        <v>823</v>
      </c>
    </row>
    <row customHeight="1" ht="11.25">
      <c r="A3080" s="8634" t="s">
        <v>2182</v>
      </c>
      <c r="B3080" s="8634" t="s">
        <v>14</v>
      </c>
      <c r="C3080" s="8634" t="s">
        <v>6985</v>
      </c>
      <c r="D3080" s="8634" t="s">
        <v>6986</v>
      </c>
      <c r="E3080" s="8634" t="s">
        <v>6987</v>
      </c>
      <c r="F3080" s="8634" t="s">
        <v>2394</v>
      </c>
      <c r="G3080" s="8634" t="s">
        <v>24</v>
      </c>
      <c r="H3080" s="8634" t="s">
        <v>24</v>
      </c>
      <c r="I3080" s="8634" t="s">
        <v>823</v>
      </c>
    </row>
    <row customHeight="1" ht="11.25">
      <c r="A3081" s="8634" t="s">
        <v>2182</v>
      </c>
      <c r="B3081" s="8634" t="s">
        <v>14</v>
      </c>
      <c r="C3081" s="8634" t="s">
        <v>7970</v>
      </c>
      <c r="D3081" s="8634" t="s">
        <v>7971</v>
      </c>
      <c r="E3081" s="8634" t="s">
        <v>7972</v>
      </c>
      <c r="F3081" s="8634" t="s">
        <v>2854</v>
      </c>
      <c r="G3081" s="8634" t="s">
        <v>24</v>
      </c>
      <c r="H3081" s="8634" t="s">
        <v>24</v>
      </c>
      <c r="I3081" s="8634" t="s">
        <v>823</v>
      </c>
    </row>
    <row customHeight="1" ht="11.25">
      <c r="A3082" s="8634" t="s">
        <v>2182</v>
      </c>
      <c r="B3082" s="8634" t="s">
        <v>14</v>
      </c>
      <c r="C3082" s="8634" t="s">
        <v>7973</v>
      </c>
      <c r="D3082" s="8634" t="s">
        <v>7974</v>
      </c>
      <c r="E3082" s="8634" t="s">
        <v>7975</v>
      </c>
      <c r="F3082" s="8634" t="s">
        <v>2228</v>
      </c>
      <c r="G3082" s="8634" t="s">
        <v>24</v>
      </c>
      <c r="H3082" s="8634" t="s">
        <v>24</v>
      </c>
      <c r="I3082" s="8634" t="s">
        <v>823</v>
      </c>
    </row>
    <row customHeight="1" ht="11.25">
      <c r="A3083" s="8634" t="s">
        <v>2182</v>
      </c>
      <c r="B3083" s="8634" t="s">
        <v>14</v>
      </c>
      <c r="C3083" s="8634" t="s">
        <v>3950</v>
      </c>
      <c r="D3083" s="8634" t="s">
        <v>3951</v>
      </c>
      <c r="E3083" s="8634" t="s">
        <v>3952</v>
      </c>
      <c r="F3083" s="8634" t="s">
        <v>2398</v>
      </c>
      <c r="G3083" s="8634" t="s">
        <v>3953</v>
      </c>
      <c r="H3083" s="8634" t="s">
        <v>24</v>
      </c>
      <c r="I3083" s="8634" t="s">
        <v>823</v>
      </c>
    </row>
    <row customHeight="1" ht="11.25">
      <c r="A3084" s="8634" t="s">
        <v>2182</v>
      </c>
      <c r="B3084" s="8634" t="s">
        <v>14</v>
      </c>
      <c r="C3084" s="8634" t="s">
        <v>7976</v>
      </c>
      <c r="D3084" s="8634" t="s">
        <v>7977</v>
      </c>
      <c r="E3084" s="8634" t="s">
        <v>7978</v>
      </c>
      <c r="F3084" s="8634" t="s">
        <v>2186</v>
      </c>
      <c r="G3084" s="8634" t="s">
        <v>7979</v>
      </c>
      <c r="H3084" s="8634" t="s">
        <v>24</v>
      </c>
      <c r="I3084" s="8634" t="s">
        <v>823</v>
      </c>
    </row>
    <row customHeight="1" ht="11.25">
      <c r="A3085" s="8634" t="s">
        <v>2182</v>
      </c>
      <c r="B3085" s="8634" t="s">
        <v>14</v>
      </c>
      <c r="C3085" s="8634" t="s">
        <v>3976</v>
      </c>
      <c r="D3085" s="8634" t="s">
        <v>3977</v>
      </c>
      <c r="E3085" s="8634" t="s">
        <v>3978</v>
      </c>
      <c r="F3085" s="8634" t="s">
        <v>2721</v>
      </c>
      <c r="G3085" s="8634" t="s">
        <v>24</v>
      </c>
      <c r="H3085" s="8634" t="s">
        <v>3222</v>
      </c>
      <c r="I3085" s="8634" t="s">
        <v>823</v>
      </c>
    </row>
    <row customHeight="1" ht="11.25">
      <c r="A3086" s="8634" t="s">
        <v>2182</v>
      </c>
      <c r="B3086" s="8634" t="s">
        <v>14</v>
      </c>
      <c r="C3086" s="8634" t="s">
        <v>3983</v>
      </c>
      <c r="D3086" s="8634" t="s">
        <v>3984</v>
      </c>
      <c r="E3086" s="8634" t="s">
        <v>3985</v>
      </c>
      <c r="F3086" s="8634" t="s">
        <v>3986</v>
      </c>
      <c r="G3086" s="8634" t="s">
        <v>24</v>
      </c>
      <c r="H3086" s="8634" t="s">
        <v>24</v>
      </c>
      <c r="I3086" s="8634" t="s">
        <v>823</v>
      </c>
    </row>
    <row customHeight="1" ht="11.25">
      <c r="A3087" s="8634" t="s">
        <v>2182</v>
      </c>
      <c r="B3087" s="8634" t="s">
        <v>14</v>
      </c>
      <c r="C3087" s="8634" t="s">
        <v>3990</v>
      </c>
      <c r="D3087" s="8634" t="s">
        <v>3991</v>
      </c>
      <c r="E3087" s="8634" t="s">
        <v>3992</v>
      </c>
      <c r="F3087" s="8634" t="s">
        <v>2600</v>
      </c>
      <c r="G3087" s="8634" t="s">
        <v>3993</v>
      </c>
      <c r="H3087" s="8634" t="s">
        <v>24</v>
      </c>
      <c r="I3087" s="8634" t="s">
        <v>823</v>
      </c>
    </row>
    <row customHeight="1" ht="11.25">
      <c r="A3088" s="8634" t="s">
        <v>2182</v>
      </c>
      <c r="B3088" s="8634" t="s">
        <v>14</v>
      </c>
      <c r="C3088" s="8634" t="s">
        <v>3994</v>
      </c>
      <c r="D3088" s="8634" t="s">
        <v>3995</v>
      </c>
      <c r="E3088" s="8634" t="s">
        <v>3996</v>
      </c>
      <c r="F3088" s="8634" t="s">
        <v>2228</v>
      </c>
      <c r="G3088" s="8634" t="s">
        <v>24</v>
      </c>
      <c r="H3088" s="8634" t="s">
        <v>24</v>
      </c>
      <c r="I3088" s="8634" t="s">
        <v>823</v>
      </c>
    </row>
    <row customHeight="1" ht="11.25">
      <c r="A3089" s="8634" t="s">
        <v>2182</v>
      </c>
      <c r="B3089" s="8634" t="s">
        <v>14</v>
      </c>
      <c r="C3089" s="8634" t="s">
        <v>4000</v>
      </c>
      <c r="D3089" s="8634" t="s">
        <v>4001</v>
      </c>
      <c r="E3089" s="8634" t="s">
        <v>4002</v>
      </c>
      <c r="F3089" s="8634" t="s">
        <v>2228</v>
      </c>
      <c r="G3089" s="8634" t="s">
        <v>24</v>
      </c>
      <c r="H3089" s="8634" t="s">
        <v>24</v>
      </c>
      <c r="I3089" s="8634" t="s">
        <v>823</v>
      </c>
    </row>
    <row customHeight="1" ht="11.25">
      <c r="A3090" s="8634" t="s">
        <v>2182</v>
      </c>
      <c r="B3090" s="8634" t="s">
        <v>14</v>
      </c>
      <c r="C3090" s="8634" t="s">
        <v>4006</v>
      </c>
      <c r="D3090" s="8634" t="s">
        <v>4007</v>
      </c>
      <c r="E3090" s="8634" t="s">
        <v>4008</v>
      </c>
      <c r="F3090" s="8634" t="s">
        <v>2705</v>
      </c>
      <c r="G3090" s="8634" t="s">
        <v>24</v>
      </c>
      <c r="H3090" s="8634" t="s">
        <v>4009</v>
      </c>
      <c r="I3090" s="8634" t="s">
        <v>823</v>
      </c>
    </row>
    <row customHeight="1" ht="11.25">
      <c r="A3091" s="8634" t="s">
        <v>2182</v>
      </c>
      <c r="B3091" s="8634" t="s">
        <v>14</v>
      </c>
      <c r="C3091" s="8634" t="s">
        <v>4013</v>
      </c>
      <c r="D3091" s="8634" t="s">
        <v>4014</v>
      </c>
      <c r="E3091" s="8634" t="s">
        <v>4015</v>
      </c>
      <c r="F3091" s="8634" t="s">
        <v>2186</v>
      </c>
      <c r="G3091" s="8634" t="s">
        <v>24</v>
      </c>
      <c r="H3091" s="8634" t="s">
        <v>24</v>
      </c>
      <c r="I3091" s="8634" t="s">
        <v>823</v>
      </c>
    </row>
    <row customHeight="1" ht="11.25">
      <c r="A3092" s="8634" t="s">
        <v>2182</v>
      </c>
      <c r="B3092" s="8634" t="s">
        <v>14</v>
      </c>
      <c r="C3092" s="8634" t="s">
        <v>4019</v>
      </c>
      <c r="D3092" s="8634" t="s">
        <v>4020</v>
      </c>
      <c r="E3092" s="8634" t="s">
        <v>4021</v>
      </c>
      <c r="F3092" s="8634" t="s">
        <v>2334</v>
      </c>
      <c r="G3092" s="8634" t="s">
        <v>4022</v>
      </c>
      <c r="H3092" s="8634" t="s">
        <v>24</v>
      </c>
      <c r="I3092" s="8634" t="s">
        <v>823</v>
      </c>
    </row>
    <row customHeight="1" ht="11.25">
      <c r="A3093" s="8634" t="s">
        <v>2182</v>
      </c>
      <c r="B3093" s="8634" t="s">
        <v>14</v>
      </c>
      <c r="C3093" s="8634" t="s">
        <v>6994</v>
      </c>
      <c r="D3093" s="8634" t="s">
        <v>6995</v>
      </c>
      <c r="E3093" s="8634" t="s">
        <v>6996</v>
      </c>
      <c r="F3093" s="8634" t="s">
        <v>2213</v>
      </c>
      <c r="G3093" s="8634" t="s">
        <v>2714</v>
      </c>
      <c r="H3093" s="8634" t="s">
        <v>24</v>
      </c>
      <c r="I3093" s="8634" t="s">
        <v>823</v>
      </c>
    </row>
    <row customHeight="1" ht="11.25">
      <c r="A3094" s="8634" t="s">
        <v>2182</v>
      </c>
      <c r="B3094" s="8634" t="s">
        <v>14</v>
      </c>
      <c r="C3094" s="8634" t="s">
        <v>4026</v>
      </c>
      <c r="D3094" s="8634" t="s">
        <v>4027</v>
      </c>
      <c r="E3094" s="8634" t="s">
        <v>4028</v>
      </c>
      <c r="F3094" s="8634" t="s">
        <v>2322</v>
      </c>
      <c r="G3094" s="8634" t="s">
        <v>4029</v>
      </c>
      <c r="H3094" s="8634" t="s">
        <v>2400</v>
      </c>
      <c r="I3094" s="8634" t="s">
        <v>823</v>
      </c>
    </row>
    <row customHeight="1" ht="11.25">
      <c r="A3095" s="8634" t="s">
        <v>2182</v>
      </c>
      <c r="B3095" s="8634" t="s">
        <v>14</v>
      </c>
      <c r="C3095" s="8634" t="s">
        <v>7000</v>
      </c>
      <c r="D3095" s="8634" t="s">
        <v>7001</v>
      </c>
      <c r="E3095" s="8634" t="s">
        <v>7002</v>
      </c>
      <c r="F3095" s="8634" t="s">
        <v>2492</v>
      </c>
      <c r="G3095" s="8634" t="s">
        <v>24</v>
      </c>
      <c r="H3095" s="8634" t="s">
        <v>24</v>
      </c>
      <c r="I3095" s="8634" t="s">
        <v>823</v>
      </c>
    </row>
    <row customHeight="1" ht="11.25">
      <c r="A3096" s="8634" t="s">
        <v>2182</v>
      </c>
      <c r="B3096" s="8634" t="s">
        <v>14</v>
      </c>
      <c r="C3096" s="8634" t="s">
        <v>4034</v>
      </c>
      <c r="D3096" s="8634" t="s">
        <v>4035</v>
      </c>
      <c r="E3096" s="8634" t="s">
        <v>4036</v>
      </c>
      <c r="F3096" s="8634" t="s">
        <v>2300</v>
      </c>
      <c r="G3096" s="8634" t="s">
        <v>24</v>
      </c>
      <c r="H3096" s="8634" t="s">
        <v>2238</v>
      </c>
      <c r="I3096" s="8634" t="s">
        <v>823</v>
      </c>
    </row>
    <row customHeight="1" ht="11.25">
      <c r="A3097" s="8634" t="s">
        <v>2182</v>
      </c>
      <c r="B3097" s="8634" t="s">
        <v>14</v>
      </c>
      <c r="C3097" s="8634" t="s">
        <v>4040</v>
      </c>
      <c r="D3097" s="8634" t="s">
        <v>4041</v>
      </c>
      <c r="E3097" s="8634" t="s">
        <v>4042</v>
      </c>
      <c r="F3097" s="8634" t="s">
        <v>3508</v>
      </c>
      <c r="G3097" s="8634" t="s">
        <v>24</v>
      </c>
      <c r="H3097" s="8634" t="s">
        <v>24</v>
      </c>
      <c r="I3097" s="8634" t="s">
        <v>823</v>
      </c>
    </row>
    <row customHeight="1" ht="11.25">
      <c r="A3098" s="8634" t="s">
        <v>2182</v>
      </c>
      <c r="B3098" s="8634" t="s">
        <v>14</v>
      </c>
      <c r="C3098" s="8634" t="s">
        <v>7003</v>
      </c>
      <c r="D3098" s="8634" t="s">
        <v>4050</v>
      </c>
      <c r="E3098" s="8634" t="s">
        <v>4051</v>
      </c>
      <c r="F3098" s="8634" t="s">
        <v>2899</v>
      </c>
      <c r="G3098" s="8634" t="s">
        <v>24</v>
      </c>
      <c r="H3098" s="8634" t="s">
        <v>3446</v>
      </c>
      <c r="I3098" s="8634" t="s">
        <v>823</v>
      </c>
    </row>
    <row customHeight="1" ht="11.25">
      <c r="A3099" s="8634" t="s">
        <v>2182</v>
      </c>
      <c r="B3099" s="8634" t="s">
        <v>14</v>
      </c>
      <c r="C3099" s="8634" t="s">
        <v>4052</v>
      </c>
      <c r="D3099" s="8634" t="s">
        <v>4053</v>
      </c>
      <c r="E3099" s="8634" t="s">
        <v>4054</v>
      </c>
      <c r="F3099" s="8634" t="s">
        <v>2213</v>
      </c>
      <c r="G3099" s="8634" t="s">
        <v>24</v>
      </c>
      <c r="H3099" s="8634" t="s">
        <v>24</v>
      </c>
      <c r="I3099" s="8634" t="s">
        <v>823</v>
      </c>
    </row>
    <row customHeight="1" ht="11.25">
      <c r="A3100" s="8634" t="s">
        <v>2182</v>
      </c>
      <c r="B3100" s="8634" t="s">
        <v>14</v>
      </c>
      <c r="C3100" s="8634" t="s">
        <v>4081</v>
      </c>
      <c r="D3100" s="8634" t="s">
        <v>4082</v>
      </c>
      <c r="E3100" s="8634" t="s">
        <v>4083</v>
      </c>
      <c r="F3100" s="8634" t="s">
        <v>2213</v>
      </c>
      <c r="G3100" s="8634" t="s">
        <v>24</v>
      </c>
      <c r="H3100" s="8634" t="s">
        <v>2187</v>
      </c>
      <c r="I3100" s="8634" t="s">
        <v>823</v>
      </c>
    </row>
    <row customHeight="1" ht="11.25">
      <c r="A3101" s="8634" t="s">
        <v>2182</v>
      </c>
      <c r="B3101" s="8634" t="s">
        <v>14</v>
      </c>
      <c r="C3101" s="8634" t="s">
        <v>4087</v>
      </c>
      <c r="D3101" s="8634" t="s">
        <v>4088</v>
      </c>
      <c r="E3101" s="8634" t="s">
        <v>4089</v>
      </c>
      <c r="F3101" s="8634" t="s">
        <v>4090</v>
      </c>
      <c r="G3101" s="8634" t="s">
        <v>24</v>
      </c>
      <c r="H3101" s="8634" t="s">
        <v>24</v>
      </c>
      <c r="I3101" s="8634" t="s">
        <v>823</v>
      </c>
    </row>
    <row customHeight="1" ht="11.25">
      <c r="A3102" s="8634" t="s">
        <v>2182</v>
      </c>
      <c r="B3102" s="8634" t="s">
        <v>14</v>
      </c>
      <c r="C3102" s="8634" t="s">
        <v>4101</v>
      </c>
      <c r="D3102" s="8634" t="s">
        <v>4102</v>
      </c>
      <c r="E3102" s="8634" t="s">
        <v>3039</v>
      </c>
      <c r="F3102" s="8634" t="s">
        <v>4103</v>
      </c>
      <c r="G3102" s="8634" t="s">
        <v>24</v>
      </c>
      <c r="H3102" s="8634" t="s">
        <v>4104</v>
      </c>
      <c r="I3102" s="8634" t="s">
        <v>823</v>
      </c>
    </row>
    <row customHeight="1" ht="11.25">
      <c r="A3103" s="8634" t="s">
        <v>2182</v>
      </c>
      <c r="B3103" s="8634" t="s">
        <v>14</v>
      </c>
      <c r="C3103" s="8634" t="s">
        <v>4105</v>
      </c>
      <c r="D3103" s="8634" t="s">
        <v>4106</v>
      </c>
      <c r="E3103" s="8634" t="s">
        <v>3039</v>
      </c>
      <c r="F3103" s="8634" t="s">
        <v>4107</v>
      </c>
      <c r="G3103" s="8634" t="s">
        <v>4108</v>
      </c>
      <c r="H3103" s="8634" t="s">
        <v>4109</v>
      </c>
      <c r="I3103" s="8634" t="s">
        <v>823</v>
      </c>
    </row>
    <row customHeight="1" ht="11.25">
      <c r="A3104" s="8634" t="s">
        <v>2182</v>
      </c>
      <c r="B3104" s="8634" t="s">
        <v>14</v>
      </c>
      <c r="C3104" s="8634" t="s">
        <v>7009</v>
      </c>
      <c r="D3104" s="8634" t="s">
        <v>7010</v>
      </c>
      <c r="E3104" s="8634" t="s">
        <v>3039</v>
      </c>
      <c r="F3104" s="8634" t="s">
        <v>7011</v>
      </c>
      <c r="G3104" s="8634" t="s">
        <v>4109</v>
      </c>
      <c r="H3104" s="8634" t="s">
        <v>24</v>
      </c>
      <c r="I3104" s="8634" t="s">
        <v>823</v>
      </c>
    </row>
    <row customHeight="1" ht="11.25">
      <c r="A3105" s="8634" t="s">
        <v>2182</v>
      </c>
      <c r="B3105" s="8634" t="s">
        <v>14</v>
      </c>
      <c r="C3105" s="8634" t="s">
        <v>4113</v>
      </c>
      <c r="D3105" s="8634" t="s">
        <v>4114</v>
      </c>
      <c r="E3105" s="8634" t="s">
        <v>4115</v>
      </c>
      <c r="F3105" s="8634" t="s">
        <v>2213</v>
      </c>
      <c r="G3105" s="8634" t="s">
        <v>24</v>
      </c>
      <c r="H3105" s="8634" t="s">
        <v>2187</v>
      </c>
      <c r="I3105" s="8634" t="s">
        <v>823</v>
      </c>
    </row>
    <row customHeight="1" ht="11.25">
      <c r="A3106" s="8634" t="s">
        <v>2182</v>
      </c>
      <c r="B3106" s="8634" t="s">
        <v>14</v>
      </c>
      <c r="C3106" s="8634" t="s">
        <v>7012</v>
      </c>
      <c r="D3106" s="8634" t="s">
        <v>7013</v>
      </c>
      <c r="E3106" s="8634" t="s">
        <v>7014</v>
      </c>
      <c r="F3106" s="8634" t="s">
        <v>2213</v>
      </c>
      <c r="G3106" s="8634" t="s">
        <v>24</v>
      </c>
      <c r="H3106" s="8634" t="s">
        <v>7015</v>
      </c>
      <c r="I3106" s="8634" t="s">
        <v>823</v>
      </c>
    </row>
    <row customHeight="1" ht="11.25">
      <c r="A3107" s="8634" t="s">
        <v>2182</v>
      </c>
      <c r="B3107" s="8634" t="s">
        <v>14</v>
      </c>
      <c r="C3107" s="8634" t="s">
        <v>6326</v>
      </c>
      <c r="D3107" s="8634" t="s">
        <v>6327</v>
      </c>
      <c r="E3107" s="8634" t="s">
        <v>6328</v>
      </c>
      <c r="F3107" s="8634" t="s">
        <v>2213</v>
      </c>
      <c r="G3107" s="8634" t="s">
        <v>24</v>
      </c>
      <c r="H3107" s="8634" t="s">
        <v>2187</v>
      </c>
      <c r="I3107" s="8634" t="s">
        <v>823</v>
      </c>
    </row>
    <row customHeight="1" ht="11.25">
      <c r="A3108" s="8634" t="s">
        <v>2182</v>
      </c>
      <c r="B3108" s="8634" t="s">
        <v>14</v>
      </c>
      <c r="C3108" s="8634" t="s">
        <v>4116</v>
      </c>
      <c r="D3108" s="8634" t="s">
        <v>4117</v>
      </c>
      <c r="E3108" s="8634" t="s">
        <v>4118</v>
      </c>
      <c r="F3108" s="8634" t="s">
        <v>2213</v>
      </c>
      <c r="G3108" s="8634" t="s">
        <v>24</v>
      </c>
      <c r="H3108" s="8634" t="s">
        <v>2187</v>
      </c>
      <c r="I3108" s="8634" t="s">
        <v>823</v>
      </c>
    </row>
    <row customHeight="1" ht="11.25">
      <c r="A3109" s="8634" t="s">
        <v>2182</v>
      </c>
      <c r="B3109" s="8634" t="s">
        <v>14</v>
      </c>
      <c r="C3109" s="8634" t="s">
        <v>4119</v>
      </c>
      <c r="D3109" s="8634" t="s">
        <v>4120</v>
      </c>
      <c r="E3109" s="8634" t="s">
        <v>4121</v>
      </c>
      <c r="F3109" s="8634" t="s">
        <v>2563</v>
      </c>
      <c r="G3109" s="8634" t="s">
        <v>24</v>
      </c>
      <c r="H3109" s="8634" t="s">
        <v>2187</v>
      </c>
      <c r="I3109" s="8634" t="s">
        <v>823</v>
      </c>
    </row>
    <row customHeight="1" ht="11.25">
      <c r="A3110" s="8634" t="s">
        <v>2182</v>
      </c>
      <c r="B3110" s="8634" t="s">
        <v>14</v>
      </c>
      <c r="C3110" s="8634" t="s">
        <v>4128</v>
      </c>
      <c r="D3110" s="8634" t="s">
        <v>4126</v>
      </c>
      <c r="E3110" s="8634" t="s">
        <v>4127</v>
      </c>
      <c r="F3110" s="8634" t="s">
        <v>2899</v>
      </c>
      <c r="G3110" s="8634" t="s">
        <v>4129</v>
      </c>
      <c r="H3110" s="8634" t="s">
        <v>4130</v>
      </c>
      <c r="I3110" s="8634" t="s">
        <v>823</v>
      </c>
    </row>
    <row customHeight="1" ht="11.25">
      <c r="A3111" s="8634" t="s">
        <v>2182</v>
      </c>
      <c r="B3111" s="8634" t="s">
        <v>14</v>
      </c>
      <c r="C3111" s="8634" t="s">
        <v>7022</v>
      </c>
      <c r="D3111" s="8634" t="s">
        <v>7023</v>
      </c>
      <c r="E3111" s="8634" t="s">
        <v>6512</v>
      </c>
      <c r="F3111" s="8634" t="s">
        <v>6402</v>
      </c>
      <c r="G3111" s="8634" t="s">
        <v>6514</v>
      </c>
      <c r="H3111" s="8634" t="s">
        <v>6515</v>
      </c>
      <c r="I3111" s="8634" t="s">
        <v>823</v>
      </c>
    </row>
    <row customHeight="1" ht="11.25">
      <c r="A3112" s="8634" t="s">
        <v>2182</v>
      </c>
      <c r="B3112" s="8634" t="s">
        <v>14</v>
      </c>
      <c r="C3112" s="8634" t="s">
        <v>7024</v>
      </c>
      <c r="D3112" s="8634" t="s">
        <v>7025</v>
      </c>
      <c r="E3112" s="8634" t="s">
        <v>6512</v>
      </c>
      <c r="F3112" s="8634" t="s">
        <v>2751</v>
      </c>
      <c r="G3112" s="8634" t="s">
        <v>6514</v>
      </c>
      <c r="H3112" s="8634" t="s">
        <v>6515</v>
      </c>
      <c r="I3112" s="8634" t="s">
        <v>823</v>
      </c>
    </row>
    <row customHeight="1" ht="11.25">
      <c r="A3113" s="8634" t="s">
        <v>2182</v>
      </c>
      <c r="B3113" s="8634" t="s">
        <v>14</v>
      </c>
      <c r="C3113" s="8634" t="s">
        <v>7026</v>
      </c>
      <c r="D3113" s="8634" t="s">
        <v>7027</v>
      </c>
      <c r="E3113" s="8634" t="s">
        <v>6512</v>
      </c>
      <c r="F3113" s="8634" t="s">
        <v>7028</v>
      </c>
      <c r="G3113" s="8634" t="s">
        <v>24</v>
      </c>
      <c r="H3113" s="8634" t="s">
        <v>6515</v>
      </c>
      <c r="I3113" s="8634" t="s">
        <v>823</v>
      </c>
    </row>
    <row customHeight="1" ht="11.25">
      <c r="A3114" s="8634" t="s">
        <v>2182</v>
      </c>
      <c r="B3114" s="8634" t="s">
        <v>14</v>
      </c>
      <c r="C3114" s="8634" t="s">
        <v>7029</v>
      </c>
      <c r="D3114" s="8634" t="s">
        <v>7030</v>
      </c>
      <c r="E3114" s="8634" t="s">
        <v>6512</v>
      </c>
      <c r="F3114" s="8634" t="s">
        <v>7031</v>
      </c>
      <c r="G3114" s="8634" t="s">
        <v>7032</v>
      </c>
      <c r="H3114" s="8634" t="s">
        <v>6515</v>
      </c>
      <c r="I3114" s="8634" t="s">
        <v>823</v>
      </c>
    </row>
    <row customHeight="1" ht="11.25">
      <c r="A3115" s="8634" t="s">
        <v>2182</v>
      </c>
      <c r="B3115" s="8634" t="s">
        <v>14</v>
      </c>
      <c r="C3115" s="8634" t="s">
        <v>4154</v>
      </c>
      <c r="D3115" s="8634" t="s">
        <v>4155</v>
      </c>
      <c r="E3115" s="8634" t="s">
        <v>4156</v>
      </c>
      <c r="F3115" s="8634" t="s">
        <v>2300</v>
      </c>
      <c r="G3115" s="8634" t="s">
        <v>4157</v>
      </c>
      <c r="H3115" s="8634" t="s">
        <v>24</v>
      </c>
      <c r="I3115" s="8634" t="s">
        <v>823</v>
      </c>
    </row>
    <row customHeight="1" ht="11.25">
      <c r="A3116" s="8634" t="s">
        <v>2182</v>
      </c>
      <c r="B3116" s="8634" t="s">
        <v>14</v>
      </c>
      <c r="C3116" s="8634" t="s">
        <v>4158</v>
      </c>
      <c r="D3116" s="8634" t="s">
        <v>4159</v>
      </c>
      <c r="E3116" s="8634" t="s">
        <v>4160</v>
      </c>
      <c r="F3116" s="8634" t="s">
        <v>2696</v>
      </c>
      <c r="G3116" s="8634" t="s">
        <v>24</v>
      </c>
      <c r="H3116" s="8634" t="s">
        <v>2993</v>
      </c>
      <c r="I3116" s="8634" t="s">
        <v>823</v>
      </c>
    </row>
    <row customHeight="1" ht="11.25">
      <c r="A3117" s="8634" t="s">
        <v>2182</v>
      </c>
      <c r="B3117" s="8634" t="s">
        <v>14</v>
      </c>
      <c r="C3117" s="8634" t="s">
        <v>7039</v>
      </c>
      <c r="D3117" s="8634" t="s">
        <v>7040</v>
      </c>
      <c r="E3117" s="8634" t="s">
        <v>7041</v>
      </c>
      <c r="F3117" s="8634" t="s">
        <v>2228</v>
      </c>
      <c r="G3117" s="8634" t="s">
        <v>24</v>
      </c>
      <c r="H3117" s="8634" t="s">
        <v>24</v>
      </c>
      <c r="I3117" s="8634" t="s">
        <v>823</v>
      </c>
    </row>
    <row customHeight="1" ht="11.25">
      <c r="A3118" s="8634" t="s">
        <v>2182</v>
      </c>
      <c r="B3118" s="8634" t="s">
        <v>14</v>
      </c>
      <c r="C3118" s="8634" t="s">
        <v>7042</v>
      </c>
      <c r="D3118" s="8634" t="s">
        <v>7043</v>
      </c>
      <c r="E3118" s="8634" t="s">
        <v>7044</v>
      </c>
      <c r="F3118" s="8634" t="s">
        <v>2269</v>
      </c>
      <c r="G3118" s="8634" t="s">
        <v>24</v>
      </c>
      <c r="H3118" s="8634" t="s">
        <v>24</v>
      </c>
      <c r="I3118" s="8634" t="s">
        <v>823</v>
      </c>
    </row>
    <row customHeight="1" ht="11.25">
      <c r="A3119" s="8634" t="s">
        <v>2182</v>
      </c>
      <c r="B3119" s="8634" t="s">
        <v>14</v>
      </c>
      <c r="C3119" s="8634" t="s">
        <v>4190</v>
      </c>
      <c r="D3119" s="8634" t="s">
        <v>4191</v>
      </c>
      <c r="E3119" s="8634" t="s">
        <v>4192</v>
      </c>
      <c r="F3119" s="8634" t="s">
        <v>2269</v>
      </c>
      <c r="G3119" s="8634" t="s">
        <v>24</v>
      </c>
      <c r="H3119" s="8634" t="s">
        <v>2187</v>
      </c>
      <c r="I3119" s="8634" t="s">
        <v>823</v>
      </c>
    </row>
    <row customHeight="1" ht="11.25">
      <c r="A3120" s="8634" t="s">
        <v>2182</v>
      </c>
      <c r="B3120" s="8634" t="s">
        <v>14</v>
      </c>
      <c r="C3120" s="8634" t="s">
        <v>7980</v>
      </c>
      <c r="D3120" s="8634" t="s">
        <v>7981</v>
      </c>
      <c r="E3120" s="8634" t="s">
        <v>7982</v>
      </c>
      <c r="F3120" s="8634" t="s">
        <v>2563</v>
      </c>
      <c r="G3120" s="8634" t="s">
        <v>24</v>
      </c>
      <c r="H3120" s="8634" t="s">
        <v>6815</v>
      </c>
      <c r="I3120" s="8634" t="s">
        <v>823</v>
      </c>
    </row>
    <row customHeight="1" ht="11.25">
      <c r="A3121" s="8634" t="s">
        <v>2182</v>
      </c>
      <c r="B3121" s="8634" t="s">
        <v>14</v>
      </c>
      <c r="C3121" s="8634" t="s">
        <v>7048</v>
      </c>
      <c r="D3121" s="8634" t="s">
        <v>7049</v>
      </c>
      <c r="E3121" s="8634" t="s">
        <v>7050</v>
      </c>
      <c r="F3121" s="8634" t="s">
        <v>4717</v>
      </c>
      <c r="G3121" s="8634" t="s">
        <v>24</v>
      </c>
      <c r="H3121" s="8634" t="s">
        <v>24</v>
      </c>
      <c r="I3121" s="8634" t="s">
        <v>823</v>
      </c>
    </row>
    <row customHeight="1" ht="11.25">
      <c r="A3122" s="8634" t="s">
        <v>2182</v>
      </c>
      <c r="B3122" s="8634" t="s">
        <v>14</v>
      </c>
      <c r="C3122" s="8634" t="s">
        <v>7051</v>
      </c>
      <c r="D3122" s="8634" t="s">
        <v>7052</v>
      </c>
      <c r="E3122" s="8634" t="s">
        <v>7053</v>
      </c>
      <c r="F3122" s="8634" t="s">
        <v>2563</v>
      </c>
      <c r="G3122" s="8634" t="s">
        <v>24</v>
      </c>
      <c r="H3122" s="8634" t="s">
        <v>24</v>
      </c>
      <c r="I3122" s="8634" t="s">
        <v>823</v>
      </c>
    </row>
    <row customHeight="1" ht="11.25">
      <c r="A3123" s="8634" t="s">
        <v>2182</v>
      </c>
      <c r="B3123" s="8634" t="s">
        <v>14</v>
      </c>
      <c r="C3123" s="8634" t="s">
        <v>7057</v>
      </c>
      <c r="D3123" s="8634" t="s">
        <v>7058</v>
      </c>
      <c r="E3123" s="8634" t="s">
        <v>6512</v>
      </c>
      <c r="F3123" s="8634" t="s">
        <v>5584</v>
      </c>
      <c r="G3123" s="8634" t="s">
        <v>7059</v>
      </c>
      <c r="H3123" s="8634" t="s">
        <v>6515</v>
      </c>
      <c r="I3123" s="8634" t="s">
        <v>823</v>
      </c>
    </row>
    <row customHeight="1" ht="11.25">
      <c r="A3124" s="8634" t="s">
        <v>2182</v>
      </c>
      <c r="B3124" s="8634" t="s">
        <v>14</v>
      </c>
      <c r="C3124" s="8634" t="s">
        <v>7060</v>
      </c>
      <c r="D3124" s="8634" t="s">
        <v>7061</v>
      </c>
      <c r="E3124" s="8634" t="s">
        <v>6512</v>
      </c>
      <c r="F3124" s="8634" t="s">
        <v>7062</v>
      </c>
      <c r="G3124" s="8634" t="s">
        <v>6514</v>
      </c>
      <c r="H3124" s="8634" t="s">
        <v>6515</v>
      </c>
      <c r="I3124" s="8634" t="s">
        <v>823</v>
      </c>
    </row>
    <row customHeight="1" ht="11.25">
      <c r="A3125" s="8634" t="s">
        <v>2182</v>
      </c>
      <c r="B3125" s="8634" t="s">
        <v>14</v>
      </c>
      <c r="C3125" s="8634" t="s">
        <v>7983</v>
      </c>
      <c r="D3125" s="8634" t="s">
        <v>7984</v>
      </c>
      <c r="E3125" s="8634" t="s">
        <v>7985</v>
      </c>
      <c r="F3125" s="8634" t="s">
        <v>2447</v>
      </c>
      <c r="G3125" s="8634" t="s">
        <v>24</v>
      </c>
      <c r="H3125" s="8634" t="s">
        <v>24</v>
      </c>
      <c r="I3125" s="8634" t="s">
        <v>823</v>
      </c>
    </row>
    <row customHeight="1" ht="11.25">
      <c r="A3126" s="8634" t="s">
        <v>2182</v>
      </c>
      <c r="B3126" s="8634" t="s">
        <v>14</v>
      </c>
      <c r="C3126" s="8634" t="s">
        <v>4228</v>
      </c>
      <c r="D3126" s="8634" t="s">
        <v>4229</v>
      </c>
      <c r="E3126" s="8634" t="s">
        <v>4230</v>
      </c>
      <c r="F3126" s="8634" t="s">
        <v>2213</v>
      </c>
      <c r="G3126" s="8634" t="s">
        <v>24</v>
      </c>
      <c r="H3126" s="8634" t="s">
        <v>2187</v>
      </c>
      <c r="I3126" s="8634" t="s">
        <v>823</v>
      </c>
    </row>
    <row customHeight="1" ht="11.25">
      <c r="A3127" s="8634" t="s">
        <v>2182</v>
      </c>
      <c r="B3127" s="8634" t="s">
        <v>14</v>
      </c>
      <c r="C3127" s="8634" t="s">
        <v>4233</v>
      </c>
      <c r="D3127" s="8634" t="s">
        <v>4234</v>
      </c>
      <c r="E3127" s="8634" t="s">
        <v>4235</v>
      </c>
      <c r="F3127" s="8634" t="s">
        <v>2339</v>
      </c>
      <c r="G3127" s="8634" t="s">
        <v>24</v>
      </c>
      <c r="H3127" s="8634" t="s">
        <v>2187</v>
      </c>
      <c r="I3127" s="8634" t="s">
        <v>823</v>
      </c>
    </row>
    <row customHeight="1" ht="11.25">
      <c r="A3128" s="8634" t="s">
        <v>2182</v>
      </c>
      <c r="B3128" s="8634" t="s">
        <v>14</v>
      </c>
      <c r="C3128" s="8634" t="s">
        <v>4239</v>
      </c>
      <c r="D3128" s="8634" t="s">
        <v>4240</v>
      </c>
      <c r="E3128" s="8634" t="s">
        <v>4241</v>
      </c>
      <c r="F3128" s="8634" t="s">
        <v>2213</v>
      </c>
      <c r="G3128" s="8634" t="s">
        <v>24</v>
      </c>
      <c r="H3128" s="8634" t="s">
        <v>2187</v>
      </c>
      <c r="I3128" s="8634" t="s">
        <v>823</v>
      </c>
    </row>
    <row customHeight="1" ht="11.25">
      <c r="A3129" s="8634" t="s">
        <v>2182</v>
      </c>
      <c r="B3129" s="8634" t="s">
        <v>14</v>
      </c>
      <c r="C3129" s="8634" t="s">
        <v>4242</v>
      </c>
      <c r="D3129" s="8634" t="s">
        <v>4243</v>
      </c>
      <c r="E3129" s="8634" t="s">
        <v>4244</v>
      </c>
      <c r="F3129" s="8634" t="s">
        <v>2213</v>
      </c>
      <c r="G3129" s="8634" t="s">
        <v>24</v>
      </c>
      <c r="H3129" s="8634" t="s">
        <v>2187</v>
      </c>
      <c r="I3129" s="8634" t="s">
        <v>823</v>
      </c>
    </row>
    <row customHeight="1" ht="11.25">
      <c r="A3130" s="8634" t="s">
        <v>2182</v>
      </c>
      <c r="B3130" s="8634" t="s">
        <v>14</v>
      </c>
      <c r="C3130" s="8634" t="s">
        <v>4248</v>
      </c>
      <c r="D3130" s="8634" t="s">
        <v>4249</v>
      </c>
      <c r="E3130" s="8634" t="s">
        <v>4250</v>
      </c>
      <c r="F3130" s="8634" t="s">
        <v>2854</v>
      </c>
      <c r="G3130" s="8634" t="s">
        <v>24</v>
      </c>
      <c r="H3130" s="8634" t="s">
        <v>2187</v>
      </c>
      <c r="I3130" s="8634" t="s">
        <v>823</v>
      </c>
    </row>
    <row customHeight="1" ht="11.25">
      <c r="A3131" s="8634" t="s">
        <v>2182</v>
      </c>
      <c r="B3131" s="8634" t="s">
        <v>14</v>
      </c>
      <c r="C3131" s="8634" t="s">
        <v>6329</v>
      </c>
      <c r="D3131" s="8634" t="s">
        <v>6330</v>
      </c>
      <c r="E3131" s="8634" t="s">
        <v>6331</v>
      </c>
      <c r="F3131" s="8634" t="s">
        <v>2228</v>
      </c>
      <c r="G3131" s="8634" t="s">
        <v>24</v>
      </c>
      <c r="H3131" s="8634" t="s">
        <v>2187</v>
      </c>
      <c r="I3131" s="8634" t="s">
        <v>823</v>
      </c>
    </row>
    <row customHeight="1" ht="11.25">
      <c r="A3132" s="8634" t="s">
        <v>2182</v>
      </c>
      <c r="B3132" s="8634" t="s">
        <v>14</v>
      </c>
      <c r="C3132" s="8634" t="s">
        <v>4267</v>
      </c>
      <c r="D3132" s="8634" t="s">
        <v>4268</v>
      </c>
      <c r="E3132" s="8634" t="s">
        <v>4269</v>
      </c>
      <c r="F3132" s="8634" t="s">
        <v>2492</v>
      </c>
      <c r="G3132" s="8634" t="s">
        <v>2555</v>
      </c>
      <c r="H3132" s="8634" t="s">
        <v>24</v>
      </c>
      <c r="I3132" s="8634" t="s">
        <v>823</v>
      </c>
    </row>
    <row customHeight="1" ht="11.25">
      <c r="A3133" s="8634" t="s">
        <v>2182</v>
      </c>
      <c r="B3133" s="8634" t="s">
        <v>14</v>
      </c>
      <c r="C3133" s="8634" t="s">
        <v>4278</v>
      </c>
      <c r="D3133" s="8634" t="s">
        <v>4279</v>
      </c>
      <c r="E3133" s="8634" t="s">
        <v>4280</v>
      </c>
      <c r="F3133" s="8634" t="s">
        <v>2245</v>
      </c>
      <c r="G3133" s="8634" t="s">
        <v>4281</v>
      </c>
      <c r="H3133" s="8634" t="s">
        <v>4282</v>
      </c>
      <c r="I3133" s="8634" t="s">
        <v>823</v>
      </c>
    </row>
    <row customHeight="1" ht="11.25">
      <c r="A3134" s="8634" t="s">
        <v>2182</v>
      </c>
      <c r="B3134" s="8634" t="s">
        <v>14</v>
      </c>
      <c r="C3134" s="8634" t="s">
        <v>4283</v>
      </c>
      <c r="D3134" s="8634" t="s">
        <v>4279</v>
      </c>
      <c r="E3134" s="8634" t="s">
        <v>4284</v>
      </c>
      <c r="F3134" s="8634" t="s">
        <v>2245</v>
      </c>
      <c r="G3134" s="8634" t="s">
        <v>4285</v>
      </c>
      <c r="H3134" s="8634" t="s">
        <v>24</v>
      </c>
      <c r="I3134" s="8634" t="s">
        <v>823</v>
      </c>
    </row>
    <row customHeight="1" ht="11.25">
      <c r="A3135" s="8634" t="s">
        <v>2182</v>
      </c>
      <c r="B3135" s="8634" t="s">
        <v>14</v>
      </c>
      <c r="C3135" s="8634" t="s">
        <v>7066</v>
      </c>
      <c r="D3135" s="8634" t="s">
        <v>7067</v>
      </c>
      <c r="E3135" s="8634" t="s">
        <v>7068</v>
      </c>
      <c r="F3135" s="8634" t="s">
        <v>2334</v>
      </c>
      <c r="G3135" s="8634" t="s">
        <v>24</v>
      </c>
      <c r="H3135" s="8634" t="s">
        <v>24</v>
      </c>
      <c r="I3135" s="8634" t="s">
        <v>823</v>
      </c>
    </row>
    <row customHeight="1" ht="11.25">
      <c r="A3136" s="8634" t="s">
        <v>2182</v>
      </c>
      <c r="B3136" s="8634" t="s">
        <v>14</v>
      </c>
      <c r="C3136" s="8634" t="s">
        <v>4298</v>
      </c>
      <c r="D3136" s="8634" t="s">
        <v>4299</v>
      </c>
      <c r="E3136" s="8634" t="s">
        <v>4300</v>
      </c>
      <c r="F3136" s="8634" t="s">
        <v>2492</v>
      </c>
      <c r="G3136" s="8634" t="s">
        <v>4301</v>
      </c>
      <c r="H3136" s="8634" t="s">
        <v>24</v>
      </c>
      <c r="I3136" s="8634" t="s">
        <v>823</v>
      </c>
    </row>
    <row customHeight="1" ht="11.25">
      <c r="A3137" s="8634" t="s">
        <v>2182</v>
      </c>
      <c r="B3137" s="8634" t="s">
        <v>14</v>
      </c>
      <c r="C3137" s="8634" t="s">
        <v>7986</v>
      </c>
      <c r="D3137" s="8634" t="s">
        <v>7987</v>
      </c>
      <c r="E3137" s="8634" t="s">
        <v>7988</v>
      </c>
      <c r="F3137" s="8634" t="s">
        <v>2671</v>
      </c>
      <c r="G3137" s="8634" t="s">
        <v>24</v>
      </c>
      <c r="H3137" s="8634" t="s">
        <v>24</v>
      </c>
      <c r="I3137" s="8634" t="s">
        <v>823</v>
      </c>
    </row>
    <row customHeight="1" ht="11.25">
      <c r="A3138" s="8634" t="s">
        <v>2182</v>
      </c>
      <c r="B3138" s="8634" t="s">
        <v>14</v>
      </c>
      <c r="C3138" s="8634" t="s">
        <v>7076</v>
      </c>
      <c r="D3138" s="8634" t="s">
        <v>7077</v>
      </c>
      <c r="E3138" s="8634" t="s">
        <v>7078</v>
      </c>
      <c r="F3138" s="8634" t="s">
        <v>4150</v>
      </c>
      <c r="G3138" s="8634" t="s">
        <v>24</v>
      </c>
      <c r="H3138" s="8634" t="s">
        <v>2187</v>
      </c>
      <c r="I3138" s="8634" t="s">
        <v>823</v>
      </c>
    </row>
    <row customHeight="1" ht="11.25">
      <c r="A3139" s="8634" t="s">
        <v>2182</v>
      </c>
      <c r="B3139" s="8634" t="s">
        <v>14</v>
      </c>
      <c r="C3139" s="8634" t="s">
        <v>7079</v>
      </c>
      <c r="D3139" s="8634" t="s">
        <v>7077</v>
      </c>
      <c r="E3139" s="8634" t="s">
        <v>7078</v>
      </c>
      <c r="F3139" s="8634" t="s">
        <v>2832</v>
      </c>
      <c r="G3139" s="8634" t="s">
        <v>24</v>
      </c>
      <c r="H3139" s="8634" t="s">
        <v>24</v>
      </c>
      <c r="I3139" s="8634" t="s">
        <v>823</v>
      </c>
    </row>
    <row customHeight="1" ht="11.25">
      <c r="A3140" s="8634" t="s">
        <v>2182</v>
      </c>
      <c r="B3140" s="8634" t="s">
        <v>14</v>
      </c>
      <c r="C3140" s="8634" t="s">
        <v>7088</v>
      </c>
      <c r="D3140" s="8634" t="s">
        <v>7089</v>
      </c>
      <c r="E3140" s="8634" t="s">
        <v>7090</v>
      </c>
      <c r="F3140" s="8634" t="s">
        <v>4764</v>
      </c>
      <c r="G3140" s="8634" t="s">
        <v>7091</v>
      </c>
      <c r="H3140" s="8634" t="s">
        <v>7092</v>
      </c>
      <c r="I3140" s="8634" t="s">
        <v>823</v>
      </c>
    </row>
    <row customHeight="1" ht="11.25">
      <c r="A3141" s="8634" t="s">
        <v>2182</v>
      </c>
      <c r="B3141" s="8634" t="s">
        <v>14</v>
      </c>
      <c r="C3141" s="8634" t="s">
        <v>7989</v>
      </c>
      <c r="D3141" s="8634" t="s">
        <v>7990</v>
      </c>
      <c r="E3141" s="8634" t="s">
        <v>7991</v>
      </c>
      <c r="F3141" s="8634" t="s">
        <v>2696</v>
      </c>
      <c r="G3141" s="8634" t="s">
        <v>24</v>
      </c>
      <c r="H3141" s="8634" t="s">
        <v>24</v>
      </c>
      <c r="I3141" s="8634" t="s">
        <v>823</v>
      </c>
    </row>
    <row customHeight="1" ht="11.25">
      <c r="A3142" s="8634" t="s">
        <v>2182</v>
      </c>
      <c r="B3142" s="8634" t="s">
        <v>14</v>
      </c>
      <c r="C3142" s="8634" t="s">
        <v>4305</v>
      </c>
      <c r="D3142" s="8634" t="s">
        <v>4306</v>
      </c>
      <c r="E3142" s="8634" t="s">
        <v>4307</v>
      </c>
      <c r="F3142" s="8634" t="s">
        <v>2218</v>
      </c>
      <c r="G3142" s="8634" t="s">
        <v>4308</v>
      </c>
      <c r="H3142" s="8634" t="s">
        <v>24</v>
      </c>
      <c r="I3142" s="8634" t="s">
        <v>823</v>
      </c>
    </row>
    <row customHeight="1" ht="11.25">
      <c r="A3143" s="8634" t="s">
        <v>2182</v>
      </c>
      <c r="B3143" s="8634" t="s">
        <v>14</v>
      </c>
      <c r="C3143" s="8634" t="s">
        <v>4320</v>
      </c>
      <c r="D3143" s="8634" t="s">
        <v>4321</v>
      </c>
      <c r="E3143" s="8634" t="s">
        <v>4322</v>
      </c>
      <c r="F3143" s="8634" t="s">
        <v>2245</v>
      </c>
      <c r="G3143" s="8634" t="s">
        <v>24</v>
      </c>
      <c r="H3143" s="8634" t="s">
        <v>24</v>
      </c>
      <c r="I3143" s="8634" t="s">
        <v>823</v>
      </c>
    </row>
    <row customHeight="1" ht="11.25">
      <c r="A3144" s="8634" t="s">
        <v>2182</v>
      </c>
      <c r="B3144" s="8634" t="s">
        <v>14</v>
      </c>
      <c r="C3144" s="8634" t="s">
        <v>7992</v>
      </c>
      <c r="D3144" s="8634" t="s">
        <v>7993</v>
      </c>
      <c r="E3144" s="8634" t="s">
        <v>7994</v>
      </c>
      <c r="F3144" s="8634" t="s">
        <v>2600</v>
      </c>
      <c r="G3144" s="8634" t="s">
        <v>24</v>
      </c>
      <c r="H3144" s="8634" t="s">
        <v>24</v>
      </c>
      <c r="I3144" s="8634" t="s">
        <v>823</v>
      </c>
    </row>
    <row customHeight="1" ht="11.25">
      <c r="A3145" s="8634" t="s">
        <v>2182</v>
      </c>
      <c r="B3145" s="8634" t="s">
        <v>14</v>
      </c>
      <c r="C3145" s="8634" t="s">
        <v>7103</v>
      </c>
      <c r="D3145" s="8634" t="s">
        <v>7104</v>
      </c>
      <c r="E3145" s="8634" t="s">
        <v>7105</v>
      </c>
      <c r="F3145" s="8634" t="s">
        <v>2213</v>
      </c>
      <c r="G3145" s="8634" t="s">
        <v>24</v>
      </c>
      <c r="H3145" s="8634" t="s">
        <v>2187</v>
      </c>
      <c r="I3145" s="8634" t="s">
        <v>823</v>
      </c>
    </row>
    <row customHeight="1" ht="11.25">
      <c r="A3146" s="8634" t="s">
        <v>2182</v>
      </c>
      <c r="B3146" s="8634" t="s">
        <v>14</v>
      </c>
      <c r="C3146" s="8634" t="s">
        <v>7106</v>
      </c>
      <c r="D3146" s="8634" t="s">
        <v>7107</v>
      </c>
      <c r="E3146" s="8634" t="s">
        <v>7108</v>
      </c>
      <c r="F3146" s="8634" t="s">
        <v>2976</v>
      </c>
      <c r="G3146" s="8634" t="s">
        <v>24</v>
      </c>
      <c r="H3146" s="8634" t="s">
        <v>2187</v>
      </c>
      <c r="I3146" s="8634" t="s">
        <v>823</v>
      </c>
    </row>
    <row customHeight="1" ht="11.25">
      <c r="A3147" s="8634" t="s">
        <v>2182</v>
      </c>
      <c r="B3147" s="8634" t="s">
        <v>14</v>
      </c>
      <c r="C3147" s="8634" t="s">
        <v>4326</v>
      </c>
      <c r="D3147" s="8634" t="s">
        <v>4327</v>
      </c>
      <c r="E3147" s="8634" t="s">
        <v>4328</v>
      </c>
      <c r="F3147" s="8634" t="s">
        <v>2233</v>
      </c>
      <c r="G3147" s="8634" t="s">
        <v>2368</v>
      </c>
      <c r="H3147" s="8634" t="s">
        <v>24</v>
      </c>
      <c r="I3147" s="8634" t="s">
        <v>823</v>
      </c>
    </row>
    <row customHeight="1" ht="11.25">
      <c r="A3148" s="8634" t="s">
        <v>2182</v>
      </c>
      <c r="B3148" s="8634" t="s">
        <v>14</v>
      </c>
      <c r="C3148" s="8634" t="s">
        <v>4329</v>
      </c>
      <c r="D3148" s="8634" t="s">
        <v>4327</v>
      </c>
      <c r="E3148" s="8634" t="s">
        <v>4330</v>
      </c>
      <c r="F3148" s="8634" t="s">
        <v>2228</v>
      </c>
      <c r="G3148" s="8634" t="s">
        <v>24</v>
      </c>
      <c r="H3148" s="8634" t="s">
        <v>24</v>
      </c>
      <c r="I3148" s="8634" t="s">
        <v>823</v>
      </c>
    </row>
    <row customHeight="1" ht="11.25">
      <c r="A3149" s="8634" t="s">
        <v>2182</v>
      </c>
      <c r="B3149" s="8634" t="s">
        <v>14</v>
      </c>
      <c r="C3149" s="8634" t="s">
        <v>4331</v>
      </c>
      <c r="D3149" s="8634" t="s">
        <v>4327</v>
      </c>
      <c r="E3149" s="8634" t="s">
        <v>4330</v>
      </c>
      <c r="F3149" s="8634" t="s">
        <v>4332</v>
      </c>
      <c r="G3149" s="8634" t="s">
        <v>4333</v>
      </c>
      <c r="H3149" s="8634" t="s">
        <v>24</v>
      </c>
      <c r="I3149" s="8634" t="s">
        <v>823</v>
      </c>
    </row>
    <row customHeight="1" ht="11.25">
      <c r="A3150" s="8634" t="s">
        <v>2182</v>
      </c>
      <c r="B3150" s="8634" t="s">
        <v>14</v>
      </c>
      <c r="C3150" s="8634" t="s">
        <v>7113</v>
      </c>
      <c r="D3150" s="8634" t="s">
        <v>7114</v>
      </c>
      <c r="E3150" s="8634" t="s">
        <v>7115</v>
      </c>
      <c r="F3150" s="8634" t="s">
        <v>2233</v>
      </c>
      <c r="G3150" s="8634" t="s">
        <v>24</v>
      </c>
      <c r="H3150" s="8634" t="s">
        <v>7116</v>
      </c>
      <c r="I3150" s="8634" t="s">
        <v>823</v>
      </c>
    </row>
    <row customHeight="1" ht="11.25">
      <c r="A3151" s="8634" t="s">
        <v>2182</v>
      </c>
      <c r="B3151" s="8634" t="s">
        <v>14</v>
      </c>
      <c r="C3151" s="8634" t="s">
        <v>7124</v>
      </c>
      <c r="D3151" s="8634" t="s">
        <v>7125</v>
      </c>
      <c r="E3151" s="8634" t="s">
        <v>7126</v>
      </c>
      <c r="F3151" s="8634" t="s">
        <v>2563</v>
      </c>
      <c r="G3151" s="8634" t="s">
        <v>2368</v>
      </c>
      <c r="H3151" s="8634" t="s">
        <v>24</v>
      </c>
      <c r="I3151" s="8634" t="s">
        <v>823</v>
      </c>
    </row>
    <row customHeight="1" ht="11.25">
      <c r="A3152" s="8634" t="s">
        <v>2182</v>
      </c>
      <c r="B3152" s="8634" t="s">
        <v>14</v>
      </c>
      <c r="C3152" s="8634" t="s">
        <v>7995</v>
      </c>
      <c r="D3152" s="8634" t="s">
        <v>7996</v>
      </c>
      <c r="E3152" s="8634" t="s">
        <v>7997</v>
      </c>
      <c r="F3152" s="8634" t="s">
        <v>5584</v>
      </c>
      <c r="G3152" s="8634" t="s">
        <v>7998</v>
      </c>
      <c r="H3152" s="8634" t="s">
        <v>24</v>
      </c>
      <c r="I3152" s="8634" t="s">
        <v>823</v>
      </c>
    </row>
    <row customHeight="1" ht="11.25">
      <c r="A3153" s="8634" t="s">
        <v>2182</v>
      </c>
      <c r="B3153" s="8634" t="s">
        <v>14</v>
      </c>
      <c r="C3153" s="8634" t="s">
        <v>4370</v>
      </c>
      <c r="D3153" s="8634" t="s">
        <v>4371</v>
      </c>
      <c r="E3153" s="8634" t="s">
        <v>4372</v>
      </c>
      <c r="F3153" s="8634" t="s">
        <v>2696</v>
      </c>
      <c r="G3153" s="8634" t="s">
        <v>4373</v>
      </c>
      <c r="H3153" s="8634" t="s">
        <v>2187</v>
      </c>
      <c r="I3153" s="8634" t="s">
        <v>823</v>
      </c>
    </row>
    <row customHeight="1" ht="11.25">
      <c r="A3154" s="8634" t="s">
        <v>2182</v>
      </c>
      <c r="B3154" s="8634" t="s">
        <v>14</v>
      </c>
      <c r="C3154" s="8634" t="s">
        <v>4374</v>
      </c>
      <c r="D3154" s="8634" t="s">
        <v>4375</v>
      </c>
      <c r="E3154" s="8634" t="s">
        <v>4376</v>
      </c>
      <c r="F3154" s="8634" t="s">
        <v>2600</v>
      </c>
      <c r="G3154" s="8634" t="s">
        <v>24</v>
      </c>
      <c r="H3154" s="8634" t="s">
        <v>2187</v>
      </c>
      <c r="I3154" s="8634" t="s">
        <v>823</v>
      </c>
    </row>
    <row customHeight="1" ht="11.25">
      <c r="A3155" s="8634" t="s">
        <v>2182</v>
      </c>
      <c r="B3155" s="8634" t="s">
        <v>14</v>
      </c>
      <c r="C3155" s="8634" t="s">
        <v>7134</v>
      </c>
      <c r="D3155" s="8634" t="s">
        <v>7135</v>
      </c>
      <c r="E3155" s="8634" t="s">
        <v>7136</v>
      </c>
      <c r="F3155" s="8634" t="s">
        <v>2334</v>
      </c>
      <c r="G3155" s="8634" t="s">
        <v>5879</v>
      </c>
      <c r="H3155" s="8634" t="s">
        <v>2870</v>
      </c>
      <c r="I3155" s="8634" t="s">
        <v>823</v>
      </c>
    </row>
    <row customHeight="1" ht="11.25">
      <c r="A3156" s="8634" t="s">
        <v>2182</v>
      </c>
      <c r="B3156" s="8634" t="s">
        <v>14</v>
      </c>
      <c r="C3156" s="8634" t="s">
        <v>4381</v>
      </c>
      <c r="D3156" s="8634" t="s">
        <v>4382</v>
      </c>
      <c r="E3156" s="8634" t="s">
        <v>4383</v>
      </c>
      <c r="F3156" s="8634" t="s">
        <v>2300</v>
      </c>
      <c r="G3156" s="8634" t="s">
        <v>24</v>
      </c>
      <c r="H3156" s="8634" t="s">
        <v>24</v>
      </c>
      <c r="I3156" s="8634" t="s">
        <v>823</v>
      </c>
    </row>
    <row customHeight="1" ht="11.25">
      <c r="A3157" s="8634" t="s">
        <v>2182</v>
      </c>
      <c r="B3157" s="8634" t="s">
        <v>14</v>
      </c>
      <c r="C3157" s="8634" t="s">
        <v>4384</v>
      </c>
      <c r="D3157" s="8634" t="s">
        <v>4385</v>
      </c>
      <c r="E3157" s="8634" t="s">
        <v>4386</v>
      </c>
      <c r="F3157" s="8634" t="s">
        <v>2250</v>
      </c>
      <c r="G3157" s="8634" t="s">
        <v>24</v>
      </c>
      <c r="H3157" s="8634" t="s">
        <v>24</v>
      </c>
      <c r="I3157" s="8634" t="s">
        <v>823</v>
      </c>
    </row>
    <row customHeight="1" ht="11.25">
      <c r="A3158" s="8634" t="s">
        <v>2182</v>
      </c>
      <c r="B3158" s="8634" t="s">
        <v>14</v>
      </c>
      <c r="C3158" s="8634" t="s">
        <v>7137</v>
      </c>
      <c r="D3158" s="8634" t="s">
        <v>7138</v>
      </c>
      <c r="E3158" s="8634" t="s">
        <v>7139</v>
      </c>
      <c r="F3158" s="8634" t="s">
        <v>2218</v>
      </c>
      <c r="G3158" s="8634" t="s">
        <v>7140</v>
      </c>
      <c r="H3158" s="8634" t="s">
        <v>7141</v>
      </c>
      <c r="I3158" s="8634" t="s">
        <v>823</v>
      </c>
    </row>
    <row customHeight="1" ht="11.25">
      <c r="A3159" s="8634" t="s">
        <v>2182</v>
      </c>
      <c r="B3159" s="8634" t="s">
        <v>14</v>
      </c>
      <c r="C3159" s="8634" t="s">
        <v>4391</v>
      </c>
      <c r="D3159" s="8634" t="s">
        <v>4392</v>
      </c>
      <c r="E3159" s="8634" t="s">
        <v>4393</v>
      </c>
      <c r="F3159" s="8634" t="s">
        <v>2322</v>
      </c>
      <c r="G3159" s="8634" t="s">
        <v>24</v>
      </c>
      <c r="H3159" s="8634" t="s">
        <v>2187</v>
      </c>
      <c r="I3159" s="8634" t="s">
        <v>823</v>
      </c>
    </row>
    <row customHeight="1" ht="11.25">
      <c r="A3160" s="8634" t="s">
        <v>2182</v>
      </c>
      <c r="B3160" s="8634" t="s">
        <v>14</v>
      </c>
      <c r="C3160" s="8634" t="s">
        <v>4394</v>
      </c>
      <c r="D3160" s="8634" t="s">
        <v>4392</v>
      </c>
      <c r="E3160" s="8634" t="s">
        <v>4395</v>
      </c>
      <c r="F3160" s="8634" t="s">
        <v>2186</v>
      </c>
      <c r="G3160" s="8634" t="s">
        <v>4396</v>
      </c>
      <c r="H3160" s="8634" t="s">
        <v>24</v>
      </c>
      <c r="I3160" s="8634" t="s">
        <v>823</v>
      </c>
    </row>
    <row customHeight="1" ht="11.25">
      <c r="A3161" s="8634" t="s">
        <v>2182</v>
      </c>
      <c r="B3161" s="8634" t="s">
        <v>14</v>
      </c>
      <c r="C3161" s="8634" t="s">
        <v>7145</v>
      </c>
      <c r="D3161" s="8634" t="s">
        <v>7146</v>
      </c>
      <c r="E3161" s="8634" t="s">
        <v>7147</v>
      </c>
      <c r="F3161" s="8634" t="s">
        <v>2213</v>
      </c>
      <c r="G3161" s="8634" t="s">
        <v>7148</v>
      </c>
      <c r="H3161" s="8634" t="s">
        <v>7149</v>
      </c>
      <c r="I3161" s="8634" t="s">
        <v>823</v>
      </c>
    </row>
    <row customHeight="1" ht="11.25">
      <c r="A3162" s="8634" t="s">
        <v>2182</v>
      </c>
      <c r="B3162" s="8634" t="s">
        <v>14</v>
      </c>
      <c r="C3162" s="8634" t="s">
        <v>7150</v>
      </c>
      <c r="D3162" s="8634" t="s">
        <v>7151</v>
      </c>
      <c r="E3162" s="8634" t="s">
        <v>7152</v>
      </c>
      <c r="F3162" s="8634" t="s">
        <v>2339</v>
      </c>
      <c r="G3162" s="8634" t="s">
        <v>24</v>
      </c>
      <c r="H3162" s="8634" t="s">
        <v>24</v>
      </c>
      <c r="I3162" s="8634" t="s">
        <v>823</v>
      </c>
    </row>
    <row customHeight="1" ht="11.25">
      <c r="A3163" s="8634" t="s">
        <v>2182</v>
      </c>
      <c r="B3163" s="8634" t="s">
        <v>14</v>
      </c>
      <c r="C3163" s="8634" t="s">
        <v>7166</v>
      </c>
      <c r="D3163" s="8634" t="s">
        <v>7167</v>
      </c>
      <c r="E3163" s="8634" t="s">
        <v>7168</v>
      </c>
      <c r="F3163" s="8634" t="s">
        <v>2411</v>
      </c>
      <c r="G3163" s="8634" t="s">
        <v>7169</v>
      </c>
      <c r="H3163" s="8634" t="s">
        <v>24</v>
      </c>
      <c r="I3163" s="8634" t="s">
        <v>823</v>
      </c>
    </row>
    <row customHeight="1" ht="11.25">
      <c r="A3164" s="8634" t="s">
        <v>2182</v>
      </c>
      <c r="B3164" s="8634" t="s">
        <v>14</v>
      </c>
      <c r="C3164" s="8634" t="s">
        <v>7999</v>
      </c>
      <c r="D3164" s="8634" t="s">
        <v>8000</v>
      </c>
      <c r="E3164" s="8634" t="s">
        <v>8001</v>
      </c>
      <c r="F3164" s="8634" t="s">
        <v>2245</v>
      </c>
      <c r="G3164" s="8634" t="s">
        <v>8002</v>
      </c>
      <c r="H3164" s="8634" t="s">
        <v>24</v>
      </c>
      <c r="I3164" s="8634" t="s">
        <v>823</v>
      </c>
    </row>
    <row customHeight="1" ht="11.25">
      <c r="A3165" s="8634" t="s">
        <v>2182</v>
      </c>
      <c r="B3165" s="8634" t="s">
        <v>14</v>
      </c>
      <c r="C3165" s="8634" t="s">
        <v>7170</v>
      </c>
      <c r="D3165" s="8634" t="s">
        <v>7171</v>
      </c>
      <c r="E3165" s="8634" t="s">
        <v>7172</v>
      </c>
      <c r="F3165" s="8634" t="s">
        <v>2394</v>
      </c>
      <c r="G3165" s="8634" t="s">
        <v>6582</v>
      </c>
      <c r="H3165" s="8634" t="s">
        <v>24</v>
      </c>
      <c r="I3165" s="8634" t="s">
        <v>823</v>
      </c>
    </row>
    <row customHeight="1" ht="11.25">
      <c r="A3166" s="8634" t="s">
        <v>2182</v>
      </c>
      <c r="B3166" s="8634" t="s">
        <v>14</v>
      </c>
      <c r="C3166" s="8634" t="s">
        <v>7176</v>
      </c>
      <c r="D3166" s="8634" t="s">
        <v>7177</v>
      </c>
      <c r="E3166" s="8634" t="s">
        <v>4431</v>
      </c>
      <c r="F3166" s="8634" t="s">
        <v>7178</v>
      </c>
      <c r="G3166" s="8634" t="s">
        <v>24</v>
      </c>
      <c r="H3166" s="8634" t="s">
        <v>7179</v>
      </c>
      <c r="I3166" s="8634" t="s">
        <v>823</v>
      </c>
    </row>
    <row customHeight="1" ht="11.25">
      <c r="A3167" s="8634" t="s">
        <v>2182</v>
      </c>
      <c r="B3167" s="8634" t="s">
        <v>14</v>
      </c>
      <c r="C3167" s="8634" t="s">
        <v>4435</v>
      </c>
      <c r="D3167" s="8634" t="s">
        <v>4436</v>
      </c>
      <c r="E3167" s="8634" t="s">
        <v>4437</v>
      </c>
      <c r="F3167" s="8634" t="s">
        <v>2233</v>
      </c>
      <c r="G3167" s="8634" t="s">
        <v>4438</v>
      </c>
      <c r="H3167" s="8634" t="s">
        <v>24</v>
      </c>
      <c r="I3167" s="8634" t="s">
        <v>823</v>
      </c>
    </row>
    <row customHeight="1" ht="11.25">
      <c r="A3168" s="8634" t="s">
        <v>2182</v>
      </c>
      <c r="B3168" s="8634" t="s">
        <v>14</v>
      </c>
      <c r="C3168" s="8634" t="s">
        <v>7180</v>
      </c>
      <c r="D3168" s="8634" t="s">
        <v>7181</v>
      </c>
      <c r="E3168" s="8634" t="s">
        <v>7182</v>
      </c>
      <c r="F3168" s="8634" t="s">
        <v>2788</v>
      </c>
      <c r="G3168" s="8634" t="s">
        <v>7183</v>
      </c>
      <c r="H3168" s="8634" t="s">
        <v>24</v>
      </c>
      <c r="I3168" s="8634" t="s">
        <v>823</v>
      </c>
    </row>
    <row customHeight="1" ht="11.25">
      <c r="A3169" s="8634" t="s">
        <v>2182</v>
      </c>
      <c r="B3169" s="8634" t="s">
        <v>14</v>
      </c>
      <c r="C3169" s="8634" t="s">
        <v>4448</v>
      </c>
      <c r="D3169" s="8634" t="s">
        <v>4449</v>
      </c>
      <c r="E3169" s="8634" t="s">
        <v>4450</v>
      </c>
      <c r="F3169" s="8634" t="s">
        <v>2245</v>
      </c>
      <c r="G3169" s="8634" t="s">
        <v>24</v>
      </c>
      <c r="H3169" s="8634" t="s">
        <v>24</v>
      </c>
      <c r="I3169" s="8634" t="s">
        <v>823</v>
      </c>
    </row>
    <row customHeight="1" ht="11.25">
      <c r="A3170" s="8634" t="s">
        <v>2182</v>
      </c>
      <c r="B3170" s="8634" t="s">
        <v>14</v>
      </c>
      <c r="C3170" s="8634" t="s">
        <v>4451</v>
      </c>
      <c r="D3170" s="8634" t="s">
        <v>4452</v>
      </c>
      <c r="E3170" s="8634" t="s">
        <v>4453</v>
      </c>
      <c r="F3170" s="8634" t="s">
        <v>2344</v>
      </c>
      <c r="G3170" s="8634" t="s">
        <v>3142</v>
      </c>
      <c r="H3170" s="8634" t="s">
        <v>24</v>
      </c>
      <c r="I3170" s="8634" t="s">
        <v>823</v>
      </c>
    </row>
    <row customHeight="1" ht="11.25">
      <c r="A3171" s="8634" t="s">
        <v>2182</v>
      </c>
      <c r="B3171" s="8634" t="s">
        <v>14</v>
      </c>
      <c r="C3171" s="8634" t="s">
        <v>8003</v>
      </c>
      <c r="D3171" s="8634" t="s">
        <v>8004</v>
      </c>
      <c r="E3171" s="8634" t="s">
        <v>8005</v>
      </c>
      <c r="F3171" s="8634" t="s">
        <v>2284</v>
      </c>
      <c r="G3171" s="8634" t="s">
        <v>8006</v>
      </c>
      <c r="H3171" s="8634" t="s">
        <v>24</v>
      </c>
      <c r="I3171" s="8634" t="s">
        <v>823</v>
      </c>
    </row>
    <row customHeight="1" ht="11.25">
      <c r="A3172" s="8634" t="s">
        <v>2182</v>
      </c>
      <c r="B3172" s="8634" t="s">
        <v>14</v>
      </c>
      <c r="C3172" s="8634" t="s">
        <v>8007</v>
      </c>
      <c r="D3172" s="8634" t="s">
        <v>8008</v>
      </c>
      <c r="E3172" s="8634" t="s">
        <v>8009</v>
      </c>
      <c r="F3172" s="8634" t="s">
        <v>2339</v>
      </c>
      <c r="G3172" s="8634" t="s">
        <v>6469</v>
      </c>
      <c r="H3172" s="8634" t="s">
        <v>24</v>
      </c>
      <c r="I3172" s="8634" t="s">
        <v>823</v>
      </c>
    </row>
    <row customHeight="1" ht="11.25">
      <c r="A3173" s="8634" t="s">
        <v>2182</v>
      </c>
      <c r="B3173" s="8634" t="s">
        <v>14</v>
      </c>
      <c r="C3173" s="8634" t="s">
        <v>4460</v>
      </c>
      <c r="D3173" s="8634" t="s">
        <v>4461</v>
      </c>
      <c r="E3173" s="8634" t="s">
        <v>4462</v>
      </c>
      <c r="F3173" s="8634" t="s">
        <v>2322</v>
      </c>
      <c r="G3173" s="8634" t="s">
        <v>24</v>
      </c>
      <c r="H3173" s="8634" t="s">
        <v>2400</v>
      </c>
      <c r="I3173" s="8634" t="s">
        <v>823</v>
      </c>
    </row>
    <row customHeight="1" ht="11.25">
      <c r="A3174" s="8634" t="s">
        <v>2182</v>
      </c>
      <c r="B3174" s="8634" t="s">
        <v>14</v>
      </c>
      <c r="C3174" s="8634" t="s">
        <v>7184</v>
      </c>
      <c r="D3174" s="8634" t="s">
        <v>7185</v>
      </c>
      <c r="E3174" s="8634" t="s">
        <v>7186</v>
      </c>
      <c r="F3174" s="8634" t="s">
        <v>2363</v>
      </c>
      <c r="G3174" s="8634" t="s">
        <v>7187</v>
      </c>
      <c r="H3174" s="8634" t="s">
        <v>24</v>
      </c>
      <c r="I3174" s="8634" t="s">
        <v>823</v>
      </c>
    </row>
    <row customHeight="1" ht="11.25">
      <c r="A3175" s="8634" t="s">
        <v>2182</v>
      </c>
      <c r="B3175" s="8634" t="s">
        <v>14</v>
      </c>
      <c r="C3175" s="8634" t="s">
        <v>7192</v>
      </c>
      <c r="D3175" s="8634" t="s">
        <v>7193</v>
      </c>
      <c r="E3175" s="8634" t="s">
        <v>7194</v>
      </c>
      <c r="F3175" s="8634" t="s">
        <v>2477</v>
      </c>
      <c r="G3175" s="8634" t="s">
        <v>24</v>
      </c>
      <c r="H3175" s="8634" t="s">
        <v>24</v>
      </c>
      <c r="I3175" s="8634" t="s">
        <v>823</v>
      </c>
    </row>
    <row customHeight="1" ht="11.25">
      <c r="A3176" s="8634" t="s">
        <v>2182</v>
      </c>
      <c r="B3176" s="8634" t="s">
        <v>14</v>
      </c>
      <c r="C3176" s="8634" t="s">
        <v>8010</v>
      </c>
      <c r="D3176" s="8634" t="s">
        <v>8011</v>
      </c>
      <c r="E3176" s="8634" t="s">
        <v>8012</v>
      </c>
      <c r="F3176" s="8634" t="s">
        <v>2245</v>
      </c>
      <c r="G3176" s="8634" t="s">
        <v>24</v>
      </c>
      <c r="H3176" s="8634" t="s">
        <v>2773</v>
      </c>
      <c r="I3176" s="8634" t="s">
        <v>823</v>
      </c>
    </row>
    <row customHeight="1" ht="11.25">
      <c r="A3177" s="8634" t="s">
        <v>2182</v>
      </c>
      <c r="B3177" s="8634" t="s">
        <v>14</v>
      </c>
      <c r="C3177" s="8634" t="s">
        <v>8013</v>
      </c>
      <c r="D3177" s="8634" t="s">
        <v>8014</v>
      </c>
      <c r="E3177" s="8634" t="s">
        <v>8015</v>
      </c>
      <c r="F3177" s="8634" t="s">
        <v>2563</v>
      </c>
      <c r="G3177" s="8634" t="s">
        <v>24</v>
      </c>
      <c r="H3177" s="8634" t="s">
        <v>8016</v>
      </c>
      <c r="I3177" s="8634" t="s">
        <v>823</v>
      </c>
    </row>
    <row customHeight="1" ht="11.25">
      <c r="A3178" s="8634" t="s">
        <v>2182</v>
      </c>
      <c r="B3178" s="8634" t="s">
        <v>14</v>
      </c>
      <c r="C3178" s="8634" t="s">
        <v>8017</v>
      </c>
      <c r="D3178" s="8634" t="s">
        <v>8018</v>
      </c>
      <c r="E3178" s="8634" t="s">
        <v>8019</v>
      </c>
      <c r="F3178" s="8634" t="s">
        <v>2344</v>
      </c>
      <c r="G3178" s="8634" t="s">
        <v>24</v>
      </c>
      <c r="H3178" s="8634" t="s">
        <v>24</v>
      </c>
      <c r="I3178" s="8634" t="s">
        <v>823</v>
      </c>
    </row>
    <row customHeight="1" ht="11.25">
      <c r="A3179" s="8634" t="s">
        <v>2182</v>
      </c>
      <c r="B3179" s="8634" t="s">
        <v>14</v>
      </c>
      <c r="C3179" s="8634" t="s">
        <v>8020</v>
      </c>
      <c r="D3179" s="8634" t="s">
        <v>8021</v>
      </c>
      <c r="E3179" s="8634" t="s">
        <v>7605</v>
      </c>
      <c r="F3179" s="8634" t="s">
        <v>2549</v>
      </c>
      <c r="G3179" s="8634" t="s">
        <v>24</v>
      </c>
      <c r="H3179" s="8634" t="s">
        <v>2773</v>
      </c>
      <c r="I3179" s="8634" t="s">
        <v>823</v>
      </c>
    </row>
    <row customHeight="1" ht="11.25">
      <c r="A3180" s="8634" t="s">
        <v>2182</v>
      </c>
      <c r="B3180" s="8634" t="s">
        <v>14</v>
      </c>
      <c r="C3180" s="8634" t="s">
        <v>7207</v>
      </c>
      <c r="D3180" s="8634" t="s">
        <v>7208</v>
      </c>
      <c r="E3180" s="8634" t="s">
        <v>7209</v>
      </c>
      <c r="F3180" s="8634" t="s">
        <v>2322</v>
      </c>
      <c r="G3180" s="8634" t="s">
        <v>7210</v>
      </c>
      <c r="H3180" s="8634" t="s">
        <v>24</v>
      </c>
      <c r="I3180" s="8634" t="s">
        <v>823</v>
      </c>
    </row>
    <row customHeight="1" ht="11.25">
      <c r="A3181" s="8634" t="s">
        <v>2182</v>
      </c>
      <c r="B3181" s="8634" t="s">
        <v>14</v>
      </c>
      <c r="C3181" s="8634" t="s">
        <v>4499</v>
      </c>
      <c r="D3181" s="8634" t="s">
        <v>4500</v>
      </c>
      <c r="E3181" s="8634" t="s">
        <v>4501</v>
      </c>
      <c r="F3181" s="8634" t="s">
        <v>2213</v>
      </c>
      <c r="G3181" s="8634" t="s">
        <v>4502</v>
      </c>
      <c r="H3181" s="8634" t="s">
        <v>24</v>
      </c>
      <c r="I3181" s="8634" t="s">
        <v>823</v>
      </c>
    </row>
    <row customHeight="1" ht="11.25">
      <c r="A3182" s="8634" t="s">
        <v>2182</v>
      </c>
      <c r="B3182" s="8634" t="s">
        <v>14</v>
      </c>
      <c r="C3182" s="8634" t="s">
        <v>7211</v>
      </c>
      <c r="D3182" s="8634" t="s">
        <v>7212</v>
      </c>
      <c r="E3182" s="8634" t="s">
        <v>7213</v>
      </c>
      <c r="F3182" s="8634" t="s">
        <v>2600</v>
      </c>
      <c r="G3182" s="8634" t="s">
        <v>24</v>
      </c>
      <c r="H3182" s="8634" t="s">
        <v>6850</v>
      </c>
      <c r="I3182" s="8634" t="s">
        <v>823</v>
      </c>
    </row>
    <row customHeight="1" ht="11.25">
      <c r="A3183" s="8634" t="s">
        <v>2182</v>
      </c>
      <c r="B3183" s="8634" t="s">
        <v>14</v>
      </c>
      <c r="C3183" s="8634" t="s">
        <v>4509</v>
      </c>
      <c r="D3183" s="8634" t="s">
        <v>4510</v>
      </c>
      <c r="E3183" s="8634" t="s">
        <v>4511</v>
      </c>
      <c r="F3183" s="8634" t="s">
        <v>4512</v>
      </c>
      <c r="G3183" s="8634" t="s">
        <v>4360</v>
      </c>
      <c r="H3183" s="8634" t="s">
        <v>24</v>
      </c>
      <c r="I3183" s="8634" t="s">
        <v>823</v>
      </c>
    </row>
    <row customHeight="1" ht="11.25">
      <c r="A3184" s="8634" t="s">
        <v>2182</v>
      </c>
      <c r="B3184" s="8634" t="s">
        <v>14</v>
      </c>
      <c r="C3184" s="8634" t="s">
        <v>4513</v>
      </c>
      <c r="D3184" s="8634" t="s">
        <v>4514</v>
      </c>
      <c r="E3184" s="8634" t="s">
        <v>4515</v>
      </c>
      <c r="F3184" s="8634" t="s">
        <v>2626</v>
      </c>
      <c r="G3184" s="8634" t="s">
        <v>24</v>
      </c>
      <c r="H3184" s="8634" t="s">
        <v>2187</v>
      </c>
      <c r="I3184" s="8634" t="s">
        <v>823</v>
      </c>
    </row>
    <row customHeight="1" ht="11.25">
      <c r="A3185" s="8634" t="s">
        <v>2182</v>
      </c>
      <c r="B3185" s="8634" t="s">
        <v>14</v>
      </c>
      <c r="C3185" s="8634" t="s">
        <v>7218</v>
      </c>
      <c r="D3185" s="8634" t="s">
        <v>7219</v>
      </c>
      <c r="E3185" s="8634" t="s">
        <v>7220</v>
      </c>
      <c r="F3185" s="8634" t="s">
        <v>3011</v>
      </c>
      <c r="G3185" s="8634" t="s">
        <v>7221</v>
      </c>
      <c r="H3185" s="8634" t="s">
        <v>24</v>
      </c>
      <c r="I3185" s="8634" t="s">
        <v>823</v>
      </c>
    </row>
    <row customHeight="1" ht="11.25">
      <c r="A3186" s="8634" t="s">
        <v>2182</v>
      </c>
      <c r="B3186" s="8634" t="s">
        <v>14</v>
      </c>
      <c r="C3186" s="8634" t="s">
        <v>8022</v>
      </c>
      <c r="D3186" s="8634" t="s">
        <v>8023</v>
      </c>
      <c r="E3186" s="8634" t="s">
        <v>8024</v>
      </c>
      <c r="F3186" s="8634" t="s">
        <v>2233</v>
      </c>
      <c r="G3186" s="8634" t="s">
        <v>8025</v>
      </c>
      <c r="H3186" s="8634" t="s">
        <v>24</v>
      </c>
      <c r="I3186" s="8634" t="s">
        <v>823</v>
      </c>
    </row>
    <row customHeight="1" ht="11.25">
      <c r="A3187" s="8634" t="s">
        <v>2182</v>
      </c>
      <c r="B3187" s="8634" t="s">
        <v>14</v>
      </c>
      <c r="C3187" s="8634" t="s">
        <v>7222</v>
      </c>
      <c r="D3187" s="8634" t="s">
        <v>7223</v>
      </c>
      <c r="E3187" s="8634" t="s">
        <v>7220</v>
      </c>
      <c r="F3187" s="8634" t="s">
        <v>7224</v>
      </c>
      <c r="G3187" s="8634" t="s">
        <v>24</v>
      </c>
      <c r="H3187" s="8634" t="s">
        <v>24</v>
      </c>
      <c r="I3187" s="8634" t="s">
        <v>823</v>
      </c>
    </row>
    <row customHeight="1" ht="11.25">
      <c r="A3188" s="8634" t="s">
        <v>2182</v>
      </c>
      <c r="B3188" s="8634" t="s">
        <v>14</v>
      </c>
      <c r="C3188" s="8634" t="s">
        <v>4516</v>
      </c>
      <c r="D3188" s="8634" t="s">
        <v>4517</v>
      </c>
      <c r="E3188" s="8634" t="s">
        <v>4518</v>
      </c>
      <c r="F3188" s="8634" t="s">
        <v>2626</v>
      </c>
      <c r="G3188" s="8634" t="s">
        <v>24</v>
      </c>
      <c r="H3188" s="8634" t="s">
        <v>24</v>
      </c>
      <c r="I3188" s="8634" t="s">
        <v>823</v>
      </c>
    </row>
    <row customHeight="1" ht="11.25">
      <c r="A3189" s="8634" t="s">
        <v>2182</v>
      </c>
      <c r="B3189" s="8634" t="s">
        <v>14</v>
      </c>
      <c r="C3189" s="8634" t="s">
        <v>4519</v>
      </c>
      <c r="D3189" s="8634" t="s">
        <v>4520</v>
      </c>
      <c r="E3189" s="8634" t="s">
        <v>4521</v>
      </c>
      <c r="F3189" s="8634" t="s">
        <v>2626</v>
      </c>
      <c r="G3189" s="8634" t="s">
        <v>4522</v>
      </c>
      <c r="H3189" s="8634" t="s">
        <v>24</v>
      </c>
      <c r="I3189" s="8634" t="s">
        <v>823</v>
      </c>
    </row>
    <row customHeight="1" ht="11.25">
      <c r="A3190" s="8634" t="s">
        <v>2182</v>
      </c>
      <c r="B3190" s="8634" t="s">
        <v>14</v>
      </c>
      <c r="C3190" s="8634" t="s">
        <v>4523</v>
      </c>
      <c r="D3190" s="8634" t="s">
        <v>4524</v>
      </c>
      <c r="E3190" s="8634" t="s">
        <v>4525</v>
      </c>
      <c r="F3190" s="8634" t="s">
        <v>2411</v>
      </c>
      <c r="G3190" s="8634" t="s">
        <v>24</v>
      </c>
      <c r="H3190" s="8634" t="s">
        <v>3222</v>
      </c>
      <c r="I3190" s="8634" t="s">
        <v>823</v>
      </c>
    </row>
    <row customHeight="1" ht="11.25">
      <c r="A3191" s="8634" t="s">
        <v>2182</v>
      </c>
      <c r="B3191" s="8634" t="s">
        <v>14</v>
      </c>
      <c r="C3191" s="8634" t="s">
        <v>8026</v>
      </c>
      <c r="D3191" s="8634" t="s">
        <v>8027</v>
      </c>
      <c r="E3191" s="8634" t="s">
        <v>8028</v>
      </c>
      <c r="F3191" s="8634" t="s">
        <v>2600</v>
      </c>
      <c r="G3191" s="8634" t="s">
        <v>24</v>
      </c>
      <c r="H3191" s="8634" t="s">
        <v>24</v>
      </c>
      <c r="I3191" s="8634" t="s">
        <v>823</v>
      </c>
    </row>
    <row customHeight="1" ht="11.25">
      <c r="A3192" s="8634" t="s">
        <v>2182</v>
      </c>
      <c r="B3192" s="8634" t="s">
        <v>14</v>
      </c>
      <c r="C3192" s="8634" t="s">
        <v>4526</v>
      </c>
      <c r="D3192" s="8634" t="s">
        <v>4527</v>
      </c>
      <c r="E3192" s="8634" t="s">
        <v>4528</v>
      </c>
      <c r="F3192" s="8634" t="s">
        <v>2477</v>
      </c>
      <c r="G3192" s="8634" t="s">
        <v>24</v>
      </c>
      <c r="H3192" s="8634" t="s">
        <v>24</v>
      </c>
      <c r="I3192" s="8634" t="s">
        <v>823</v>
      </c>
    </row>
    <row customHeight="1" ht="11.25">
      <c r="A3193" s="8634" t="s">
        <v>2182</v>
      </c>
      <c r="B3193" s="8634" t="s">
        <v>14</v>
      </c>
      <c r="C3193" s="8634" t="s">
        <v>4536</v>
      </c>
      <c r="D3193" s="8634" t="s">
        <v>4537</v>
      </c>
      <c r="E3193" s="8634" t="s">
        <v>4538</v>
      </c>
      <c r="F3193" s="8634" t="s">
        <v>2349</v>
      </c>
      <c r="G3193" s="8634" t="s">
        <v>24</v>
      </c>
      <c r="H3193" s="8634" t="s">
        <v>24</v>
      </c>
      <c r="I3193" s="8634" t="s">
        <v>823</v>
      </c>
    </row>
    <row customHeight="1" ht="11.25">
      <c r="A3194" s="8634" t="s">
        <v>2182</v>
      </c>
      <c r="B3194" s="8634" t="s">
        <v>14</v>
      </c>
      <c r="C3194" s="8634" t="s">
        <v>7227</v>
      </c>
      <c r="D3194" s="8634" t="s">
        <v>7228</v>
      </c>
      <c r="E3194" s="8634" t="s">
        <v>7229</v>
      </c>
      <c r="F3194" s="8634" t="s">
        <v>2477</v>
      </c>
      <c r="G3194" s="8634" t="s">
        <v>7230</v>
      </c>
      <c r="H3194" s="8634" t="s">
        <v>24</v>
      </c>
      <c r="I3194" s="8634" t="s">
        <v>823</v>
      </c>
    </row>
    <row customHeight="1" ht="11.25">
      <c r="A3195" s="8634" t="s">
        <v>2182</v>
      </c>
      <c r="B3195" s="8634" t="s">
        <v>14</v>
      </c>
      <c r="C3195" s="8634" t="s">
        <v>7231</v>
      </c>
      <c r="D3195" s="8634" t="s">
        <v>7232</v>
      </c>
      <c r="E3195" s="8634" t="s">
        <v>7233</v>
      </c>
      <c r="F3195" s="8634" t="s">
        <v>2245</v>
      </c>
      <c r="G3195" s="8634" t="s">
        <v>7234</v>
      </c>
      <c r="H3195" s="8634" t="s">
        <v>24</v>
      </c>
      <c r="I3195" s="8634" t="s">
        <v>823</v>
      </c>
    </row>
    <row customHeight="1" ht="11.25">
      <c r="A3196" s="8634" t="s">
        <v>2182</v>
      </c>
      <c r="B3196" s="8634" t="s">
        <v>14</v>
      </c>
      <c r="C3196" s="8634" t="s">
        <v>4560</v>
      </c>
      <c r="D3196" s="8634" t="s">
        <v>4561</v>
      </c>
      <c r="E3196" s="8634" t="s">
        <v>4562</v>
      </c>
      <c r="F3196" s="8634" t="s">
        <v>2339</v>
      </c>
      <c r="G3196" s="8634" t="s">
        <v>4563</v>
      </c>
      <c r="H3196" s="8634" t="s">
        <v>24</v>
      </c>
      <c r="I3196" s="8634" t="s">
        <v>823</v>
      </c>
    </row>
    <row customHeight="1" ht="11.25">
      <c r="A3197" s="8634" t="s">
        <v>2182</v>
      </c>
      <c r="B3197" s="8634" t="s">
        <v>14</v>
      </c>
      <c r="C3197" s="8634" t="s">
        <v>4574</v>
      </c>
      <c r="D3197" s="8634" t="s">
        <v>4575</v>
      </c>
      <c r="E3197" s="8634" t="s">
        <v>4576</v>
      </c>
      <c r="F3197" s="8634" t="s">
        <v>2411</v>
      </c>
      <c r="G3197" s="8634" t="s">
        <v>24</v>
      </c>
      <c r="H3197" s="8634" t="s">
        <v>24</v>
      </c>
      <c r="I3197" s="8634" t="s">
        <v>823</v>
      </c>
    </row>
    <row customHeight="1" ht="11.25">
      <c r="A3198" s="8634" t="s">
        <v>2182</v>
      </c>
      <c r="B3198" s="8634" t="s">
        <v>14</v>
      </c>
      <c r="C3198" s="8634" t="s">
        <v>4577</v>
      </c>
      <c r="D3198" s="8634" t="s">
        <v>4578</v>
      </c>
      <c r="E3198" s="8634" t="s">
        <v>4579</v>
      </c>
      <c r="F3198" s="8634" t="s">
        <v>2563</v>
      </c>
      <c r="G3198" s="8634" t="s">
        <v>24</v>
      </c>
      <c r="H3198" s="8634" t="s">
        <v>3093</v>
      </c>
      <c r="I3198" s="8634" t="s">
        <v>823</v>
      </c>
    </row>
    <row customHeight="1" ht="11.25">
      <c r="A3199" s="8634" t="s">
        <v>2182</v>
      </c>
      <c r="B3199" s="8634" t="s">
        <v>14</v>
      </c>
      <c r="C3199" s="8634" t="s">
        <v>8029</v>
      </c>
      <c r="D3199" s="8634" t="s">
        <v>7240</v>
      </c>
      <c r="E3199" s="8634" t="s">
        <v>8030</v>
      </c>
      <c r="F3199" s="8634" t="s">
        <v>2228</v>
      </c>
      <c r="G3199" s="8634" t="s">
        <v>8031</v>
      </c>
      <c r="H3199" s="8634" t="s">
        <v>24</v>
      </c>
      <c r="I3199" s="8634" t="s">
        <v>823</v>
      </c>
    </row>
    <row customHeight="1" ht="11.25">
      <c r="A3200" s="8634" t="s">
        <v>2182</v>
      </c>
      <c r="B3200" s="8634" t="s">
        <v>14</v>
      </c>
      <c r="C3200" s="8634" t="s">
        <v>4588</v>
      </c>
      <c r="D3200" s="8634" t="s">
        <v>4589</v>
      </c>
      <c r="E3200" s="8634" t="s">
        <v>4590</v>
      </c>
      <c r="F3200" s="8634" t="s">
        <v>2218</v>
      </c>
      <c r="G3200" s="8634" t="s">
        <v>4591</v>
      </c>
      <c r="H3200" s="8634" t="s">
        <v>2400</v>
      </c>
      <c r="I3200" s="8634" t="s">
        <v>823</v>
      </c>
    </row>
    <row customHeight="1" ht="11.25">
      <c r="A3201" s="8634" t="s">
        <v>2182</v>
      </c>
      <c r="B3201" s="8634" t="s">
        <v>14</v>
      </c>
      <c r="C3201" s="8634" t="s">
        <v>4600</v>
      </c>
      <c r="D3201" s="8634" t="s">
        <v>4601</v>
      </c>
      <c r="E3201" s="8634" t="s">
        <v>4602</v>
      </c>
      <c r="F3201" s="8634" t="s">
        <v>2438</v>
      </c>
      <c r="G3201" s="8634" t="s">
        <v>24</v>
      </c>
      <c r="H3201" s="8634" t="s">
        <v>2187</v>
      </c>
      <c r="I3201" s="8634" t="s">
        <v>823</v>
      </c>
    </row>
    <row customHeight="1" ht="11.25">
      <c r="A3202" s="8634" t="s">
        <v>2182</v>
      </c>
      <c r="B3202" s="8634" t="s">
        <v>14</v>
      </c>
      <c r="C3202" s="8634" t="s">
        <v>7242</v>
      </c>
      <c r="D3202" s="8634" t="s">
        <v>7243</v>
      </c>
      <c r="E3202" s="8634" t="s">
        <v>7244</v>
      </c>
      <c r="F3202" s="8634" t="s">
        <v>2334</v>
      </c>
      <c r="G3202" s="8634" t="s">
        <v>24</v>
      </c>
      <c r="H3202" s="8634" t="s">
        <v>24</v>
      </c>
      <c r="I3202" s="8634" t="s">
        <v>823</v>
      </c>
    </row>
    <row customHeight="1" ht="11.25">
      <c r="A3203" s="8634" t="s">
        <v>2182</v>
      </c>
      <c r="B3203" s="8634" t="s">
        <v>14</v>
      </c>
      <c r="C3203" s="8634" t="s">
        <v>7245</v>
      </c>
      <c r="D3203" s="8634" t="s">
        <v>7246</v>
      </c>
      <c r="E3203" s="8634" t="s">
        <v>7247</v>
      </c>
      <c r="F3203" s="8634" t="s">
        <v>7248</v>
      </c>
      <c r="G3203" s="8634" t="s">
        <v>7249</v>
      </c>
      <c r="H3203" s="8634" t="s">
        <v>24</v>
      </c>
      <c r="I3203" s="8634" t="s">
        <v>823</v>
      </c>
    </row>
    <row customHeight="1" ht="11.25">
      <c r="A3204" s="8634" t="s">
        <v>2182</v>
      </c>
      <c r="B3204" s="8634" t="s">
        <v>14</v>
      </c>
      <c r="C3204" s="8634" t="s">
        <v>4603</v>
      </c>
      <c r="D3204" s="8634" t="s">
        <v>4604</v>
      </c>
      <c r="E3204" s="8634" t="s">
        <v>4605</v>
      </c>
      <c r="F3204" s="8634" t="s">
        <v>2600</v>
      </c>
      <c r="G3204" s="8634" t="s">
        <v>4606</v>
      </c>
      <c r="H3204" s="8634" t="s">
        <v>24</v>
      </c>
      <c r="I3204" s="8634" t="s">
        <v>823</v>
      </c>
    </row>
    <row customHeight="1" ht="11.25">
      <c r="A3205" s="8634" t="s">
        <v>2182</v>
      </c>
      <c r="B3205" s="8634" t="s">
        <v>14</v>
      </c>
      <c r="C3205" s="8634" t="s">
        <v>4610</v>
      </c>
      <c r="D3205" s="8634" t="s">
        <v>4611</v>
      </c>
      <c r="E3205" s="8634" t="s">
        <v>4612</v>
      </c>
      <c r="F3205" s="8634" t="s">
        <v>2213</v>
      </c>
      <c r="G3205" s="8634" t="s">
        <v>4613</v>
      </c>
      <c r="H3205" s="8634" t="s">
        <v>24</v>
      </c>
      <c r="I3205" s="8634" t="s">
        <v>823</v>
      </c>
    </row>
    <row customHeight="1" ht="11.25">
      <c r="A3206" s="8634" t="s">
        <v>2182</v>
      </c>
      <c r="B3206" s="8634" t="s">
        <v>14</v>
      </c>
      <c r="C3206" s="8634" t="s">
        <v>7250</v>
      </c>
      <c r="D3206" s="8634" t="s">
        <v>7251</v>
      </c>
      <c r="E3206" s="8634" t="s">
        <v>7252</v>
      </c>
      <c r="F3206" s="8634" t="s">
        <v>2269</v>
      </c>
      <c r="G3206" s="8634" t="s">
        <v>7253</v>
      </c>
      <c r="H3206" s="8634" t="s">
        <v>24</v>
      </c>
      <c r="I3206" s="8634" t="s">
        <v>823</v>
      </c>
    </row>
    <row customHeight="1" ht="11.25">
      <c r="A3207" s="8634" t="s">
        <v>2182</v>
      </c>
      <c r="B3207" s="8634" t="s">
        <v>14</v>
      </c>
      <c r="C3207" s="8634" t="s">
        <v>7254</v>
      </c>
      <c r="D3207" s="8634" t="s">
        <v>7255</v>
      </c>
      <c r="E3207" s="8634" t="s">
        <v>7256</v>
      </c>
      <c r="F3207" s="8634" t="s">
        <v>2563</v>
      </c>
      <c r="G3207" s="8634" t="s">
        <v>24</v>
      </c>
      <c r="H3207" s="8634" t="s">
        <v>24</v>
      </c>
      <c r="I3207" s="8634" t="s">
        <v>823</v>
      </c>
    </row>
    <row customHeight="1" ht="11.25">
      <c r="A3208" s="8634" t="s">
        <v>2182</v>
      </c>
      <c r="B3208" s="8634" t="s">
        <v>14</v>
      </c>
      <c r="C3208" s="8634" t="s">
        <v>7257</v>
      </c>
      <c r="D3208" s="8634" t="s">
        <v>7258</v>
      </c>
      <c r="E3208" s="8634" t="s">
        <v>7259</v>
      </c>
      <c r="F3208" s="8634" t="s">
        <v>2512</v>
      </c>
      <c r="G3208" s="8634" t="s">
        <v>7260</v>
      </c>
      <c r="H3208" s="8634" t="s">
        <v>7261</v>
      </c>
      <c r="I3208" s="8634" t="s">
        <v>823</v>
      </c>
    </row>
    <row customHeight="1" ht="11.25">
      <c r="A3209" s="8634" t="s">
        <v>2182</v>
      </c>
      <c r="B3209" s="8634" t="s">
        <v>14</v>
      </c>
      <c r="C3209" s="8634" t="s">
        <v>4625</v>
      </c>
      <c r="D3209" s="8634" t="s">
        <v>4626</v>
      </c>
      <c r="E3209" s="8634" t="s">
        <v>4627</v>
      </c>
      <c r="F3209" s="8634" t="s">
        <v>2245</v>
      </c>
      <c r="G3209" s="8634" t="s">
        <v>4628</v>
      </c>
      <c r="H3209" s="8634" t="s">
        <v>24</v>
      </c>
      <c r="I3209" s="8634" t="s">
        <v>823</v>
      </c>
    </row>
    <row customHeight="1" ht="11.25">
      <c r="A3210" s="8634" t="s">
        <v>2182</v>
      </c>
      <c r="B3210" s="8634" t="s">
        <v>14</v>
      </c>
      <c r="C3210" s="8634" t="s">
        <v>7262</v>
      </c>
      <c r="D3210" s="8634" t="s">
        <v>7263</v>
      </c>
      <c r="E3210" s="8634" t="s">
        <v>7264</v>
      </c>
      <c r="F3210" s="8634" t="s">
        <v>3437</v>
      </c>
      <c r="G3210" s="8634" t="s">
        <v>24</v>
      </c>
      <c r="H3210" s="8634" t="s">
        <v>24</v>
      </c>
      <c r="I3210" s="8634" t="s">
        <v>823</v>
      </c>
    </row>
    <row customHeight="1" ht="11.25">
      <c r="A3211" s="8634" t="s">
        <v>2182</v>
      </c>
      <c r="B3211" s="8634" t="s">
        <v>14</v>
      </c>
      <c r="C3211" s="8634" t="s">
        <v>7265</v>
      </c>
      <c r="D3211" s="8634" t="s">
        <v>7266</v>
      </c>
      <c r="E3211" s="8634" t="s">
        <v>7267</v>
      </c>
      <c r="F3211" s="8634" t="s">
        <v>2186</v>
      </c>
      <c r="G3211" s="8634" t="s">
        <v>24</v>
      </c>
      <c r="H3211" s="8634" t="s">
        <v>7268</v>
      </c>
      <c r="I3211" s="8634" t="s">
        <v>823</v>
      </c>
    </row>
    <row customHeight="1" ht="11.25">
      <c r="A3212" s="8634" t="s">
        <v>2182</v>
      </c>
      <c r="B3212" s="8634" t="s">
        <v>14</v>
      </c>
      <c r="C3212" s="8634" t="s">
        <v>4632</v>
      </c>
      <c r="D3212" s="8634" t="s">
        <v>4633</v>
      </c>
      <c r="E3212" s="8634" t="s">
        <v>4634</v>
      </c>
      <c r="F3212" s="8634" t="s">
        <v>2696</v>
      </c>
      <c r="G3212" s="8634" t="s">
        <v>24</v>
      </c>
      <c r="H3212" s="8634" t="s">
        <v>24</v>
      </c>
      <c r="I3212" s="8634" t="s">
        <v>823</v>
      </c>
    </row>
    <row customHeight="1" ht="11.25">
      <c r="A3213" s="8634" t="s">
        <v>2182</v>
      </c>
      <c r="B3213" s="8634" t="s">
        <v>14</v>
      </c>
      <c r="C3213" s="8634" t="s">
        <v>4635</v>
      </c>
      <c r="D3213" s="8634" t="s">
        <v>4636</v>
      </c>
      <c r="E3213" s="8634" t="s">
        <v>4637</v>
      </c>
      <c r="F3213" s="8634" t="s">
        <v>2398</v>
      </c>
      <c r="G3213" s="8634" t="s">
        <v>24</v>
      </c>
      <c r="H3213" s="8634" t="s">
        <v>2937</v>
      </c>
      <c r="I3213" s="8634" t="s">
        <v>823</v>
      </c>
    </row>
    <row customHeight="1" ht="11.25">
      <c r="A3214" s="8634" t="s">
        <v>2182</v>
      </c>
      <c r="B3214" s="8634" t="s">
        <v>14</v>
      </c>
      <c r="C3214" s="8634" t="s">
        <v>7269</v>
      </c>
      <c r="D3214" s="8634" t="s">
        <v>7270</v>
      </c>
      <c r="E3214" s="8634" t="s">
        <v>7271</v>
      </c>
      <c r="F3214" s="8634" t="s">
        <v>2477</v>
      </c>
      <c r="G3214" s="8634" t="s">
        <v>7272</v>
      </c>
      <c r="H3214" s="8634" t="s">
        <v>2187</v>
      </c>
      <c r="I3214" s="8634" t="s">
        <v>823</v>
      </c>
    </row>
    <row customHeight="1" ht="11.25">
      <c r="A3215" s="8634" t="s">
        <v>2182</v>
      </c>
      <c r="B3215" s="8634" t="s">
        <v>14</v>
      </c>
      <c r="C3215" s="8634" t="s">
        <v>7273</v>
      </c>
      <c r="D3215" s="8634" t="s">
        <v>7270</v>
      </c>
      <c r="E3215" s="8634" t="s">
        <v>7271</v>
      </c>
      <c r="F3215" s="8634" t="s">
        <v>7274</v>
      </c>
      <c r="G3215" s="8634" t="s">
        <v>7272</v>
      </c>
      <c r="H3215" s="8634" t="s">
        <v>24</v>
      </c>
      <c r="I3215" s="8634" t="s">
        <v>823</v>
      </c>
    </row>
    <row customHeight="1" ht="11.25">
      <c r="A3216" s="8634" t="s">
        <v>2182</v>
      </c>
      <c r="B3216" s="8634" t="s">
        <v>14</v>
      </c>
      <c r="C3216" s="8634" t="s">
        <v>7275</v>
      </c>
      <c r="D3216" s="8634" t="s">
        <v>7276</v>
      </c>
      <c r="E3216" s="8634" t="s">
        <v>7277</v>
      </c>
      <c r="F3216" s="8634" t="s">
        <v>2213</v>
      </c>
      <c r="G3216" s="8634" t="s">
        <v>7278</v>
      </c>
      <c r="H3216" s="8634" t="s">
        <v>24</v>
      </c>
      <c r="I3216" s="8634" t="s">
        <v>823</v>
      </c>
    </row>
    <row customHeight="1" ht="11.25">
      <c r="A3217" s="8634" t="s">
        <v>2182</v>
      </c>
      <c r="B3217" s="8634" t="s">
        <v>14</v>
      </c>
      <c r="C3217" s="8634" t="s">
        <v>7283</v>
      </c>
      <c r="D3217" s="8634" t="s">
        <v>7284</v>
      </c>
      <c r="E3217" s="8634" t="s">
        <v>7285</v>
      </c>
      <c r="F3217" s="8634" t="s">
        <v>2213</v>
      </c>
      <c r="G3217" s="8634" t="s">
        <v>24</v>
      </c>
      <c r="H3217" s="8634" t="s">
        <v>24</v>
      </c>
      <c r="I3217" s="8634" t="s">
        <v>823</v>
      </c>
    </row>
    <row customHeight="1" ht="11.25">
      <c r="A3218" s="8634" t="s">
        <v>2182</v>
      </c>
      <c r="B3218" s="8634" t="s">
        <v>14</v>
      </c>
      <c r="C3218" s="8634" t="s">
        <v>4650</v>
      </c>
      <c r="D3218" s="8634" t="s">
        <v>4651</v>
      </c>
      <c r="E3218" s="8634" t="s">
        <v>4652</v>
      </c>
      <c r="F3218" s="8634" t="s">
        <v>2600</v>
      </c>
      <c r="G3218" s="8634" t="s">
        <v>24</v>
      </c>
      <c r="H3218" s="8634" t="s">
        <v>2993</v>
      </c>
      <c r="I3218" s="8634" t="s">
        <v>823</v>
      </c>
    </row>
    <row customHeight="1" ht="11.25">
      <c r="A3219" s="8634" t="s">
        <v>2182</v>
      </c>
      <c r="B3219" s="8634" t="s">
        <v>14</v>
      </c>
      <c r="C3219" s="8634" t="s">
        <v>4653</v>
      </c>
      <c r="D3219" s="8634" t="s">
        <v>4654</v>
      </c>
      <c r="E3219" s="8634" t="s">
        <v>4655</v>
      </c>
      <c r="F3219" s="8634" t="s">
        <v>2600</v>
      </c>
      <c r="G3219" s="8634" t="s">
        <v>4656</v>
      </c>
      <c r="H3219" s="8634" t="s">
        <v>24</v>
      </c>
      <c r="I3219" s="8634" t="s">
        <v>823</v>
      </c>
    </row>
    <row customHeight="1" ht="11.25">
      <c r="A3220" s="8634" t="s">
        <v>2182</v>
      </c>
      <c r="B3220" s="8634" t="s">
        <v>14</v>
      </c>
      <c r="C3220" s="8634" t="s">
        <v>7294</v>
      </c>
      <c r="D3220" s="8634" t="s">
        <v>7295</v>
      </c>
      <c r="E3220" s="8634" t="s">
        <v>7296</v>
      </c>
      <c r="F3220" s="8634" t="s">
        <v>2477</v>
      </c>
      <c r="G3220" s="8634" t="s">
        <v>24</v>
      </c>
      <c r="H3220" s="8634" t="s">
        <v>24</v>
      </c>
      <c r="I3220" s="8634" t="s">
        <v>823</v>
      </c>
    </row>
    <row customHeight="1" ht="11.25">
      <c r="A3221" s="8634" t="s">
        <v>2182</v>
      </c>
      <c r="B3221" s="8634" t="s">
        <v>14</v>
      </c>
      <c r="C3221" s="8634" t="s">
        <v>8032</v>
      </c>
      <c r="D3221" s="8634" t="s">
        <v>8033</v>
      </c>
      <c r="E3221" s="8634" t="s">
        <v>8034</v>
      </c>
      <c r="F3221" s="8634" t="s">
        <v>2245</v>
      </c>
      <c r="G3221" s="8634" t="s">
        <v>24</v>
      </c>
      <c r="H3221" s="8634" t="s">
        <v>24</v>
      </c>
      <c r="I3221" s="8634" t="s">
        <v>823</v>
      </c>
    </row>
    <row customHeight="1" ht="11.25">
      <c r="A3222" s="8634" t="s">
        <v>2182</v>
      </c>
      <c r="B3222" s="8634" t="s">
        <v>14</v>
      </c>
      <c r="C3222" s="8634" t="s">
        <v>4665</v>
      </c>
      <c r="D3222" s="8634" t="s">
        <v>4666</v>
      </c>
      <c r="E3222" s="8634" t="s">
        <v>4667</v>
      </c>
      <c r="F3222" s="8634" t="s">
        <v>2563</v>
      </c>
      <c r="G3222" s="8634" t="s">
        <v>4668</v>
      </c>
      <c r="H3222" s="8634" t="s">
        <v>24</v>
      </c>
      <c r="I3222" s="8634" t="s">
        <v>823</v>
      </c>
    </row>
    <row customHeight="1" ht="11.25">
      <c r="A3223" s="8634" t="s">
        <v>2182</v>
      </c>
      <c r="B3223" s="8634" t="s">
        <v>14</v>
      </c>
      <c r="C3223" s="8634" t="s">
        <v>7297</v>
      </c>
      <c r="D3223" s="8634" t="s">
        <v>7298</v>
      </c>
      <c r="E3223" s="8634" t="s">
        <v>7299</v>
      </c>
      <c r="F3223" s="8634" t="s">
        <v>2250</v>
      </c>
      <c r="G3223" s="8634" t="s">
        <v>7300</v>
      </c>
      <c r="H3223" s="8634" t="s">
        <v>24</v>
      </c>
      <c r="I3223" s="8634" t="s">
        <v>823</v>
      </c>
    </row>
    <row customHeight="1" ht="11.25">
      <c r="A3224" s="8634" t="s">
        <v>2182</v>
      </c>
      <c r="B3224" s="8634" t="s">
        <v>14</v>
      </c>
      <c r="C3224" s="8634" t="s">
        <v>7301</v>
      </c>
      <c r="D3224" s="8634" t="s">
        <v>7302</v>
      </c>
      <c r="E3224" s="8634" t="s">
        <v>7303</v>
      </c>
      <c r="F3224" s="8634" t="s">
        <v>2186</v>
      </c>
      <c r="G3224" s="8634" t="s">
        <v>7304</v>
      </c>
      <c r="H3224" s="8634" t="s">
        <v>24</v>
      </c>
      <c r="I3224" s="8634" t="s">
        <v>823</v>
      </c>
    </row>
    <row customHeight="1" ht="11.25">
      <c r="A3225" s="8634" t="s">
        <v>2182</v>
      </c>
      <c r="B3225" s="8634" t="s">
        <v>14</v>
      </c>
      <c r="C3225" s="8634" t="s">
        <v>7305</v>
      </c>
      <c r="D3225" s="8634" t="s">
        <v>7306</v>
      </c>
      <c r="E3225" s="8634" t="s">
        <v>7307</v>
      </c>
      <c r="F3225" s="8634" t="s">
        <v>2218</v>
      </c>
      <c r="G3225" s="8634" t="s">
        <v>24</v>
      </c>
      <c r="H3225" s="8634" t="s">
        <v>24</v>
      </c>
      <c r="I3225" s="8634" t="s">
        <v>823</v>
      </c>
    </row>
    <row customHeight="1" ht="11.25">
      <c r="A3226" s="8634" t="s">
        <v>2182</v>
      </c>
      <c r="B3226" s="8634" t="s">
        <v>14</v>
      </c>
      <c r="C3226" s="8634" t="s">
        <v>7308</v>
      </c>
      <c r="D3226" s="8634" t="s">
        <v>7309</v>
      </c>
      <c r="E3226" s="8634" t="s">
        <v>7310</v>
      </c>
      <c r="F3226" s="8634" t="s">
        <v>2213</v>
      </c>
      <c r="G3226" s="8634" t="s">
        <v>24</v>
      </c>
      <c r="H3226" s="8634" t="s">
        <v>24</v>
      </c>
      <c r="I3226" s="8634" t="s">
        <v>823</v>
      </c>
    </row>
    <row customHeight="1" ht="11.25">
      <c r="A3227" s="8634" t="s">
        <v>2182</v>
      </c>
      <c r="B3227" s="8634" t="s">
        <v>14</v>
      </c>
      <c r="C3227" s="8634" t="s">
        <v>4672</v>
      </c>
      <c r="D3227" s="8634" t="s">
        <v>4673</v>
      </c>
      <c r="E3227" s="8634" t="s">
        <v>4674</v>
      </c>
      <c r="F3227" s="8634" t="s">
        <v>2354</v>
      </c>
      <c r="G3227" s="8634" t="s">
        <v>24</v>
      </c>
      <c r="H3227" s="8634" t="s">
        <v>24</v>
      </c>
      <c r="I3227" s="8634" t="s">
        <v>823</v>
      </c>
    </row>
    <row customHeight="1" ht="11.25">
      <c r="A3228" s="8634" t="s">
        <v>2182</v>
      </c>
      <c r="B3228" s="8634" t="s">
        <v>14</v>
      </c>
      <c r="C3228" s="8634" t="s">
        <v>4675</v>
      </c>
      <c r="D3228" s="8634" t="s">
        <v>4676</v>
      </c>
      <c r="E3228" s="8634" t="s">
        <v>4677</v>
      </c>
      <c r="F3228" s="8634" t="s">
        <v>4678</v>
      </c>
      <c r="G3228" s="8634" t="s">
        <v>24</v>
      </c>
      <c r="H3228" s="8634" t="s">
        <v>24</v>
      </c>
      <c r="I3228" s="8634" t="s">
        <v>823</v>
      </c>
    </row>
    <row customHeight="1" ht="11.25">
      <c r="A3229" s="8634" t="s">
        <v>2182</v>
      </c>
      <c r="B3229" s="8634" t="s">
        <v>14</v>
      </c>
      <c r="C3229" s="8634" t="s">
        <v>4679</v>
      </c>
      <c r="D3229" s="8634" t="s">
        <v>4680</v>
      </c>
      <c r="E3229" s="8634" t="s">
        <v>4681</v>
      </c>
      <c r="F3229" s="8634" t="s">
        <v>2492</v>
      </c>
      <c r="G3229" s="8634" t="s">
        <v>24</v>
      </c>
      <c r="H3229" s="8634" t="s">
        <v>24</v>
      </c>
      <c r="I3229" s="8634" t="s">
        <v>823</v>
      </c>
    </row>
    <row customHeight="1" ht="11.25">
      <c r="A3230" s="8634" t="s">
        <v>2182</v>
      </c>
      <c r="B3230" s="8634" t="s">
        <v>14</v>
      </c>
      <c r="C3230" s="8634" t="s">
        <v>4695</v>
      </c>
      <c r="D3230" s="8634" t="s">
        <v>4696</v>
      </c>
      <c r="E3230" s="8634" t="s">
        <v>4697</v>
      </c>
      <c r="F3230" s="8634" t="s">
        <v>2411</v>
      </c>
      <c r="G3230" s="8634" t="s">
        <v>3559</v>
      </c>
      <c r="H3230" s="8634" t="s">
        <v>24</v>
      </c>
      <c r="I3230" s="8634" t="s">
        <v>823</v>
      </c>
    </row>
    <row customHeight="1" ht="11.25">
      <c r="A3231" s="8634" t="s">
        <v>2182</v>
      </c>
      <c r="B3231" s="8634" t="s">
        <v>14</v>
      </c>
      <c r="C3231" s="8634" t="s">
        <v>4698</v>
      </c>
      <c r="D3231" s="8634" t="s">
        <v>4699</v>
      </c>
      <c r="E3231" s="8634" t="s">
        <v>4700</v>
      </c>
      <c r="F3231" s="8634" t="s">
        <v>2398</v>
      </c>
      <c r="G3231" s="8634" t="s">
        <v>4701</v>
      </c>
      <c r="H3231" s="8634" t="s">
        <v>24</v>
      </c>
      <c r="I3231" s="8634" t="s">
        <v>823</v>
      </c>
    </row>
    <row customHeight="1" ht="11.25">
      <c r="A3232" s="8634" t="s">
        <v>2182</v>
      </c>
      <c r="B3232" s="8634" t="s">
        <v>14</v>
      </c>
      <c r="C3232" s="8634" t="s">
        <v>7311</v>
      </c>
      <c r="D3232" s="8634" t="s">
        <v>7312</v>
      </c>
      <c r="E3232" s="8634" t="s">
        <v>7313</v>
      </c>
      <c r="F3232" s="8634" t="s">
        <v>2213</v>
      </c>
      <c r="G3232" s="8634" t="s">
        <v>7314</v>
      </c>
      <c r="H3232" s="8634" t="s">
        <v>24</v>
      </c>
      <c r="I3232" s="8634" t="s">
        <v>823</v>
      </c>
    </row>
    <row customHeight="1" ht="11.25">
      <c r="A3233" s="8634" t="s">
        <v>2182</v>
      </c>
      <c r="B3233" s="8634" t="s">
        <v>14</v>
      </c>
      <c r="C3233" s="8634" t="s">
        <v>7315</v>
      </c>
      <c r="D3233" s="8634" t="s">
        <v>7316</v>
      </c>
      <c r="E3233" s="8634" t="s">
        <v>7317</v>
      </c>
      <c r="F3233" s="8634" t="s">
        <v>2245</v>
      </c>
      <c r="G3233" s="8634" t="s">
        <v>7318</v>
      </c>
      <c r="H3233" s="8634" t="s">
        <v>24</v>
      </c>
      <c r="I3233" s="8634" t="s">
        <v>823</v>
      </c>
    </row>
    <row customHeight="1" ht="11.25">
      <c r="A3234" s="8634" t="s">
        <v>2182</v>
      </c>
      <c r="B3234" s="8634" t="s">
        <v>14</v>
      </c>
      <c r="C3234" s="8634" t="s">
        <v>7319</v>
      </c>
      <c r="D3234" s="8634" t="s">
        <v>7320</v>
      </c>
      <c r="E3234" s="8634" t="s">
        <v>7321</v>
      </c>
      <c r="F3234" s="8634" t="s">
        <v>2339</v>
      </c>
      <c r="G3234" s="8634" t="s">
        <v>7322</v>
      </c>
      <c r="H3234" s="8634" t="s">
        <v>24</v>
      </c>
      <c r="I3234" s="8634" t="s">
        <v>823</v>
      </c>
    </row>
    <row customHeight="1" ht="11.25">
      <c r="A3235" s="8634" t="s">
        <v>2182</v>
      </c>
      <c r="B3235" s="8634" t="s">
        <v>14</v>
      </c>
      <c r="C3235" s="8634" t="s">
        <v>4721</v>
      </c>
      <c r="D3235" s="8634" t="s">
        <v>4722</v>
      </c>
      <c r="E3235" s="8634" t="s">
        <v>4723</v>
      </c>
      <c r="F3235" s="8634" t="s">
        <v>2460</v>
      </c>
      <c r="G3235" s="8634" t="s">
        <v>24</v>
      </c>
      <c r="H3235" s="8634" t="s">
        <v>2187</v>
      </c>
      <c r="I3235" s="8634" t="s">
        <v>823</v>
      </c>
    </row>
    <row customHeight="1" ht="11.25">
      <c r="A3236" s="8634" t="s">
        <v>2182</v>
      </c>
      <c r="B3236" s="8634" t="s">
        <v>14</v>
      </c>
      <c r="C3236" s="8634" t="s">
        <v>4728</v>
      </c>
      <c r="D3236" s="8634" t="s">
        <v>4729</v>
      </c>
      <c r="E3236" s="8634" t="s">
        <v>4730</v>
      </c>
      <c r="F3236" s="8634" t="s">
        <v>2245</v>
      </c>
      <c r="G3236" s="8634" t="s">
        <v>4731</v>
      </c>
      <c r="H3236" s="8634" t="s">
        <v>2187</v>
      </c>
      <c r="I3236" s="8634" t="s">
        <v>823</v>
      </c>
    </row>
    <row customHeight="1" ht="11.25">
      <c r="A3237" s="8634" t="s">
        <v>2182</v>
      </c>
      <c r="B3237" s="8634" t="s">
        <v>14</v>
      </c>
      <c r="C3237" s="8634" t="s">
        <v>7330</v>
      </c>
      <c r="D3237" s="8634" t="s">
        <v>7331</v>
      </c>
      <c r="E3237" s="8634" t="s">
        <v>7332</v>
      </c>
      <c r="F3237" s="8634" t="s">
        <v>2218</v>
      </c>
      <c r="G3237" s="8634" t="s">
        <v>7333</v>
      </c>
      <c r="H3237" s="8634" t="s">
        <v>24</v>
      </c>
      <c r="I3237" s="8634" t="s">
        <v>823</v>
      </c>
    </row>
    <row customHeight="1" ht="11.25">
      <c r="A3238" s="8634" t="s">
        <v>2182</v>
      </c>
      <c r="B3238" s="8634" t="s">
        <v>14</v>
      </c>
      <c r="C3238" s="8634" t="s">
        <v>7334</v>
      </c>
      <c r="D3238" s="8634" t="s">
        <v>7335</v>
      </c>
      <c r="E3238" s="8634" t="s">
        <v>7336</v>
      </c>
      <c r="F3238" s="8634" t="s">
        <v>2218</v>
      </c>
      <c r="G3238" s="8634" t="s">
        <v>7337</v>
      </c>
      <c r="H3238" s="8634" t="s">
        <v>24</v>
      </c>
      <c r="I3238" s="8634" t="s">
        <v>823</v>
      </c>
    </row>
    <row customHeight="1" ht="11.25">
      <c r="A3239" s="8634" t="s">
        <v>2182</v>
      </c>
      <c r="B3239" s="8634" t="s">
        <v>14</v>
      </c>
      <c r="C3239" s="8634" t="s">
        <v>7338</v>
      </c>
      <c r="D3239" s="8634" t="s">
        <v>7339</v>
      </c>
      <c r="E3239" s="8634" t="s">
        <v>7340</v>
      </c>
      <c r="F3239" s="8634" t="s">
        <v>2245</v>
      </c>
      <c r="G3239" s="8634" t="s">
        <v>24</v>
      </c>
      <c r="H3239" s="8634" t="s">
        <v>24</v>
      </c>
      <c r="I3239" s="8634" t="s">
        <v>823</v>
      </c>
    </row>
    <row customHeight="1" ht="11.25">
      <c r="A3240" s="8634" t="s">
        <v>2182</v>
      </c>
      <c r="B3240" s="8634" t="s">
        <v>14</v>
      </c>
      <c r="C3240" s="8634" t="s">
        <v>6343</v>
      </c>
      <c r="D3240" s="8634" t="s">
        <v>6344</v>
      </c>
      <c r="E3240" s="8634" t="s">
        <v>6345</v>
      </c>
      <c r="F3240" s="8634" t="s">
        <v>2269</v>
      </c>
      <c r="G3240" s="8634" t="s">
        <v>6346</v>
      </c>
      <c r="H3240" s="8634" t="s">
        <v>24</v>
      </c>
      <c r="I3240" s="8634" t="s">
        <v>823</v>
      </c>
    </row>
    <row customHeight="1" ht="11.25">
      <c r="A3241" s="8634" t="s">
        <v>2182</v>
      </c>
      <c r="B3241" s="8634" t="s">
        <v>14</v>
      </c>
      <c r="C3241" s="8634" t="s">
        <v>8035</v>
      </c>
      <c r="D3241" s="8634" t="s">
        <v>8036</v>
      </c>
      <c r="E3241" s="8634" t="s">
        <v>8037</v>
      </c>
      <c r="F3241" s="8634" t="s">
        <v>2334</v>
      </c>
      <c r="G3241" s="8634" t="s">
        <v>7354</v>
      </c>
      <c r="H3241" s="8634" t="s">
        <v>24</v>
      </c>
      <c r="I3241" s="8634" t="s">
        <v>823</v>
      </c>
    </row>
    <row customHeight="1" ht="11.25">
      <c r="A3242" s="8634" t="s">
        <v>2182</v>
      </c>
      <c r="B3242" s="8634" t="s">
        <v>14</v>
      </c>
      <c r="C3242" s="8634" t="s">
        <v>8038</v>
      </c>
      <c r="D3242" s="8634" t="s">
        <v>8039</v>
      </c>
      <c r="E3242" s="8634" t="s">
        <v>8040</v>
      </c>
      <c r="F3242" s="8634" t="s">
        <v>2213</v>
      </c>
      <c r="G3242" s="8634" t="s">
        <v>24</v>
      </c>
      <c r="H3242" s="8634" t="s">
        <v>24</v>
      </c>
      <c r="I3242" s="8634" t="s">
        <v>823</v>
      </c>
    </row>
    <row customHeight="1" ht="11.25">
      <c r="A3243" s="8634" t="s">
        <v>2182</v>
      </c>
      <c r="B3243" s="8634" t="s">
        <v>14</v>
      </c>
      <c r="C3243" s="8634" t="s">
        <v>4761</v>
      </c>
      <c r="D3243" s="8634" t="s">
        <v>4762</v>
      </c>
      <c r="E3243" s="8634" t="s">
        <v>4763</v>
      </c>
      <c r="F3243" s="8634" t="s">
        <v>4764</v>
      </c>
      <c r="G3243" s="8634" t="s">
        <v>4765</v>
      </c>
      <c r="H3243" s="8634" t="s">
        <v>24</v>
      </c>
      <c r="I3243" s="8634" t="s">
        <v>823</v>
      </c>
    </row>
    <row customHeight="1" ht="11.25">
      <c r="A3244" s="8634" t="s">
        <v>2182</v>
      </c>
      <c r="B3244" s="8634" t="s">
        <v>14</v>
      </c>
      <c r="C3244" s="8634" t="s">
        <v>4777</v>
      </c>
      <c r="D3244" s="8634" t="s">
        <v>4778</v>
      </c>
      <c r="E3244" s="8634" t="s">
        <v>4779</v>
      </c>
      <c r="F3244" s="8634" t="s">
        <v>2477</v>
      </c>
      <c r="G3244" s="8634" t="s">
        <v>4780</v>
      </c>
      <c r="H3244" s="8634" t="s">
        <v>24</v>
      </c>
      <c r="I3244" s="8634" t="s">
        <v>823</v>
      </c>
    </row>
    <row customHeight="1" ht="11.25">
      <c r="A3245" s="8634" t="s">
        <v>2182</v>
      </c>
      <c r="B3245" s="8634" t="s">
        <v>14</v>
      </c>
      <c r="C3245" s="8634" t="s">
        <v>7341</v>
      </c>
      <c r="D3245" s="8634" t="s">
        <v>7342</v>
      </c>
      <c r="E3245" s="8634" t="s">
        <v>7343</v>
      </c>
      <c r="F3245" s="8634" t="s">
        <v>2186</v>
      </c>
      <c r="G3245" s="8634" t="s">
        <v>24</v>
      </c>
      <c r="H3245" s="8634" t="s">
        <v>24</v>
      </c>
      <c r="I3245" s="8634" t="s">
        <v>823</v>
      </c>
    </row>
    <row customHeight="1" ht="11.25">
      <c r="A3246" s="8634" t="s">
        <v>2182</v>
      </c>
      <c r="B3246" s="8634" t="s">
        <v>14</v>
      </c>
      <c r="C3246" s="8634" t="s">
        <v>7344</v>
      </c>
      <c r="D3246" s="8634" t="s">
        <v>7345</v>
      </c>
      <c r="E3246" s="8634" t="s">
        <v>7346</v>
      </c>
      <c r="F3246" s="8634" t="s">
        <v>4717</v>
      </c>
      <c r="G3246" s="8634" t="s">
        <v>7347</v>
      </c>
      <c r="H3246" s="8634" t="s">
        <v>24</v>
      </c>
      <c r="I3246" s="8634" t="s">
        <v>823</v>
      </c>
    </row>
    <row customHeight="1" ht="11.25">
      <c r="A3247" s="8634" t="s">
        <v>2182</v>
      </c>
      <c r="B3247" s="8634" t="s">
        <v>14</v>
      </c>
      <c r="C3247" s="8634" t="s">
        <v>4798</v>
      </c>
      <c r="D3247" s="8634" t="s">
        <v>4799</v>
      </c>
      <c r="E3247" s="8634" t="s">
        <v>4800</v>
      </c>
      <c r="F3247" s="8634" t="s">
        <v>2218</v>
      </c>
      <c r="G3247" s="8634" t="s">
        <v>4801</v>
      </c>
      <c r="H3247" s="8634" t="s">
        <v>4802</v>
      </c>
      <c r="I3247" s="8634" t="s">
        <v>823</v>
      </c>
    </row>
    <row customHeight="1" ht="11.25">
      <c r="A3248" s="8634" t="s">
        <v>2182</v>
      </c>
      <c r="B3248" s="8634" t="s">
        <v>14</v>
      </c>
      <c r="C3248" s="8634" t="s">
        <v>4806</v>
      </c>
      <c r="D3248" s="8634" t="s">
        <v>4807</v>
      </c>
      <c r="E3248" s="8634" t="s">
        <v>4808</v>
      </c>
      <c r="F3248" s="8634" t="s">
        <v>2339</v>
      </c>
      <c r="G3248" s="8634" t="s">
        <v>24</v>
      </c>
      <c r="H3248" s="8634" t="s">
        <v>2870</v>
      </c>
      <c r="I3248" s="8634" t="s">
        <v>823</v>
      </c>
    </row>
    <row customHeight="1" ht="11.25">
      <c r="A3249" s="8634" t="s">
        <v>2182</v>
      </c>
      <c r="B3249" s="8634" t="s">
        <v>14</v>
      </c>
      <c r="C3249" s="8634" t="s">
        <v>4809</v>
      </c>
      <c r="D3249" s="8634" t="s">
        <v>4807</v>
      </c>
      <c r="E3249" s="8634" t="s">
        <v>4810</v>
      </c>
      <c r="F3249" s="8634" t="s">
        <v>2339</v>
      </c>
      <c r="G3249" s="8634" t="s">
        <v>4811</v>
      </c>
      <c r="H3249" s="8634" t="s">
        <v>24</v>
      </c>
      <c r="I3249" s="8634" t="s">
        <v>823</v>
      </c>
    </row>
    <row customHeight="1" ht="11.25">
      <c r="A3250" s="8634" t="s">
        <v>2182</v>
      </c>
      <c r="B3250" s="8634" t="s">
        <v>14</v>
      </c>
      <c r="C3250" s="8634" t="s">
        <v>7348</v>
      </c>
      <c r="D3250" s="8634" t="s">
        <v>7349</v>
      </c>
      <c r="E3250" s="8634" t="s">
        <v>7350</v>
      </c>
      <c r="F3250" s="8634" t="s">
        <v>2218</v>
      </c>
      <c r="G3250" s="8634" t="s">
        <v>24</v>
      </c>
      <c r="H3250" s="8634" t="s">
        <v>24</v>
      </c>
      <c r="I3250" s="8634" t="s">
        <v>823</v>
      </c>
    </row>
    <row customHeight="1" ht="11.25">
      <c r="A3251" s="8634" t="s">
        <v>2182</v>
      </c>
      <c r="B3251" s="8634" t="s">
        <v>14</v>
      </c>
      <c r="C3251" s="8634" t="s">
        <v>6347</v>
      </c>
      <c r="D3251" s="8634" t="s">
        <v>6348</v>
      </c>
      <c r="E3251" s="8634" t="s">
        <v>6349</v>
      </c>
      <c r="F3251" s="8634" t="s">
        <v>2213</v>
      </c>
      <c r="G3251" s="8634" t="s">
        <v>6350</v>
      </c>
      <c r="H3251" s="8634" t="s">
        <v>24</v>
      </c>
      <c r="I3251" s="8634" t="s">
        <v>823</v>
      </c>
    </row>
    <row customHeight="1" ht="11.25">
      <c r="A3252" s="8634" t="s">
        <v>2182</v>
      </c>
      <c r="B3252" s="8634" t="s">
        <v>14</v>
      </c>
      <c r="C3252" s="8634" t="s">
        <v>8041</v>
      </c>
      <c r="D3252" s="8634" t="s">
        <v>8042</v>
      </c>
      <c r="E3252" s="8634" t="s">
        <v>8043</v>
      </c>
      <c r="F3252" s="8634" t="s">
        <v>8044</v>
      </c>
      <c r="G3252" s="8634" t="s">
        <v>24</v>
      </c>
      <c r="H3252" s="8634" t="s">
        <v>24</v>
      </c>
      <c r="I3252" s="8634" t="s">
        <v>823</v>
      </c>
    </row>
    <row customHeight="1" ht="11.25">
      <c r="A3253" s="8634" t="s">
        <v>2182</v>
      </c>
      <c r="B3253" s="8634" t="s">
        <v>14</v>
      </c>
      <c r="C3253" s="8634" t="s">
        <v>6351</v>
      </c>
      <c r="D3253" s="8634" t="s">
        <v>6352</v>
      </c>
      <c r="E3253" s="8634" t="s">
        <v>6353</v>
      </c>
      <c r="F3253" s="8634" t="s">
        <v>2376</v>
      </c>
      <c r="G3253" s="8634" t="s">
        <v>24</v>
      </c>
      <c r="H3253" s="8634" t="s">
        <v>2400</v>
      </c>
      <c r="I3253" s="8634" t="s">
        <v>823</v>
      </c>
    </row>
    <row customHeight="1" ht="11.25">
      <c r="A3254" s="8634" t="s">
        <v>2182</v>
      </c>
      <c r="B3254" s="8634" t="s">
        <v>14</v>
      </c>
      <c r="C3254" s="8634" t="s">
        <v>4823</v>
      </c>
      <c r="D3254" s="8634" t="s">
        <v>4824</v>
      </c>
      <c r="E3254" s="8634" t="s">
        <v>4825</v>
      </c>
      <c r="F3254" s="8634" t="s">
        <v>2322</v>
      </c>
      <c r="G3254" s="8634" t="s">
        <v>24</v>
      </c>
      <c r="H3254" s="8634" t="s">
        <v>2993</v>
      </c>
      <c r="I3254" s="8634" t="s">
        <v>823</v>
      </c>
    </row>
    <row customHeight="1" ht="11.25">
      <c r="A3255" s="8634" t="s">
        <v>2182</v>
      </c>
      <c r="B3255" s="8634" t="s">
        <v>14</v>
      </c>
      <c r="C3255" s="8634" t="s">
        <v>7355</v>
      </c>
      <c r="D3255" s="8634" t="s">
        <v>7356</v>
      </c>
      <c r="E3255" s="8634" t="s">
        <v>7357</v>
      </c>
      <c r="F3255" s="8634" t="s">
        <v>2213</v>
      </c>
      <c r="G3255" s="8634" t="s">
        <v>24</v>
      </c>
      <c r="H3255" s="8634" t="s">
        <v>24</v>
      </c>
      <c r="I3255" s="8634" t="s">
        <v>823</v>
      </c>
    </row>
    <row customHeight="1" ht="11.25">
      <c r="A3256" s="8634" t="s">
        <v>2182</v>
      </c>
      <c r="B3256" s="8634" t="s">
        <v>14</v>
      </c>
      <c r="C3256" s="8634" t="s">
        <v>7361</v>
      </c>
      <c r="D3256" s="8634" t="s">
        <v>7362</v>
      </c>
      <c r="E3256" s="8634" t="s">
        <v>7363</v>
      </c>
      <c r="F3256" s="8634" t="s">
        <v>2322</v>
      </c>
      <c r="G3256" s="8634" t="s">
        <v>6493</v>
      </c>
      <c r="H3256" s="8634" t="s">
        <v>24</v>
      </c>
      <c r="I3256" s="8634" t="s">
        <v>823</v>
      </c>
    </row>
    <row customHeight="1" ht="11.25">
      <c r="A3257" s="8634" t="s">
        <v>2182</v>
      </c>
      <c r="B3257" s="8634" t="s">
        <v>14</v>
      </c>
      <c r="C3257" s="8634" t="s">
        <v>7364</v>
      </c>
      <c r="D3257" s="8634" t="s">
        <v>7365</v>
      </c>
      <c r="E3257" s="8634" t="s">
        <v>7366</v>
      </c>
      <c r="F3257" s="8634" t="s">
        <v>2389</v>
      </c>
      <c r="G3257" s="8634" t="s">
        <v>24</v>
      </c>
      <c r="H3257" s="8634" t="s">
        <v>24</v>
      </c>
      <c r="I3257" s="8634" t="s">
        <v>823</v>
      </c>
    </row>
    <row customHeight="1" ht="11.25">
      <c r="A3258" s="8634" t="s">
        <v>2182</v>
      </c>
      <c r="B3258" s="8634" t="s">
        <v>14</v>
      </c>
      <c r="C3258" s="8634" t="s">
        <v>4844</v>
      </c>
      <c r="D3258" s="8634" t="s">
        <v>4845</v>
      </c>
      <c r="E3258" s="8634" t="s">
        <v>4846</v>
      </c>
      <c r="F3258" s="8634" t="s">
        <v>2300</v>
      </c>
      <c r="G3258" s="8634" t="s">
        <v>2368</v>
      </c>
      <c r="H3258" s="8634" t="s">
        <v>24</v>
      </c>
      <c r="I3258" s="8634" t="s">
        <v>823</v>
      </c>
    </row>
    <row customHeight="1" ht="11.25">
      <c r="A3259" s="8634" t="s">
        <v>2182</v>
      </c>
      <c r="B3259" s="8634" t="s">
        <v>14</v>
      </c>
      <c r="C3259" s="8634" t="s">
        <v>7367</v>
      </c>
      <c r="D3259" s="8634" t="s">
        <v>7368</v>
      </c>
      <c r="E3259" s="8634" t="s">
        <v>7369</v>
      </c>
      <c r="F3259" s="8634" t="s">
        <v>2213</v>
      </c>
      <c r="G3259" s="8634" t="s">
        <v>7370</v>
      </c>
      <c r="H3259" s="8634" t="s">
        <v>24</v>
      </c>
      <c r="I3259" s="8634" t="s">
        <v>823</v>
      </c>
    </row>
    <row customHeight="1" ht="11.25">
      <c r="A3260" s="8634" t="s">
        <v>2182</v>
      </c>
      <c r="B3260" s="8634" t="s">
        <v>14</v>
      </c>
      <c r="C3260" s="8634" t="s">
        <v>7371</v>
      </c>
      <c r="D3260" s="8634" t="s">
        <v>7372</v>
      </c>
      <c r="E3260" s="8634" t="s">
        <v>7373</v>
      </c>
      <c r="F3260" s="8634" t="s">
        <v>2245</v>
      </c>
      <c r="G3260" s="8634" t="s">
        <v>24</v>
      </c>
      <c r="H3260" s="8634" t="s">
        <v>7374</v>
      </c>
      <c r="I3260" s="8634" t="s">
        <v>823</v>
      </c>
    </row>
    <row customHeight="1" ht="11.25">
      <c r="A3261" s="8634" t="s">
        <v>2182</v>
      </c>
      <c r="B3261" s="8634" t="s">
        <v>14</v>
      </c>
      <c r="C3261" s="8634" t="s">
        <v>4861</v>
      </c>
      <c r="D3261" s="8634" t="s">
        <v>4862</v>
      </c>
      <c r="E3261" s="8634" t="s">
        <v>4863</v>
      </c>
      <c r="F3261" s="8634" t="s">
        <v>3235</v>
      </c>
      <c r="G3261" s="8634" t="s">
        <v>4864</v>
      </c>
      <c r="H3261" s="8634" t="s">
        <v>24</v>
      </c>
      <c r="I3261" s="8634" t="s">
        <v>823</v>
      </c>
    </row>
    <row customHeight="1" ht="11.25">
      <c r="A3262" s="8634" t="s">
        <v>2182</v>
      </c>
      <c r="B3262" s="8634" t="s">
        <v>14</v>
      </c>
      <c r="C3262" s="8634" t="s">
        <v>7379</v>
      </c>
      <c r="D3262" s="8634" t="s">
        <v>7380</v>
      </c>
      <c r="E3262" s="8634" t="s">
        <v>7381</v>
      </c>
      <c r="F3262" s="8634" t="s">
        <v>2398</v>
      </c>
      <c r="G3262" s="8634" t="s">
        <v>7382</v>
      </c>
      <c r="H3262" s="8634" t="s">
        <v>24</v>
      </c>
      <c r="I3262" s="8634" t="s">
        <v>823</v>
      </c>
    </row>
    <row customHeight="1" ht="11.25">
      <c r="A3263" s="8634" t="s">
        <v>2182</v>
      </c>
      <c r="B3263" s="8634" t="s">
        <v>14</v>
      </c>
      <c r="C3263" s="8634" t="s">
        <v>7386</v>
      </c>
      <c r="D3263" s="8634" t="s">
        <v>7387</v>
      </c>
      <c r="E3263" s="8634" t="s">
        <v>7388</v>
      </c>
      <c r="F3263" s="8634" t="s">
        <v>2344</v>
      </c>
      <c r="G3263" s="8634" t="s">
        <v>7389</v>
      </c>
      <c r="H3263" s="8634" t="s">
        <v>24</v>
      </c>
      <c r="I3263" s="8634" t="s">
        <v>823</v>
      </c>
    </row>
    <row customHeight="1" ht="11.25">
      <c r="A3264" s="8634" t="s">
        <v>2182</v>
      </c>
      <c r="B3264" s="8634" t="s">
        <v>14</v>
      </c>
      <c r="C3264" s="8634" t="s">
        <v>7390</v>
      </c>
      <c r="D3264" s="8634" t="s">
        <v>7391</v>
      </c>
      <c r="E3264" s="8634" t="s">
        <v>7392</v>
      </c>
      <c r="F3264" s="8634" t="s">
        <v>3235</v>
      </c>
      <c r="G3264" s="8634" t="s">
        <v>7393</v>
      </c>
      <c r="H3264" s="8634" t="s">
        <v>2187</v>
      </c>
      <c r="I3264" s="8634" t="s">
        <v>823</v>
      </c>
    </row>
    <row customHeight="1" ht="11.25">
      <c r="A3265" s="8634" t="s">
        <v>2182</v>
      </c>
      <c r="B3265" s="8634" t="s">
        <v>14</v>
      </c>
      <c r="C3265" s="8634" t="s">
        <v>8045</v>
      </c>
      <c r="D3265" s="8634" t="s">
        <v>8046</v>
      </c>
      <c r="E3265" s="8634" t="s">
        <v>8047</v>
      </c>
      <c r="F3265" s="8634" t="s">
        <v>2228</v>
      </c>
      <c r="G3265" s="8634" t="s">
        <v>24</v>
      </c>
      <c r="H3265" s="8634" t="s">
        <v>6315</v>
      </c>
      <c r="I3265" s="8634" t="s">
        <v>823</v>
      </c>
    </row>
    <row customHeight="1" ht="11.25">
      <c r="A3266" s="8634" t="s">
        <v>2182</v>
      </c>
      <c r="B3266" s="8634" t="s">
        <v>14</v>
      </c>
      <c r="C3266" s="8634" t="s">
        <v>7394</v>
      </c>
      <c r="D3266" s="8634" t="s">
        <v>7395</v>
      </c>
      <c r="E3266" s="8634" t="s">
        <v>7396</v>
      </c>
      <c r="F3266" s="8634" t="s">
        <v>2228</v>
      </c>
      <c r="G3266" s="8634" t="s">
        <v>24</v>
      </c>
      <c r="H3266" s="8634" t="s">
        <v>24</v>
      </c>
      <c r="I3266" s="8634" t="s">
        <v>823</v>
      </c>
    </row>
    <row customHeight="1" ht="11.25">
      <c r="A3267" s="8634" t="s">
        <v>2182</v>
      </c>
      <c r="B3267" s="8634" t="s">
        <v>14</v>
      </c>
      <c r="C3267" s="8634" t="s">
        <v>4883</v>
      </c>
      <c r="D3267" s="8634" t="s">
        <v>4884</v>
      </c>
      <c r="E3267" s="8634" t="s">
        <v>4885</v>
      </c>
      <c r="F3267" s="8634" t="s">
        <v>2300</v>
      </c>
      <c r="G3267" s="8634" t="s">
        <v>24</v>
      </c>
      <c r="H3267" s="8634" t="s">
        <v>24</v>
      </c>
      <c r="I3267" s="8634" t="s">
        <v>823</v>
      </c>
    </row>
    <row customHeight="1" ht="11.25">
      <c r="A3268" s="8634" t="s">
        <v>2182</v>
      </c>
      <c r="B3268" s="8634" t="s">
        <v>14</v>
      </c>
      <c r="C3268" s="8634" t="s">
        <v>7397</v>
      </c>
      <c r="D3268" s="8634" t="s">
        <v>7398</v>
      </c>
      <c r="E3268" s="8634" t="s">
        <v>7399</v>
      </c>
      <c r="F3268" s="8634" t="s">
        <v>2626</v>
      </c>
      <c r="G3268" s="8634" t="s">
        <v>24</v>
      </c>
      <c r="H3268" s="8634" t="s">
        <v>24</v>
      </c>
      <c r="I3268" s="8634" t="s">
        <v>823</v>
      </c>
    </row>
    <row customHeight="1" ht="11.25">
      <c r="A3269" s="8634" t="s">
        <v>2182</v>
      </c>
      <c r="B3269" s="8634" t="s">
        <v>14</v>
      </c>
      <c r="C3269" s="8634" t="s">
        <v>8048</v>
      </c>
      <c r="D3269" s="8634" t="s">
        <v>8049</v>
      </c>
      <c r="E3269" s="8634" t="s">
        <v>8050</v>
      </c>
      <c r="F3269" s="8634" t="s">
        <v>2213</v>
      </c>
      <c r="G3269" s="8634" t="s">
        <v>24</v>
      </c>
      <c r="H3269" s="8634" t="s">
        <v>2773</v>
      </c>
      <c r="I3269" s="8634" t="s">
        <v>823</v>
      </c>
    </row>
    <row customHeight="1" ht="11.25">
      <c r="A3270" s="8634" t="s">
        <v>2182</v>
      </c>
      <c r="B3270" s="8634" t="s">
        <v>14</v>
      </c>
      <c r="C3270" s="8634" t="s">
        <v>8051</v>
      </c>
      <c r="D3270" s="8634" t="s">
        <v>8052</v>
      </c>
      <c r="E3270" s="8634" t="s">
        <v>8053</v>
      </c>
      <c r="F3270" s="8634" t="s">
        <v>8054</v>
      </c>
      <c r="G3270" s="8634" t="s">
        <v>24</v>
      </c>
      <c r="H3270" s="8634" t="s">
        <v>24</v>
      </c>
      <c r="I3270" s="8634" t="s">
        <v>823</v>
      </c>
    </row>
    <row customHeight="1" ht="11.25">
      <c r="A3271" s="8634" t="s">
        <v>2182</v>
      </c>
      <c r="B3271" s="8634" t="s">
        <v>14</v>
      </c>
      <c r="C3271" s="8634" t="s">
        <v>7400</v>
      </c>
      <c r="D3271" s="8634" t="s">
        <v>7401</v>
      </c>
      <c r="E3271" s="8634" t="s">
        <v>7402</v>
      </c>
      <c r="F3271" s="8634" t="s">
        <v>2411</v>
      </c>
      <c r="G3271" s="8634" t="s">
        <v>24</v>
      </c>
      <c r="H3271" s="8634" t="s">
        <v>7403</v>
      </c>
      <c r="I3271" s="8634" t="s">
        <v>823</v>
      </c>
    </row>
    <row customHeight="1" ht="11.25">
      <c r="A3272" s="8634" t="s">
        <v>2182</v>
      </c>
      <c r="B3272" s="8634" t="s">
        <v>14</v>
      </c>
      <c r="C3272" s="8634" t="s">
        <v>4900</v>
      </c>
      <c r="D3272" s="8634" t="s">
        <v>4901</v>
      </c>
      <c r="E3272" s="8634" t="s">
        <v>4902</v>
      </c>
      <c r="F3272" s="8634" t="s">
        <v>2363</v>
      </c>
      <c r="G3272" s="8634" t="s">
        <v>24</v>
      </c>
      <c r="H3272" s="8634" t="s">
        <v>24</v>
      </c>
      <c r="I3272" s="8634" t="s">
        <v>823</v>
      </c>
    </row>
    <row customHeight="1" ht="11.25">
      <c r="A3273" s="8634" t="s">
        <v>2182</v>
      </c>
      <c r="B3273" s="8634" t="s">
        <v>14</v>
      </c>
      <c r="C3273" s="8634" t="s">
        <v>8055</v>
      </c>
      <c r="D3273" s="8634" t="s">
        <v>8056</v>
      </c>
      <c r="E3273" s="8634" t="s">
        <v>8057</v>
      </c>
      <c r="F3273" s="8634" t="s">
        <v>2339</v>
      </c>
      <c r="G3273" s="8634" t="s">
        <v>24</v>
      </c>
      <c r="H3273" s="8634" t="s">
        <v>24</v>
      </c>
      <c r="I3273" s="8634" t="s">
        <v>823</v>
      </c>
    </row>
    <row customHeight="1" ht="11.25">
      <c r="A3274" s="8634" t="s">
        <v>2182</v>
      </c>
      <c r="B3274" s="8634" t="s">
        <v>14</v>
      </c>
      <c r="C3274" s="8634" t="s">
        <v>7404</v>
      </c>
      <c r="D3274" s="8634" t="s">
        <v>7405</v>
      </c>
      <c r="E3274" s="8634" t="s">
        <v>7406</v>
      </c>
      <c r="F3274" s="8634" t="s">
        <v>2339</v>
      </c>
      <c r="G3274" s="8634" t="s">
        <v>24</v>
      </c>
      <c r="H3274" s="8634" t="s">
        <v>24</v>
      </c>
      <c r="I3274" s="8634" t="s">
        <v>823</v>
      </c>
    </row>
    <row customHeight="1" ht="11.25">
      <c r="A3275" s="8634" t="s">
        <v>2182</v>
      </c>
      <c r="B3275" s="8634" t="s">
        <v>14</v>
      </c>
      <c r="C3275" s="8634" t="s">
        <v>4914</v>
      </c>
      <c r="D3275" s="8634" t="s">
        <v>4915</v>
      </c>
      <c r="E3275" s="8634" t="s">
        <v>4916</v>
      </c>
      <c r="F3275" s="8634" t="s">
        <v>2854</v>
      </c>
      <c r="G3275" s="8634" t="s">
        <v>24</v>
      </c>
      <c r="H3275" s="8634" t="s">
        <v>2187</v>
      </c>
      <c r="I3275" s="8634" t="s">
        <v>823</v>
      </c>
    </row>
    <row customHeight="1" ht="11.25">
      <c r="A3276" s="8634" t="s">
        <v>2182</v>
      </c>
      <c r="B3276" s="8634" t="s">
        <v>14</v>
      </c>
      <c r="C3276" s="8634" t="s">
        <v>7411</v>
      </c>
      <c r="D3276" s="8634" t="s">
        <v>7412</v>
      </c>
      <c r="E3276" s="8634" t="s">
        <v>7413</v>
      </c>
      <c r="F3276" s="8634" t="s">
        <v>2344</v>
      </c>
      <c r="G3276" s="8634" t="s">
        <v>7414</v>
      </c>
      <c r="H3276" s="8634" t="s">
        <v>24</v>
      </c>
      <c r="I3276" s="8634" t="s">
        <v>823</v>
      </c>
    </row>
    <row customHeight="1" ht="11.25">
      <c r="A3277" s="8634" t="s">
        <v>2182</v>
      </c>
      <c r="B3277" s="8634" t="s">
        <v>14</v>
      </c>
      <c r="C3277" s="8634" t="s">
        <v>4945</v>
      </c>
      <c r="D3277" s="8634" t="s">
        <v>4946</v>
      </c>
      <c r="E3277" s="8634" t="s">
        <v>4947</v>
      </c>
      <c r="F3277" s="8634" t="s">
        <v>2354</v>
      </c>
      <c r="G3277" s="8634" t="s">
        <v>4948</v>
      </c>
      <c r="H3277" s="8634" t="s">
        <v>4949</v>
      </c>
      <c r="I3277" s="8634" t="s">
        <v>823</v>
      </c>
    </row>
    <row customHeight="1" ht="11.25">
      <c r="A3278" s="8634" t="s">
        <v>2182</v>
      </c>
      <c r="B3278" s="8634" t="s">
        <v>14</v>
      </c>
      <c r="C3278" s="8634" t="s">
        <v>7425</v>
      </c>
      <c r="D3278" s="8634" t="s">
        <v>7426</v>
      </c>
      <c r="E3278" s="8634" t="s">
        <v>7427</v>
      </c>
      <c r="F3278" s="8634" t="s">
        <v>2334</v>
      </c>
      <c r="G3278" s="8634" t="s">
        <v>7428</v>
      </c>
      <c r="H3278" s="8634" t="s">
        <v>24</v>
      </c>
      <c r="I3278" s="8634" t="s">
        <v>823</v>
      </c>
    </row>
    <row customHeight="1" ht="11.25">
      <c r="A3279" s="8634" t="s">
        <v>2182</v>
      </c>
      <c r="B3279" s="8634" t="s">
        <v>14</v>
      </c>
      <c r="C3279" s="8634" t="s">
        <v>7429</v>
      </c>
      <c r="D3279" s="8634" t="s">
        <v>7430</v>
      </c>
      <c r="E3279" s="8634" t="s">
        <v>7431</v>
      </c>
      <c r="F3279" s="8634" t="s">
        <v>2600</v>
      </c>
      <c r="G3279" s="8634" t="s">
        <v>24</v>
      </c>
      <c r="H3279" s="8634" t="s">
        <v>7432</v>
      </c>
      <c r="I3279" s="8634" t="s">
        <v>823</v>
      </c>
    </row>
    <row customHeight="1" ht="11.25">
      <c r="A3280" s="8634" t="s">
        <v>2182</v>
      </c>
      <c r="B3280" s="8634" t="s">
        <v>14</v>
      </c>
      <c r="C3280" s="8634" t="s">
        <v>7433</v>
      </c>
      <c r="D3280" s="8634" t="s">
        <v>7434</v>
      </c>
      <c r="E3280" s="8634" t="s">
        <v>7435</v>
      </c>
      <c r="F3280" s="8634" t="s">
        <v>2411</v>
      </c>
      <c r="G3280" s="8634" t="s">
        <v>24</v>
      </c>
      <c r="H3280" s="8634" t="s">
        <v>2773</v>
      </c>
      <c r="I3280" s="8634" t="s">
        <v>823</v>
      </c>
    </row>
    <row customHeight="1" ht="11.25">
      <c r="A3281" s="8634" t="s">
        <v>2182</v>
      </c>
      <c r="B3281" s="8634" t="s">
        <v>14</v>
      </c>
      <c r="C3281" s="8634" t="s">
        <v>7436</v>
      </c>
      <c r="D3281" s="8634" t="s">
        <v>7437</v>
      </c>
      <c r="E3281" s="8634" t="s">
        <v>7438</v>
      </c>
      <c r="F3281" s="8634" t="s">
        <v>2279</v>
      </c>
      <c r="G3281" s="8634" t="s">
        <v>24</v>
      </c>
      <c r="H3281" s="8634" t="s">
        <v>24</v>
      </c>
      <c r="I3281" s="8634" t="s">
        <v>823</v>
      </c>
    </row>
    <row customHeight="1" ht="11.25">
      <c r="A3282" s="8634" t="s">
        <v>2182</v>
      </c>
      <c r="B3282" s="8634" t="s">
        <v>14</v>
      </c>
      <c r="C3282" s="8634" t="s">
        <v>4985</v>
      </c>
      <c r="D3282" s="8634" t="s">
        <v>4986</v>
      </c>
      <c r="E3282" s="8634" t="s">
        <v>4987</v>
      </c>
      <c r="F3282" s="8634" t="s">
        <v>2705</v>
      </c>
      <c r="G3282" s="8634" t="s">
        <v>24</v>
      </c>
      <c r="H3282" s="8634" t="s">
        <v>2993</v>
      </c>
      <c r="I3282" s="8634" t="s">
        <v>823</v>
      </c>
    </row>
    <row customHeight="1" ht="11.25">
      <c r="A3283" s="8634" t="s">
        <v>2182</v>
      </c>
      <c r="B3283" s="8634" t="s">
        <v>14</v>
      </c>
      <c r="C3283" s="8634" t="s">
        <v>4988</v>
      </c>
      <c r="D3283" s="8634" t="s">
        <v>4989</v>
      </c>
      <c r="E3283" s="8634" t="s">
        <v>4990</v>
      </c>
      <c r="F3283" s="8634" t="s">
        <v>2218</v>
      </c>
      <c r="G3283" s="8634" t="s">
        <v>4991</v>
      </c>
      <c r="H3283" s="8634" t="s">
        <v>24</v>
      </c>
      <c r="I3283" s="8634" t="s">
        <v>823</v>
      </c>
    </row>
    <row customHeight="1" ht="11.25">
      <c r="A3284" s="8634" t="s">
        <v>2182</v>
      </c>
      <c r="B3284" s="8634" t="s">
        <v>14</v>
      </c>
      <c r="C3284" s="8634" t="s">
        <v>4992</v>
      </c>
      <c r="D3284" s="8634" t="s">
        <v>4993</v>
      </c>
      <c r="E3284" s="8634" t="s">
        <v>4994</v>
      </c>
      <c r="F3284" s="8634" t="s">
        <v>2354</v>
      </c>
      <c r="G3284" s="8634" t="s">
        <v>4995</v>
      </c>
      <c r="H3284" s="8634" t="s">
        <v>2187</v>
      </c>
      <c r="I3284" s="8634" t="s">
        <v>823</v>
      </c>
    </row>
    <row customHeight="1" ht="11.25">
      <c r="A3285" s="8634" t="s">
        <v>2182</v>
      </c>
      <c r="B3285" s="8634" t="s">
        <v>14</v>
      </c>
      <c r="C3285" s="8634" t="s">
        <v>4996</v>
      </c>
      <c r="D3285" s="8634" t="s">
        <v>4993</v>
      </c>
      <c r="E3285" s="8634" t="s">
        <v>4997</v>
      </c>
      <c r="F3285" s="8634" t="s">
        <v>2354</v>
      </c>
      <c r="G3285" s="8634" t="s">
        <v>24</v>
      </c>
      <c r="H3285" s="8634" t="s">
        <v>3450</v>
      </c>
      <c r="I3285" s="8634" t="s">
        <v>823</v>
      </c>
    </row>
    <row customHeight="1" ht="11.25">
      <c r="A3286" s="8634" t="s">
        <v>2182</v>
      </c>
      <c r="B3286" s="8634" t="s">
        <v>14</v>
      </c>
      <c r="C3286" s="8634" t="s">
        <v>4998</v>
      </c>
      <c r="D3286" s="8634" t="s">
        <v>4999</v>
      </c>
      <c r="E3286" s="8634" t="s">
        <v>5000</v>
      </c>
      <c r="F3286" s="8634" t="s">
        <v>2354</v>
      </c>
      <c r="G3286" s="8634" t="s">
        <v>24</v>
      </c>
      <c r="H3286" s="8634" t="s">
        <v>24</v>
      </c>
      <c r="I3286" s="8634" t="s">
        <v>823</v>
      </c>
    </row>
    <row customHeight="1" ht="11.25">
      <c r="A3287" s="8634" t="s">
        <v>2182</v>
      </c>
      <c r="B3287" s="8634" t="s">
        <v>14</v>
      </c>
      <c r="C3287" s="8634" t="s">
        <v>5001</v>
      </c>
      <c r="D3287" s="8634" t="s">
        <v>5002</v>
      </c>
      <c r="E3287" s="8634" t="s">
        <v>5003</v>
      </c>
      <c r="F3287" s="8634" t="s">
        <v>2354</v>
      </c>
      <c r="G3287" s="8634" t="s">
        <v>5004</v>
      </c>
      <c r="H3287" s="8634" t="s">
        <v>2187</v>
      </c>
      <c r="I3287" s="8634" t="s">
        <v>823</v>
      </c>
    </row>
    <row customHeight="1" ht="11.25">
      <c r="A3288" s="8634" t="s">
        <v>2182</v>
      </c>
      <c r="B3288" s="8634" t="s">
        <v>14</v>
      </c>
      <c r="C3288" s="8634" t="s">
        <v>5013</v>
      </c>
      <c r="D3288" s="8634" t="s">
        <v>5014</v>
      </c>
      <c r="E3288" s="8634" t="s">
        <v>5015</v>
      </c>
      <c r="F3288" s="8634" t="s">
        <v>4717</v>
      </c>
      <c r="G3288" s="8634" t="s">
        <v>24</v>
      </c>
      <c r="H3288" s="8634" t="s">
        <v>2187</v>
      </c>
      <c r="I3288" s="8634" t="s">
        <v>823</v>
      </c>
    </row>
    <row customHeight="1" ht="11.25">
      <c r="A3289" s="8634" t="s">
        <v>2182</v>
      </c>
      <c r="B3289" s="8634" t="s">
        <v>14</v>
      </c>
      <c r="C3289" s="8634" t="s">
        <v>7443</v>
      </c>
      <c r="D3289" s="8634" t="s">
        <v>7444</v>
      </c>
      <c r="E3289" s="8634" t="s">
        <v>7445</v>
      </c>
      <c r="F3289" s="8634" t="s">
        <v>2626</v>
      </c>
      <c r="G3289" s="8634" t="s">
        <v>7446</v>
      </c>
      <c r="H3289" s="8634" t="s">
        <v>24</v>
      </c>
      <c r="I3289" s="8634" t="s">
        <v>823</v>
      </c>
    </row>
    <row customHeight="1" ht="11.25">
      <c r="A3290" s="8634" t="s">
        <v>2182</v>
      </c>
      <c r="B3290" s="8634" t="s">
        <v>14</v>
      </c>
      <c r="C3290" s="8634" t="s">
        <v>7447</v>
      </c>
      <c r="D3290" s="8634" t="s">
        <v>7448</v>
      </c>
      <c r="E3290" s="8634" t="s">
        <v>7449</v>
      </c>
      <c r="F3290" s="8634" t="s">
        <v>2318</v>
      </c>
      <c r="G3290" s="8634" t="s">
        <v>24</v>
      </c>
      <c r="H3290" s="8634" t="s">
        <v>24</v>
      </c>
      <c r="I3290" s="8634" t="s">
        <v>823</v>
      </c>
    </row>
    <row customHeight="1" ht="11.25">
      <c r="A3291" s="8634" t="s">
        <v>2182</v>
      </c>
      <c r="B3291" s="8634" t="s">
        <v>14</v>
      </c>
      <c r="C3291" s="8634" t="s">
        <v>8058</v>
      </c>
      <c r="D3291" s="8634" t="s">
        <v>8059</v>
      </c>
      <c r="E3291" s="8634" t="s">
        <v>8060</v>
      </c>
      <c r="F3291" s="8634" t="s">
        <v>8061</v>
      </c>
      <c r="G3291" s="8634" t="s">
        <v>8062</v>
      </c>
      <c r="H3291" s="8634" t="s">
        <v>8063</v>
      </c>
      <c r="I3291" s="8634" t="s">
        <v>823</v>
      </c>
    </row>
    <row customHeight="1" ht="11.25">
      <c r="A3292" s="8634" t="s">
        <v>2182</v>
      </c>
      <c r="B3292" s="8634" t="s">
        <v>14</v>
      </c>
      <c r="C3292" s="8634" t="s">
        <v>7450</v>
      </c>
      <c r="D3292" s="8634" t="s">
        <v>7451</v>
      </c>
      <c r="E3292" s="8634" t="s">
        <v>7452</v>
      </c>
      <c r="F3292" s="8634" t="s">
        <v>2492</v>
      </c>
      <c r="G3292" s="8634" t="s">
        <v>5920</v>
      </c>
      <c r="H3292" s="8634" t="s">
        <v>2187</v>
      </c>
      <c r="I3292" s="8634" t="s">
        <v>823</v>
      </c>
    </row>
    <row customHeight="1" ht="11.25">
      <c r="A3293" s="8634" t="s">
        <v>2182</v>
      </c>
      <c r="B3293" s="8634" t="s">
        <v>14</v>
      </c>
      <c r="C3293" s="8634" t="s">
        <v>7453</v>
      </c>
      <c r="D3293" s="8634" t="s">
        <v>7454</v>
      </c>
      <c r="E3293" s="8634" t="s">
        <v>7455</v>
      </c>
      <c r="F3293" s="8634" t="s">
        <v>2477</v>
      </c>
      <c r="G3293" s="8634" t="s">
        <v>7456</v>
      </c>
      <c r="H3293" s="8634" t="s">
        <v>24</v>
      </c>
      <c r="I3293" s="8634" t="s">
        <v>823</v>
      </c>
    </row>
    <row customHeight="1" ht="11.25">
      <c r="A3294" s="8634" t="s">
        <v>2182</v>
      </c>
      <c r="B3294" s="8634" t="s">
        <v>14</v>
      </c>
      <c r="C3294" s="8634" t="s">
        <v>7457</v>
      </c>
      <c r="D3294" s="8634" t="s">
        <v>7458</v>
      </c>
      <c r="E3294" s="8634" t="s">
        <v>7459</v>
      </c>
      <c r="F3294" s="8634" t="s">
        <v>2334</v>
      </c>
      <c r="G3294" s="8634" t="s">
        <v>24</v>
      </c>
      <c r="H3294" s="8634" t="s">
        <v>7460</v>
      </c>
      <c r="I3294" s="8634" t="s">
        <v>823</v>
      </c>
    </row>
    <row customHeight="1" ht="11.25">
      <c r="A3295" s="8634" t="s">
        <v>2182</v>
      </c>
      <c r="B3295" s="8634" t="s">
        <v>14</v>
      </c>
      <c r="C3295" s="8634" t="s">
        <v>5036</v>
      </c>
      <c r="D3295" s="8634" t="s">
        <v>5037</v>
      </c>
      <c r="E3295" s="8634" t="s">
        <v>5038</v>
      </c>
      <c r="F3295" s="8634" t="s">
        <v>2322</v>
      </c>
      <c r="G3295" s="8634" t="s">
        <v>5039</v>
      </c>
      <c r="H3295" s="8634" t="s">
        <v>24</v>
      </c>
      <c r="I3295" s="8634" t="s">
        <v>823</v>
      </c>
    </row>
    <row customHeight="1" ht="11.25">
      <c r="A3296" s="8634" t="s">
        <v>2182</v>
      </c>
      <c r="B3296" s="8634" t="s">
        <v>14</v>
      </c>
      <c r="C3296" s="8634" t="s">
        <v>8064</v>
      </c>
      <c r="D3296" s="8634" t="s">
        <v>8065</v>
      </c>
      <c r="E3296" s="8634" t="s">
        <v>8066</v>
      </c>
      <c r="F3296" s="8634" t="s">
        <v>2600</v>
      </c>
      <c r="G3296" s="8634" t="s">
        <v>24</v>
      </c>
      <c r="H3296" s="8634" t="s">
        <v>8067</v>
      </c>
      <c r="I3296" s="8634" t="s">
        <v>823</v>
      </c>
    </row>
    <row customHeight="1" ht="11.25">
      <c r="A3297" s="8634" t="s">
        <v>2182</v>
      </c>
      <c r="B3297" s="8634" t="s">
        <v>14</v>
      </c>
      <c r="C3297" s="8634" t="s">
        <v>7461</v>
      </c>
      <c r="D3297" s="8634" t="s">
        <v>7462</v>
      </c>
      <c r="E3297" s="8634" t="s">
        <v>7463</v>
      </c>
      <c r="F3297" s="8634" t="s">
        <v>2394</v>
      </c>
      <c r="G3297" s="8634" t="s">
        <v>24</v>
      </c>
      <c r="H3297" s="8634" t="s">
        <v>24</v>
      </c>
      <c r="I3297" s="8634" t="s">
        <v>823</v>
      </c>
    </row>
    <row customHeight="1" ht="11.25">
      <c r="A3298" s="8634" t="s">
        <v>2182</v>
      </c>
      <c r="B3298" s="8634" t="s">
        <v>14</v>
      </c>
      <c r="C3298" s="8634" t="s">
        <v>7464</v>
      </c>
      <c r="D3298" s="8634" t="s">
        <v>7465</v>
      </c>
      <c r="E3298" s="8634" t="s">
        <v>7466</v>
      </c>
      <c r="F3298" s="8634" t="s">
        <v>2477</v>
      </c>
      <c r="G3298" s="8634" t="s">
        <v>24</v>
      </c>
      <c r="H3298" s="8634" t="s">
        <v>24</v>
      </c>
      <c r="I3298" s="8634" t="s">
        <v>823</v>
      </c>
    </row>
    <row customHeight="1" ht="11.25">
      <c r="A3299" s="8634" t="s">
        <v>2182</v>
      </c>
      <c r="B3299" s="8634" t="s">
        <v>14</v>
      </c>
      <c r="C3299" s="8634" t="s">
        <v>8068</v>
      </c>
      <c r="D3299" s="8634" t="s">
        <v>8069</v>
      </c>
      <c r="E3299" s="8634" t="s">
        <v>8070</v>
      </c>
      <c r="F3299" s="8634" t="s">
        <v>2245</v>
      </c>
      <c r="G3299" s="8634" t="s">
        <v>24</v>
      </c>
      <c r="H3299" s="8634" t="s">
        <v>8071</v>
      </c>
      <c r="I3299" s="8634" t="s">
        <v>823</v>
      </c>
    </row>
    <row customHeight="1" ht="11.25">
      <c r="A3300" s="8634" t="s">
        <v>2182</v>
      </c>
      <c r="B3300" s="8634" t="s">
        <v>14</v>
      </c>
      <c r="C3300" s="8634" t="s">
        <v>8072</v>
      </c>
      <c r="D3300" s="8634" t="s">
        <v>8073</v>
      </c>
      <c r="E3300" s="8634" t="s">
        <v>8074</v>
      </c>
      <c r="F3300" s="8634" t="s">
        <v>3212</v>
      </c>
      <c r="G3300" s="8634" t="s">
        <v>24</v>
      </c>
      <c r="H3300" s="8634" t="s">
        <v>2773</v>
      </c>
      <c r="I3300" s="8634" t="s">
        <v>823</v>
      </c>
    </row>
    <row customHeight="1" ht="11.25">
      <c r="A3301" s="8634" t="s">
        <v>2182</v>
      </c>
      <c r="B3301" s="8634" t="s">
        <v>14</v>
      </c>
      <c r="C3301" s="8634" t="s">
        <v>5067</v>
      </c>
      <c r="D3301" s="8634" t="s">
        <v>5068</v>
      </c>
      <c r="E3301" s="8634" t="s">
        <v>5069</v>
      </c>
      <c r="F3301" s="8634" t="s">
        <v>2398</v>
      </c>
      <c r="G3301" s="8634" t="s">
        <v>5070</v>
      </c>
      <c r="H3301" s="8634" t="s">
        <v>24</v>
      </c>
      <c r="I3301" s="8634" t="s">
        <v>823</v>
      </c>
    </row>
    <row customHeight="1" ht="11.25">
      <c r="A3302" s="8634" t="s">
        <v>2182</v>
      </c>
      <c r="B3302" s="8634" t="s">
        <v>14</v>
      </c>
      <c r="C3302" s="8634" t="s">
        <v>8075</v>
      </c>
      <c r="D3302" s="8634" t="s">
        <v>5075</v>
      </c>
      <c r="E3302" s="8634" t="s">
        <v>5076</v>
      </c>
      <c r="F3302" s="8634" t="s">
        <v>2339</v>
      </c>
      <c r="G3302" s="8634" t="s">
        <v>24</v>
      </c>
      <c r="H3302" s="8634" t="s">
        <v>24</v>
      </c>
      <c r="I3302" s="8634" t="s">
        <v>823</v>
      </c>
    </row>
    <row customHeight="1" ht="11.25">
      <c r="A3303" s="8634" t="s">
        <v>2182</v>
      </c>
      <c r="B3303" s="8634" t="s">
        <v>14</v>
      </c>
      <c r="C3303" s="8634" t="s">
        <v>8076</v>
      </c>
      <c r="D3303" s="8634" t="s">
        <v>8077</v>
      </c>
      <c r="E3303" s="8634" t="s">
        <v>8078</v>
      </c>
      <c r="F3303" s="8634" t="s">
        <v>2832</v>
      </c>
      <c r="G3303" s="8634" t="s">
        <v>8079</v>
      </c>
      <c r="H3303" s="8634" t="s">
        <v>24</v>
      </c>
      <c r="I3303" s="8634" t="s">
        <v>823</v>
      </c>
    </row>
    <row customHeight="1" ht="11.25">
      <c r="A3304" s="8634" t="s">
        <v>2182</v>
      </c>
      <c r="B3304" s="8634" t="s">
        <v>14</v>
      </c>
      <c r="C3304" s="8634" t="s">
        <v>8080</v>
      </c>
      <c r="D3304" s="8634" t="s">
        <v>8081</v>
      </c>
      <c r="E3304" s="8634" t="s">
        <v>8082</v>
      </c>
      <c r="F3304" s="8634" t="s">
        <v>2322</v>
      </c>
      <c r="G3304" s="8634" t="s">
        <v>24</v>
      </c>
      <c r="H3304" s="8634" t="s">
        <v>8083</v>
      </c>
      <c r="I3304" s="8634" t="s">
        <v>823</v>
      </c>
    </row>
    <row customHeight="1" ht="11.25">
      <c r="A3305" s="8634" t="s">
        <v>2182</v>
      </c>
      <c r="B3305" s="8634" t="s">
        <v>14</v>
      </c>
      <c r="C3305" s="8634" t="s">
        <v>5091</v>
      </c>
      <c r="D3305" s="8634" t="s">
        <v>5092</v>
      </c>
      <c r="E3305" s="8634" t="s">
        <v>5093</v>
      </c>
      <c r="F3305" s="8634" t="s">
        <v>2245</v>
      </c>
      <c r="G3305" s="8634" t="s">
        <v>24</v>
      </c>
      <c r="H3305" s="8634" t="s">
        <v>5094</v>
      </c>
      <c r="I3305" s="8634" t="s">
        <v>823</v>
      </c>
    </row>
    <row customHeight="1" ht="11.25">
      <c r="A3306" s="8634" t="s">
        <v>2182</v>
      </c>
      <c r="B3306" s="8634" t="s">
        <v>14</v>
      </c>
      <c r="C3306" s="8634" t="s">
        <v>8084</v>
      </c>
      <c r="D3306" s="8634" t="s">
        <v>8085</v>
      </c>
      <c r="E3306" s="8634" t="s">
        <v>8086</v>
      </c>
      <c r="F3306" s="8634" t="s">
        <v>3278</v>
      </c>
      <c r="G3306" s="8634" t="s">
        <v>8087</v>
      </c>
      <c r="H3306" s="8634" t="s">
        <v>24</v>
      </c>
      <c r="I3306" s="8634" t="s">
        <v>823</v>
      </c>
    </row>
    <row customHeight="1" ht="11.25">
      <c r="A3307" s="8634" t="s">
        <v>2182</v>
      </c>
      <c r="B3307" s="8634" t="s">
        <v>14</v>
      </c>
      <c r="C3307" s="8634" t="s">
        <v>6359</v>
      </c>
      <c r="D3307" s="8634" t="s">
        <v>6360</v>
      </c>
      <c r="E3307" s="8634" t="s">
        <v>6361</v>
      </c>
      <c r="F3307" s="8634" t="s">
        <v>2705</v>
      </c>
      <c r="G3307" s="8634" t="s">
        <v>24</v>
      </c>
      <c r="H3307" s="8634" t="s">
        <v>24</v>
      </c>
      <c r="I3307" s="8634" t="s">
        <v>823</v>
      </c>
    </row>
    <row customHeight="1" ht="11.25">
      <c r="A3308" s="8634" t="s">
        <v>2182</v>
      </c>
      <c r="B3308" s="8634" t="s">
        <v>14</v>
      </c>
      <c r="C3308" s="8634" t="s">
        <v>5102</v>
      </c>
      <c r="D3308" s="8634" t="s">
        <v>5103</v>
      </c>
      <c r="E3308" s="8634" t="s">
        <v>5104</v>
      </c>
      <c r="F3308" s="8634" t="s">
        <v>2705</v>
      </c>
      <c r="G3308" s="8634" t="s">
        <v>24</v>
      </c>
      <c r="H3308" s="8634" t="s">
        <v>2187</v>
      </c>
      <c r="I3308" s="8634" t="s">
        <v>823</v>
      </c>
    </row>
    <row customHeight="1" ht="11.25">
      <c r="A3309" s="8634" t="s">
        <v>2182</v>
      </c>
      <c r="B3309" s="8634" t="s">
        <v>14</v>
      </c>
      <c r="C3309" s="8634" t="s">
        <v>5113</v>
      </c>
      <c r="D3309" s="8634" t="s">
        <v>5114</v>
      </c>
      <c r="E3309" s="8634" t="s">
        <v>5115</v>
      </c>
      <c r="F3309" s="8634" t="s">
        <v>2213</v>
      </c>
      <c r="G3309" s="8634" t="s">
        <v>24</v>
      </c>
      <c r="H3309" s="8634" t="s">
        <v>2187</v>
      </c>
      <c r="I3309" s="8634" t="s">
        <v>823</v>
      </c>
    </row>
    <row customHeight="1" ht="11.25">
      <c r="A3310" s="8634" t="s">
        <v>2182</v>
      </c>
      <c r="B3310" s="8634" t="s">
        <v>14</v>
      </c>
      <c r="C3310" s="8634" t="s">
        <v>5123</v>
      </c>
      <c r="D3310" s="8634" t="s">
        <v>5124</v>
      </c>
      <c r="E3310" s="8634" t="s">
        <v>5125</v>
      </c>
      <c r="F3310" s="8634" t="s">
        <v>2314</v>
      </c>
      <c r="G3310" s="8634" t="s">
        <v>2443</v>
      </c>
      <c r="H3310" s="8634" t="s">
        <v>24</v>
      </c>
      <c r="I3310" s="8634" t="s">
        <v>823</v>
      </c>
    </row>
    <row customHeight="1" ht="11.25">
      <c r="A3311" s="8634" t="s">
        <v>2182</v>
      </c>
      <c r="B3311" s="8634" t="s">
        <v>14</v>
      </c>
      <c r="C3311" s="8634" t="s">
        <v>7475</v>
      </c>
      <c r="D3311" s="8634" t="s">
        <v>7476</v>
      </c>
      <c r="E3311" s="8634" t="s">
        <v>7477</v>
      </c>
      <c r="F3311" s="8634" t="s">
        <v>2600</v>
      </c>
      <c r="G3311" s="8634" t="s">
        <v>7478</v>
      </c>
      <c r="H3311" s="8634" t="s">
        <v>24</v>
      </c>
      <c r="I3311" s="8634" t="s">
        <v>823</v>
      </c>
    </row>
    <row customHeight="1" ht="11.25">
      <c r="A3312" s="8634" t="s">
        <v>2182</v>
      </c>
      <c r="B3312" s="8634" t="s">
        <v>14</v>
      </c>
      <c r="C3312" s="8634" t="s">
        <v>5159</v>
      </c>
      <c r="D3312" s="8634" t="s">
        <v>5156</v>
      </c>
      <c r="E3312" s="8634" t="s">
        <v>5160</v>
      </c>
      <c r="F3312" s="8634" t="s">
        <v>2322</v>
      </c>
      <c r="G3312" s="8634" t="s">
        <v>5161</v>
      </c>
      <c r="H3312" s="8634" t="s">
        <v>24</v>
      </c>
      <c r="I3312" s="8634" t="s">
        <v>823</v>
      </c>
    </row>
    <row customHeight="1" ht="11.25">
      <c r="A3313" s="8634" t="s">
        <v>2182</v>
      </c>
      <c r="B3313" s="8634" t="s">
        <v>14</v>
      </c>
      <c r="C3313" s="8634" t="s">
        <v>7479</v>
      </c>
      <c r="D3313" s="8634" t="s">
        <v>7480</v>
      </c>
      <c r="E3313" s="8634" t="s">
        <v>7481</v>
      </c>
      <c r="F3313" s="8634" t="s">
        <v>2245</v>
      </c>
      <c r="G3313" s="8634" t="s">
        <v>24</v>
      </c>
      <c r="H3313" s="8634" t="s">
        <v>24</v>
      </c>
      <c r="I3313" s="8634" t="s">
        <v>823</v>
      </c>
    </row>
    <row customHeight="1" ht="11.25">
      <c r="A3314" s="8634" t="s">
        <v>2182</v>
      </c>
      <c r="B3314" s="8634" t="s">
        <v>14</v>
      </c>
      <c r="C3314" s="8634" t="s">
        <v>7482</v>
      </c>
      <c r="D3314" s="8634" t="s">
        <v>7483</v>
      </c>
      <c r="E3314" s="8634" t="s">
        <v>7484</v>
      </c>
      <c r="F3314" s="8634" t="s">
        <v>2186</v>
      </c>
      <c r="G3314" s="8634" t="s">
        <v>24</v>
      </c>
      <c r="H3314" s="8634" t="s">
        <v>7485</v>
      </c>
      <c r="I3314" s="8634" t="s">
        <v>823</v>
      </c>
    </row>
    <row customHeight="1" ht="11.25">
      <c r="A3315" s="8634" t="s">
        <v>2182</v>
      </c>
      <c r="B3315" s="8634" t="s">
        <v>14</v>
      </c>
      <c r="C3315" s="8634" t="s">
        <v>5210</v>
      </c>
      <c r="D3315" s="8634" t="s">
        <v>5211</v>
      </c>
      <c r="E3315" s="8634" t="s">
        <v>5212</v>
      </c>
      <c r="F3315" s="8634" t="s">
        <v>2213</v>
      </c>
      <c r="G3315" s="8634" t="s">
        <v>5213</v>
      </c>
      <c r="H3315" s="8634" t="s">
        <v>24</v>
      </c>
      <c r="I3315" s="8634" t="s">
        <v>823</v>
      </c>
    </row>
    <row customHeight="1" ht="11.25">
      <c r="A3316" s="8634" t="s">
        <v>2182</v>
      </c>
      <c r="B3316" s="8634" t="s">
        <v>14</v>
      </c>
      <c r="C3316" s="8634" t="s">
        <v>5221</v>
      </c>
      <c r="D3316" s="8634" t="s">
        <v>5222</v>
      </c>
      <c r="E3316" s="8634" t="s">
        <v>5223</v>
      </c>
      <c r="F3316" s="8634" t="s">
        <v>2228</v>
      </c>
      <c r="G3316" s="8634" t="s">
        <v>5224</v>
      </c>
      <c r="H3316" s="8634" t="s">
        <v>24</v>
      </c>
      <c r="I3316" s="8634" t="s">
        <v>823</v>
      </c>
    </row>
    <row customHeight="1" ht="11.25">
      <c r="A3317" s="8634" t="s">
        <v>2182</v>
      </c>
      <c r="B3317" s="8634" t="s">
        <v>14</v>
      </c>
      <c r="C3317" s="8634" t="s">
        <v>5232</v>
      </c>
      <c r="D3317" s="8634" t="s">
        <v>5233</v>
      </c>
      <c r="E3317" s="8634" t="s">
        <v>5234</v>
      </c>
      <c r="F3317" s="8634" t="s">
        <v>5235</v>
      </c>
      <c r="G3317" s="8634" t="s">
        <v>5236</v>
      </c>
      <c r="H3317" s="8634" t="s">
        <v>24</v>
      </c>
      <c r="I3317" s="8634" t="s">
        <v>823</v>
      </c>
    </row>
    <row customHeight="1" ht="11.25">
      <c r="A3318" s="8634" t="s">
        <v>2182</v>
      </c>
      <c r="B3318" s="8634" t="s">
        <v>14</v>
      </c>
      <c r="C3318" s="8634" t="s">
        <v>5242</v>
      </c>
      <c r="D3318" s="8634" t="s">
        <v>5243</v>
      </c>
      <c r="E3318" s="8634" t="s">
        <v>5244</v>
      </c>
      <c r="F3318" s="8634" t="s">
        <v>2600</v>
      </c>
      <c r="G3318" s="8634" t="s">
        <v>5245</v>
      </c>
      <c r="H3318" s="8634" t="s">
        <v>24</v>
      </c>
      <c r="I3318" s="8634" t="s">
        <v>823</v>
      </c>
    </row>
    <row customHeight="1" ht="11.25">
      <c r="A3319" s="8634" t="s">
        <v>2182</v>
      </c>
      <c r="B3319" s="8634" t="s">
        <v>14</v>
      </c>
      <c r="C3319" s="8634" t="s">
        <v>5249</v>
      </c>
      <c r="D3319" s="8634" t="s">
        <v>5250</v>
      </c>
      <c r="E3319" s="8634" t="s">
        <v>5251</v>
      </c>
      <c r="F3319" s="8634" t="s">
        <v>2322</v>
      </c>
      <c r="G3319" s="8634" t="s">
        <v>24</v>
      </c>
      <c r="H3319" s="8634" t="s">
        <v>5252</v>
      </c>
      <c r="I3319" s="8634" t="s">
        <v>823</v>
      </c>
    </row>
    <row customHeight="1" ht="11.25">
      <c r="A3320" s="8634" t="s">
        <v>2182</v>
      </c>
      <c r="B3320" s="8634" t="s">
        <v>14</v>
      </c>
      <c r="C3320" s="8634" t="s">
        <v>5277</v>
      </c>
      <c r="D3320" s="8634" t="s">
        <v>5278</v>
      </c>
      <c r="E3320" s="8634" t="s">
        <v>5279</v>
      </c>
      <c r="F3320" s="8634" t="s">
        <v>4570</v>
      </c>
      <c r="G3320" s="8634" t="s">
        <v>5280</v>
      </c>
      <c r="H3320" s="8634" t="s">
        <v>24</v>
      </c>
      <c r="I3320" s="8634" t="s">
        <v>823</v>
      </c>
    </row>
    <row customHeight="1" ht="11.25">
      <c r="A3321" s="8634" t="s">
        <v>2182</v>
      </c>
      <c r="B3321" s="8634" t="s">
        <v>14</v>
      </c>
      <c r="C3321" s="8634" t="s">
        <v>7489</v>
      </c>
      <c r="D3321" s="8634" t="s">
        <v>7490</v>
      </c>
      <c r="E3321" s="8634" t="s">
        <v>7491</v>
      </c>
      <c r="F3321" s="8634" t="s">
        <v>4645</v>
      </c>
      <c r="G3321" s="8634" t="s">
        <v>7492</v>
      </c>
      <c r="H3321" s="8634" t="s">
        <v>24</v>
      </c>
      <c r="I3321" s="8634" t="s">
        <v>823</v>
      </c>
    </row>
    <row customHeight="1" ht="11.25">
      <c r="A3322" s="8634" t="s">
        <v>2182</v>
      </c>
      <c r="B3322" s="8634" t="s">
        <v>14</v>
      </c>
      <c r="C3322" s="8634" t="s">
        <v>7497</v>
      </c>
      <c r="D3322" s="8634" t="s">
        <v>7498</v>
      </c>
      <c r="E3322" s="8634" t="s">
        <v>7499</v>
      </c>
      <c r="F3322" s="8634" t="s">
        <v>2600</v>
      </c>
      <c r="G3322" s="8634" t="s">
        <v>7500</v>
      </c>
      <c r="H3322" s="8634" t="s">
        <v>24</v>
      </c>
      <c r="I3322" s="8634" t="s">
        <v>823</v>
      </c>
    </row>
    <row customHeight="1" ht="11.25">
      <c r="A3323" s="8634" t="s">
        <v>2182</v>
      </c>
      <c r="B3323" s="8634" t="s">
        <v>14</v>
      </c>
      <c r="C3323" s="8634" t="s">
        <v>5304</v>
      </c>
      <c r="D3323" s="8634" t="s">
        <v>5305</v>
      </c>
      <c r="E3323" s="8634" t="s">
        <v>5306</v>
      </c>
      <c r="F3323" s="8634" t="s">
        <v>2721</v>
      </c>
      <c r="G3323" s="8634" t="s">
        <v>24</v>
      </c>
      <c r="H3323" s="8634" t="s">
        <v>2187</v>
      </c>
      <c r="I3323" s="8634" t="s">
        <v>823</v>
      </c>
    </row>
    <row customHeight="1" ht="11.25">
      <c r="A3324" s="8634" t="s">
        <v>2182</v>
      </c>
      <c r="B3324" s="8634" t="s">
        <v>14</v>
      </c>
      <c r="C3324" s="8634" t="s">
        <v>5312</v>
      </c>
      <c r="D3324" s="8634" t="s">
        <v>5313</v>
      </c>
      <c r="E3324" s="8634" t="s">
        <v>5314</v>
      </c>
      <c r="F3324" s="8634" t="s">
        <v>2213</v>
      </c>
      <c r="G3324" s="8634" t="s">
        <v>5315</v>
      </c>
      <c r="H3324" s="8634" t="s">
        <v>24</v>
      </c>
      <c r="I3324" s="8634" t="s">
        <v>823</v>
      </c>
    </row>
    <row customHeight="1" ht="11.25">
      <c r="A3325" s="8634" t="s">
        <v>2182</v>
      </c>
      <c r="B3325" s="8634" t="s">
        <v>14</v>
      </c>
      <c r="C3325" s="8634" t="s">
        <v>6365</v>
      </c>
      <c r="D3325" s="8634" t="s">
        <v>6366</v>
      </c>
      <c r="E3325" s="8634" t="s">
        <v>6367</v>
      </c>
      <c r="F3325" s="8634" t="s">
        <v>2228</v>
      </c>
      <c r="G3325" s="8634" t="s">
        <v>24</v>
      </c>
      <c r="H3325" s="8634" t="s">
        <v>2187</v>
      </c>
      <c r="I3325" s="8634" t="s">
        <v>823</v>
      </c>
    </row>
    <row customHeight="1" ht="11.25">
      <c r="A3326" s="8634" t="s">
        <v>2182</v>
      </c>
      <c r="B3326" s="8634" t="s">
        <v>14</v>
      </c>
      <c r="C3326" s="8634" t="s">
        <v>5323</v>
      </c>
      <c r="D3326" s="8634" t="s">
        <v>5324</v>
      </c>
      <c r="E3326" s="8634" t="s">
        <v>5325</v>
      </c>
      <c r="F3326" s="8634" t="s">
        <v>2228</v>
      </c>
      <c r="G3326" s="8634" t="s">
        <v>3982</v>
      </c>
      <c r="H3326" s="8634" t="s">
        <v>24</v>
      </c>
      <c r="I3326" s="8634" t="s">
        <v>823</v>
      </c>
    </row>
    <row customHeight="1" ht="11.25">
      <c r="A3327" s="8634" t="s">
        <v>2182</v>
      </c>
      <c r="B3327" s="8634" t="s">
        <v>14</v>
      </c>
      <c r="C3327" s="8634" t="s">
        <v>7501</v>
      </c>
      <c r="D3327" s="8634" t="s">
        <v>7502</v>
      </c>
      <c r="E3327" s="8634" t="s">
        <v>7503</v>
      </c>
      <c r="F3327" s="8634" t="s">
        <v>2228</v>
      </c>
      <c r="G3327" s="8634" t="s">
        <v>7504</v>
      </c>
      <c r="H3327" s="8634" t="s">
        <v>24</v>
      </c>
      <c r="I3327" s="8634" t="s">
        <v>823</v>
      </c>
    </row>
    <row customHeight="1" ht="11.25">
      <c r="A3328" s="8634" t="s">
        <v>2182</v>
      </c>
      <c r="B3328" s="8634" t="s">
        <v>14</v>
      </c>
      <c r="C3328" s="8634" t="s">
        <v>7505</v>
      </c>
      <c r="D3328" s="8634" t="s">
        <v>7506</v>
      </c>
      <c r="E3328" s="8634" t="s">
        <v>7507</v>
      </c>
      <c r="F3328" s="8634" t="s">
        <v>2492</v>
      </c>
      <c r="G3328" s="8634" t="s">
        <v>5852</v>
      </c>
      <c r="H3328" s="8634" t="s">
        <v>7508</v>
      </c>
      <c r="I3328" s="8634" t="s">
        <v>823</v>
      </c>
    </row>
    <row customHeight="1" ht="11.25">
      <c r="A3329" s="8634" t="s">
        <v>2182</v>
      </c>
      <c r="B3329" s="8634" t="s">
        <v>14</v>
      </c>
      <c r="C3329" s="8634" t="s">
        <v>7509</v>
      </c>
      <c r="D3329" s="8634" t="s">
        <v>7510</v>
      </c>
      <c r="E3329" s="8634" t="s">
        <v>7511</v>
      </c>
      <c r="F3329" s="8634" t="s">
        <v>2626</v>
      </c>
      <c r="G3329" s="8634" t="s">
        <v>4941</v>
      </c>
      <c r="H3329" s="8634" t="s">
        <v>7512</v>
      </c>
      <c r="I3329" s="8634" t="s">
        <v>823</v>
      </c>
    </row>
    <row customHeight="1" ht="11.25">
      <c r="A3330" s="8634" t="s">
        <v>2182</v>
      </c>
      <c r="B3330" s="8634" t="s">
        <v>14</v>
      </c>
      <c r="C3330" s="8634" t="s">
        <v>8088</v>
      </c>
      <c r="D3330" s="8634" t="s">
        <v>8089</v>
      </c>
      <c r="E3330" s="8634" t="s">
        <v>8090</v>
      </c>
      <c r="F3330" s="8634" t="s">
        <v>2218</v>
      </c>
      <c r="G3330" s="8634" t="s">
        <v>8091</v>
      </c>
      <c r="H3330" s="8634" t="s">
        <v>24</v>
      </c>
      <c r="I3330" s="8634" t="s">
        <v>823</v>
      </c>
    </row>
    <row customHeight="1" ht="11.25">
      <c r="A3331" s="8634" t="s">
        <v>2182</v>
      </c>
      <c r="B3331" s="8634" t="s">
        <v>14</v>
      </c>
      <c r="C3331" s="8634" t="s">
        <v>7513</v>
      </c>
      <c r="D3331" s="8634" t="s">
        <v>7514</v>
      </c>
      <c r="E3331" s="8634" t="s">
        <v>7515</v>
      </c>
      <c r="F3331" s="8634" t="s">
        <v>5584</v>
      </c>
      <c r="G3331" s="8634" t="s">
        <v>24</v>
      </c>
      <c r="H3331" s="8634" t="s">
        <v>24</v>
      </c>
      <c r="I3331" s="8634" t="s">
        <v>823</v>
      </c>
    </row>
    <row customHeight="1" ht="11.25">
      <c r="A3332" s="8634" t="s">
        <v>2182</v>
      </c>
      <c r="B3332" s="8634" t="s">
        <v>14</v>
      </c>
      <c r="C3332" s="8634" t="s">
        <v>5340</v>
      </c>
      <c r="D3332" s="8634" t="s">
        <v>5341</v>
      </c>
      <c r="E3332" s="8634" t="s">
        <v>5342</v>
      </c>
      <c r="F3332" s="8634" t="s">
        <v>2600</v>
      </c>
      <c r="G3332" s="8634" t="s">
        <v>24</v>
      </c>
      <c r="H3332" s="8634" t="s">
        <v>2993</v>
      </c>
      <c r="I3332" s="8634" t="s">
        <v>823</v>
      </c>
    </row>
    <row customHeight="1" ht="11.25">
      <c r="A3333" s="8634" t="s">
        <v>2182</v>
      </c>
      <c r="B3333" s="8634" t="s">
        <v>14</v>
      </c>
      <c r="C3333" s="8634" t="s">
        <v>5343</v>
      </c>
      <c r="D3333" s="8634" t="s">
        <v>5344</v>
      </c>
      <c r="E3333" s="8634" t="s">
        <v>5345</v>
      </c>
      <c r="F3333" s="8634" t="s">
        <v>2600</v>
      </c>
      <c r="G3333" s="8634" t="s">
        <v>24</v>
      </c>
      <c r="H3333" s="8634" t="s">
        <v>2697</v>
      </c>
      <c r="I3333" s="8634" t="s">
        <v>823</v>
      </c>
    </row>
    <row customHeight="1" ht="11.25">
      <c r="A3334" s="8634" t="s">
        <v>2182</v>
      </c>
      <c r="B3334" s="8634" t="s">
        <v>14</v>
      </c>
      <c r="C3334" s="8634" t="s">
        <v>7516</v>
      </c>
      <c r="D3334" s="8634" t="s">
        <v>7517</v>
      </c>
      <c r="E3334" s="8634" t="s">
        <v>7518</v>
      </c>
      <c r="F3334" s="8634" t="s">
        <v>2394</v>
      </c>
      <c r="G3334" s="8634" t="s">
        <v>7519</v>
      </c>
      <c r="H3334" s="8634" t="s">
        <v>24</v>
      </c>
      <c r="I3334" s="8634" t="s">
        <v>823</v>
      </c>
    </row>
    <row customHeight="1" ht="11.25">
      <c r="A3335" s="8634" t="s">
        <v>2182</v>
      </c>
      <c r="B3335" s="8634" t="s">
        <v>14</v>
      </c>
      <c r="C3335" s="8634" t="s">
        <v>5346</v>
      </c>
      <c r="D3335" s="8634" t="s">
        <v>5347</v>
      </c>
      <c r="E3335" s="8634" t="s">
        <v>5348</v>
      </c>
      <c r="F3335" s="8634" t="s">
        <v>2186</v>
      </c>
      <c r="G3335" s="8634" t="s">
        <v>24</v>
      </c>
      <c r="H3335" s="8634" t="s">
        <v>2187</v>
      </c>
      <c r="I3335" s="8634" t="s">
        <v>823</v>
      </c>
    </row>
    <row customHeight="1" ht="11.25">
      <c r="A3336" s="8634" t="s">
        <v>2182</v>
      </c>
      <c r="B3336" s="8634" t="s">
        <v>14</v>
      </c>
      <c r="C3336" s="8634" t="s">
        <v>8092</v>
      </c>
      <c r="D3336" s="8634" t="s">
        <v>8093</v>
      </c>
      <c r="E3336" s="8634" t="s">
        <v>8094</v>
      </c>
      <c r="F3336" s="8634" t="s">
        <v>2339</v>
      </c>
      <c r="G3336" s="8634" t="s">
        <v>24</v>
      </c>
      <c r="H3336" s="8634" t="s">
        <v>8095</v>
      </c>
      <c r="I3336" s="8634" t="s">
        <v>823</v>
      </c>
    </row>
    <row customHeight="1" ht="11.25">
      <c r="A3337" s="8634" t="s">
        <v>2182</v>
      </c>
      <c r="B3337" s="8634" t="s">
        <v>14</v>
      </c>
      <c r="C3337" s="8634" t="s">
        <v>7520</v>
      </c>
      <c r="D3337" s="8634" t="s">
        <v>7521</v>
      </c>
      <c r="E3337" s="8634" t="s">
        <v>7522</v>
      </c>
      <c r="F3337" s="8634" t="s">
        <v>2213</v>
      </c>
      <c r="G3337" s="8634" t="s">
        <v>24</v>
      </c>
      <c r="H3337" s="8634" t="s">
        <v>24</v>
      </c>
      <c r="I3337" s="8634" t="s">
        <v>823</v>
      </c>
    </row>
    <row customHeight="1" ht="11.25">
      <c r="A3338" s="8634" t="s">
        <v>2182</v>
      </c>
      <c r="B3338" s="8634" t="s">
        <v>14</v>
      </c>
      <c r="C3338" s="8634" t="s">
        <v>5353</v>
      </c>
      <c r="D3338" s="8634" t="s">
        <v>5354</v>
      </c>
      <c r="E3338" s="8634" t="s">
        <v>5355</v>
      </c>
      <c r="F3338" s="8634" t="s">
        <v>2600</v>
      </c>
      <c r="G3338" s="8634" t="s">
        <v>24</v>
      </c>
      <c r="H3338" s="8634" t="s">
        <v>2993</v>
      </c>
      <c r="I3338" s="8634" t="s">
        <v>823</v>
      </c>
    </row>
    <row customHeight="1" ht="11.25">
      <c r="A3339" s="8634" t="s">
        <v>2182</v>
      </c>
      <c r="B3339" s="8634" t="s">
        <v>14</v>
      </c>
      <c r="C3339" s="8634" t="s">
        <v>5360</v>
      </c>
      <c r="D3339" s="8634" t="s">
        <v>5361</v>
      </c>
      <c r="E3339" s="8634" t="s">
        <v>5362</v>
      </c>
      <c r="F3339" s="8634" t="s">
        <v>2334</v>
      </c>
      <c r="G3339" s="8634" t="s">
        <v>24</v>
      </c>
      <c r="H3339" s="8634" t="s">
        <v>5363</v>
      </c>
      <c r="I3339" s="8634" t="s">
        <v>823</v>
      </c>
    </row>
    <row customHeight="1" ht="11.25">
      <c r="A3340" s="8634" t="s">
        <v>2182</v>
      </c>
      <c r="B3340" s="8634" t="s">
        <v>14</v>
      </c>
      <c r="C3340" s="8634" t="s">
        <v>7523</v>
      </c>
      <c r="D3340" s="8634" t="s">
        <v>7524</v>
      </c>
      <c r="E3340" s="8634" t="s">
        <v>7525</v>
      </c>
      <c r="F3340" s="8634" t="s">
        <v>2213</v>
      </c>
      <c r="G3340" s="8634" t="s">
        <v>7526</v>
      </c>
      <c r="H3340" s="8634" t="s">
        <v>24</v>
      </c>
      <c r="I3340" s="8634" t="s">
        <v>823</v>
      </c>
    </row>
    <row customHeight="1" ht="11.25">
      <c r="A3341" s="8634" t="s">
        <v>2182</v>
      </c>
      <c r="B3341" s="8634" t="s">
        <v>14</v>
      </c>
      <c r="C3341" s="8634" t="s">
        <v>7527</v>
      </c>
      <c r="D3341" s="8634" t="s">
        <v>7528</v>
      </c>
      <c r="E3341" s="8634" t="s">
        <v>7529</v>
      </c>
      <c r="F3341" s="8634" t="s">
        <v>2213</v>
      </c>
      <c r="G3341" s="8634" t="s">
        <v>7530</v>
      </c>
      <c r="H3341" s="8634" t="s">
        <v>24</v>
      </c>
      <c r="I3341" s="8634" t="s">
        <v>823</v>
      </c>
    </row>
    <row customHeight="1" ht="11.25">
      <c r="A3342" s="8634" t="s">
        <v>2182</v>
      </c>
      <c r="B3342" s="8634" t="s">
        <v>14</v>
      </c>
      <c r="C3342" s="8634" t="s">
        <v>7531</v>
      </c>
      <c r="D3342" s="8634" t="s">
        <v>7532</v>
      </c>
      <c r="E3342" s="8634" t="s">
        <v>7533</v>
      </c>
      <c r="F3342" s="8634" t="s">
        <v>2492</v>
      </c>
      <c r="G3342" s="8634" t="s">
        <v>7534</v>
      </c>
      <c r="H3342" s="8634" t="s">
        <v>2870</v>
      </c>
      <c r="I3342" s="8634" t="s">
        <v>823</v>
      </c>
    </row>
    <row customHeight="1" ht="11.25">
      <c r="A3343" s="8634" t="s">
        <v>2182</v>
      </c>
      <c r="B3343" s="8634" t="s">
        <v>14</v>
      </c>
      <c r="C3343" s="8634" t="s">
        <v>7539</v>
      </c>
      <c r="D3343" s="8634" t="s">
        <v>7540</v>
      </c>
      <c r="E3343" s="8634" t="s">
        <v>7541</v>
      </c>
      <c r="F3343" s="8634" t="s">
        <v>5235</v>
      </c>
      <c r="G3343" s="8634" t="s">
        <v>7542</v>
      </c>
      <c r="H3343" s="8634" t="s">
        <v>24</v>
      </c>
      <c r="I3343" s="8634" t="s">
        <v>823</v>
      </c>
    </row>
    <row customHeight="1" ht="11.25">
      <c r="A3344" s="8634" t="s">
        <v>2182</v>
      </c>
      <c r="B3344" s="8634" t="s">
        <v>14</v>
      </c>
      <c r="C3344" s="8634" t="s">
        <v>7543</v>
      </c>
      <c r="D3344" s="8634" t="s">
        <v>7544</v>
      </c>
      <c r="E3344" s="8634" t="s">
        <v>7545</v>
      </c>
      <c r="F3344" s="8634" t="s">
        <v>2279</v>
      </c>
      <c r="G3344" s="8634" t="s">
        <v>24</v>
      </c>
      <c r="H3344" s="8634" t="s">
        <v>2773</v>
      </c>
      <c r="I3344" s="8634" t="s">
        <v>823</v>
      </c>
    </row>
    <row customHeight="1" ht="11.25">
      <c r="A3345" s="8634" t="s">
        <v>2182</v>
      </c>
      <c r="B3345" s="8634" t="s">
        <v>14</v>
      </c>
      <c r="C3345" s="8634" t="s">
        <v>8096</v>
      </c>
      <c r="D3345" s="8634" t="s">
        <v>8097</v>
      </c>
      <c r="E3345" s="8634" t="s">
        <v>8098</v>
      </c>
      <c r="F3345" s="8634" t="s">
        <v>3278</v>
      </c>
      <c r="G3345" s="8634" t="s">
        <v>24</v>
      </c>
      <c r="H3345" s="8634" t="s">
        <v>6850</v>
      </c>
      <c r="I3345" s="8634" t="s">
        <v>823</v>
      </c>
    </row>
    <row customHeight="1" ht="11.25">
      <c r="A3346" s="8634" t="s">
        <v>2182</v>
      </c>
      <c r="B3346" s="8634" t="s">
        <v>14</v>
      </c>
      <c r="C3346" s="8634" t="s">
        <v>5375</v>
      </c>
      <c r="D3346" s="8634" t="s">
        <v>5376</v>
      </c>
      <c r="E3346" s="8634" t="s">
        <v>5377</v>
      </c>
      <c r="F3346" s="8634" t="s">
        <v>3295</v>
      </c>
      <c r="G3346" s="8634" t="s">
        <v>5378</v>
      </c>
      <c r="H3346" s="8634" t="s">
        <v>24</v>
      </c>
      <c r="I3346" s="8634" t="s">
        <v>823</v>
      </c>
    </row>
    <row customHeight="1" ht="11.25">
      <c r="A3347" s="8634" t="s">
        <v>2182</v>
      </c>
      <c r="B3347" s="8634" t="s">
        <v>14</v>
      </c>
      <c r="C3347" s="8634" t="s">
        <v>5383</v>
      </c>
      <c r="D3347" s="8634" t="s">
        <v>5384</v>
      </c>
      <c r="E3347" s="8634" t="s">
        <v>5385</v>
      </c>
      <c r="F3347" s="8634" t="s">
        <v>5386</v>
      </c>
      <c r="G3347" s="8634" t="s">
        <v>3559</v>
      </c>
      <c r="H3347" s="8634" t="s">
        <v>24</v>
      </c>
      <c r="I3347" s="8634" t="s">
        <v>823</v>
      </c>
    </row>
    <row customHeight="1" ht="11.25">
      <c r="A3348" s="8634" t="s">
        <v>2182</v>
      </c>
      <c r="B3348" s="8634" t="s">
        <v>14</v>
      </c>
      <c r="C3348" s="8634" t="s">
        <v>5395</v>
      </c>
      <c r="D3348" s="8634" t="s">
        <v>5396</v>
      </c>
      <c r="E3348" s="8634" t="s">
        <v>5397</v>
      </c>
      <c r="F3348" s="8634" t="s">
        <v>2269</v>
      </c>
      <c r="G3348" s="8634" t="s">
        <v>5398</v>
      </c>
      <c r="H3348" s="8634" t="s">
        <v>24</v>
      </c>
      <c r="I3348" s="8634" t="s">
        <v>823</v>
      </c>
    </row>
    <row customHeight="1" ht="11.25">
      <c r="A3349" s="8634" t="s">
        <v>2182</v>
      </c>
      <c r="B3349" s="8634" t="s">
        <v>14</v>
      </c>
      <c r="C3349" s="8634" t="s">
        <v>7549</v>
      </c>
      <c r="D3349" s="8634" t="s">
        <v>7550</v>
      </c>
      <c r="E3349" s="8634" t="s">
        <v>7551</v>
      </c>
      <c r="F3349" s="8634" t="s">
        <v>5856</v>
      </c>
      <c r="G3349" s="8634" t="s">
        <v>7552</v>
      </c>
      <c r="H3349" s="8634" t="s">
        <v>24</v>
      </c>
      <c r="I3349" s="8634" t="s">
        <v>823</v>
      </c>
    </row>
    <row customHeight="1" ht="11.25">
      <c r="A3350" s="8634" t="s">
        <v>2182</v>
      </c>
      <c r="B3350" s="8634" t="s">
        <v>14</v>
      </c>
      <c r="C3350" s="8634" t="s">
        <v>5422</v>
      </c>
      <c r="D3350" s="8634" t="s">
        <v>5423</v>
      </c>
      <c r="E3350" s="8634" t="s">
        <v>5424</v>
      </c>
      <c r="F3350" s="8634" t="s">
        <v>2721</v>
      </c>
      <c r="G3350" s="8634" t="s">
        <v>24</v>
      </c>
      <c r="H3350" s="8634" t="s">
        <v>2187</v>
      </c>
      <c r="I3350" s="8634" t="s">
        <v>823</v>
      </c>
    </row>
    <row customHeight="1" ht="11.25">
      <c r="A3351" s="8634" t="s">
        <v>2182</v>
      </c>
      <c r="B3351" s="8634" t="s">
        <v>14</v>
      </c>
      <c r="C3351" s="8634" t="s">
        <v>7557</v>
      </c>
      <c r="D3351" s="8634" t="s">
        <v>7558</v>
      </c>
      <c r="E3351" s="8634" t="s">
        <v>7559</v>
      </c>
      <c r="F3351" s="8634" t="s">
        <v>2721</v>
      </c>
      <c r="G3351" s="8634" t="s">
        <v>7560</v>
      </c>
      <c r="H3351" s="8634" t="s">
        <v>2187</v>
      </c>
      <c r="I3351" s="8634" t="s">
        <v>823</v>
      </c>
    </row>
    <row customHeight="1" ht="11.25">
      <c r="A3352" s="8634" t="s">
        <v>2182</v>
      </c>
      <c r="B3352" s="8634" t="s">
        <v>14</v>
      </c>
      <c r="C3352" s="8634" t="s">
        <v>7561</v>
      </c>
      <c r="D3352" s="8634" t="s">
        <v>7562</v>
      </c>
      <c r="E3352" s="8634" t="s">
        <v>7563</v>
      </c>
      <c r="F3352" s="8634" t="s">
        <v>2322</v>
      </c>
      <c r="G3352" s="8634" t="s">
        <v>7564</v>
      </c>
      <c r="H3352" s="8634" t="s">
        <v>24</v>
      </c>
      <c r="I3352" s="8634" t="s">
        <v>823</v>
      </c>
    </row>
    <row customHeight="1" ht="11.25">
      <c r="A3353" s="8634" t="s">
        <v>2182</v>
      </c>
      <c r="B3353" s="8634" t="s">
        <v>14</v>
      </c>
      <c r="C3353" s="8634" t="s">
        <v>5433</v>
      </c>
      <c r="D3353" s="8634" t="s">
        <v>5434</v>
      </c>
      <c r="E3353" s="8634" t="s">
        <v>5435</v>
      </c>
      <c r="F3353" s="8634" t="s">
        <v>2213</v>
      </c>
      <c r="G3353" s="8634" t="s">
        <v>5436</v>
      </c>
      <c r="H3353" s="8634" t="s">
        <v>24</v>
      </c>
      <c r="I3353" s="8634" t="s">
        <v>823</v>
      </c>
    </row>
    <row customHeight="1" ht="11.25">
      <c r="A3354" s="8634" t="s">
        <v>2182</v>
      </c>
      <c r="B3354" s="8634" t="s">
        <v>14</v>
      </c>
      <c r="C3354" s="8634" t="s">
        <v>8099</v>
      </c>
      <c r="D3354" s="8634" t="s">
        <v>8100</v>
      </c>
      <c r="E3354" s="8634" t="s">
        <v>8101</v>
      </c>
      <c r="F3354" s="8634" t="s">
        <v>2727</v>
      </c>
      <c r="G3354" s="8634" t="s">
        <v>4833</v>
      </c>
      <c r="H3354" s="8634" t="s">
        <v>2187</v>
      </c>
      <c r="I3354" s="8634" t="s">
        <v>823</v>
      </c>
    </row>
    <row customHeight="1" ht="11.25">
      <c r="A3355" s="8634" t="s">
        <v>2182</v>
      </c>
      <c r="B3355" s="8634" t="s">
        <v>14</v>
      </c>
      <c r="C3355" s="8634" t="s">
        <v>7565</v>
      </c>
      <c r="D3355" s="8634" t="s">
        <v>7566</v>
      </c>
      <c r="E3355" s="8634" t="s">
        <v>7567</v>
      </c>
      <c r="F3355" s="8634" t="s">
        <v>2213</v>
      </c>
      <c r="G3355" s="8634" t="s">
        <v>24</v>
      </c>
      <c r="H3355" s="8634" t="s">
        <v>24</v>
      </c>
      <c r="I3355" s="8634" t="s">
        <v>823</v>
      </c>
    </row>
    <row customHeight="1" ht="11.25">
      <c r="A3356" s="8634" t="s">
        <v>2182</v>
      </c>
      <c r="B3356" s="8634" t="s">
        <v>14</v>
      </c>
      <c r="C3356" s="8634" t="s">
        <v>5446</v>
      </c>
      <c r="D3356" s="8634" t="s">
        <v>5447</v>
      </c>
      <c r="E3356" s="8634" t="s">
        <v>5448</v>
      </c>
      <c r="F3356" s="8634" t="s">
        <v>2398</v>
      </c>
      <c r="G3356" s="8634" t="s">
        <v>5449</v>
      </c>
      <c r="H3356" s="8634" t="s">
        <v>24</v>
      </c>
      <c r="I3356" s="8634" t="s">
        <v>823</v>
      </c>
    </row>
    <row customHeight="1" ht="11.25">
      <c r="A3357" s="8634" t="s">
        <v>2182</v>
      </c>
      <c r="B3357" s="8634" t="s">
        <v>14</v>
      </c>
      <c r="C3357" s="8634" t="s">
        <v>5453</v>
      </c>
      <c r="D3357" s="8634" t="s">
        <v>5451</v>
      </c>
      <c r="E3357" s="8634" t="s">
        <v>5454</v>
      </c>
      <c r="F3357" s="8634" t="s">
        <v>3011</v>
      </c>
      <c r="G3357" s="8634" t="s">
        <v>5455</v>
      </c>
      <c r="H3357" s="8634" t="s">
        <v>24</v>
      </c>
      <c r="I3357" s="8634" t="s">
        <v>823</v>
      </c>
    </row>
    <row customHeight="1" ht="11.25">
      <c r="A3358" s="8634" t="s">
        <v>2182</v>
      </c>
      <c r="B3358" s="8634" t="s">
        <v>14</v>
      </c>
      <c r="C3358" s="8634" t="s">
        <v>5460</v>
      </c>
      <c r="D3358" s="8634" t="s">
        <v>5461</v>
      </c>
      <c r="E3358" s="8634" t="s">
        <v>5462</v>
      </c>
      <c r="F3358" s="8634" t="s">
        <v>2976</v>
      </c>
      <c r="G3358" s="8634" t="s">
        <v>24</v>
      </c>
      <c r="H3358" s="8634" t="s">
        <v>2697</v>
      </c>
      <c r="I3358" s="8634" t="s">
        <v>823</v>
      </c>
    </row>
    <row customHeight="1" ht="11.25">
      <c r="A3359" s="8634" t="s">
        <v>2182</v>
      </c>
      <c r="B3359" s="8634" t="s">
        <v>14</v>
      </c>
      <c r="C3359" s="8634" t="s">
        <v>5472</v>
      </c>
      <c r="D3359" s="8634" t="s">
        <v>5473</v>
      </c>
      <c r="E3359" s="8634" t="s">
        <v>5474</v>
      </c>
      <c r="F3359" s="8634" t="s">
        <v>2613</v>
      </c>
      <c r="G3359" s="8634" t="s">
        <v>5475</v>
      </c>
      <c r="H3359" s="8634" t="s">
        <v>24</v>
      </c>
      <c r="I3359" s="8634" t="s">
        <v>823</v>
      </c>
    </row>
    <row customHeight="1" ht="11.25">
      <c r="A3360" s="8634" t="s">
        <v>2182</v>
      </c>
      <c r="B3360" s="8634" t="s">
        <v>14</v>
      </c>
      <c r="C3360" s="8634" t="s">
        <v>5486</v>
      </c>
      <c r="D3360" s="8634" t="s">
        <v>5487</v>
      </c>
      <c r="E3360" s="8634" t="s">
        <v>5488</v>
      </c>
      <c r="F3360" s="8634" t="s">
        <v>3437</v>
      </c>
      <c r="G3360" s="8634" t="s">
        <v>24</v>
      </c>
      <c r="H3360" s="8634" t="s">
        <v>2187</v>
      </c>
      <c r="I3360" s="8634" t="s">
        <v>823</v>
      </c>
    </row>
    <row customHeight="1" ht="11.25">
      <c r="A3361" s="8634" t="s">
        <v>2182</v>
      </c>
      <c r="B3361" s="8634" t="s">
        <v>14</v>
      </c>
      <c r="C3361" s="8634" t="s">
        <v>7568</v>
      </c>
      <c r="D3361" s="8634" t="s">
        <v>7569</v>
      </c>
      <c r="E3361" s="8634" t="s">
        <v>7570</v>
      </c>
      <c r="F3361" s="8634" t="s">
        <v>2245</v>
      </c>
      <c r="G3361" s="8634" t="s">
        <v>24</v>
      </c>
      <c r="H3361" s="8634" t="s">
        <v>24</v>
      </c>
      <c r="I3361" s="8634" t="s">
        <v>823</v>
      </c>
    </row>
    <row customHeight="1" ht="11.25">
      <c r="A3362" s="8634" t="s">
        <v>2182</v>
      </c>
      <c r="B3362" s="8634" t="s">
        <v>14</v>
      </c>
      <c r="C3362" s="8634" t="s">
        <v>8102</v>
      </c>
      <c r="D3362" s="8634" t="s">
        <v>8103</v>
      </c>
      <c r="E3362" s="8634" t="s">
        <v>8104</v>
      </c>
      <c r="F3362" s="8634" t="s">
        <v>2245</v>
      </c>
      <c r="G3362" s="8634" t="s">
        <v>8105</v>
      </c>
      <c r="H3362" s="8634" t="s">
        <v>24</v>
      </c>
      <c r="I3362" s="8634" t="s">
        <v>823</v>
      </c>
    </row>
    <row customHeight="1" ht="11.25">
      <c r="A3363" s="8634" t="s">
        <v>2182</v>
      </c>
      <c r="B3363" s="8634" t="s">
        <v>14</v>
      </c>
      <c r="C3363" s="8634" t="s">
        <v>8106</v>
      </c>
      <c r="D3363" s="8634" t="s">
        <v>8107</v>
      </c>
      <c r="E3363" s="8634" t="s">
        <v>8108</v>
      </c>
      <c r="F3363" s="8634" t="s">
        <v>8109</v>
      </c>
      <c r="G3363" s="8634" t="s">
        <v>24</v>
      </c>
      <c r="H3363" s="8634" t="s">
        <v>24</v>
      </c>
      <c r="I3363" s="8634" t="s">
        <v>823</v>
      </c>
    </row>
    <row customHeight="1" ht="11.25">
      <c r="A3364" s="8634" t="s">
        <v>2182</v>
      </c>
      <c r="B3364" s="8634" t="s">
        <v>14</v>
      </c>
      <c r="C3364" s="8634" t="s">
        <v>7575</v>
      </c>
      <c r="D3364" s="8634" t="s">
        <v>7576</v>
      </c>
      <c r="E3364" s="8634" t="s">
        <v>7577</v>
      </c>
      <c r="F3364" s="8634" t="s">
        <v>2492</v>
      </c>
      <c r="G3364" s="8634" t="s">
        <v>7578</v>
      </c>
      <c r="H3364" s="8634" t="s">
        <v>24</v>
      </c>
      <c r="I3364" s="8634" t="s">
        <v>823</v>
      </c>
    </row>
    <row customHeight="1" ht="11.25">
      <c r="A3365" s="8634" t="s">
        <v>2182</v>
      </c>
      <c r="B3365" s="8634" t="s">
        <v>14</v>
      </c>
      <c r="C3365" s="8634" t="s">
        <v>8110</v>
      </c>
      <c r="D3365" s="8634" t="s">
        <v>8111</v>
      </c>
      <c r="E3365" s="8634" t="s">
        <v>8112</v>
      </c>
      <c r="F3365" s="8634" t="s">
        <v>2727</v>
      </c>
      <c r="G3365" s="8634" t="s">
        <v>8113</v>
      </c>
      <c r="H3365" s="8634" t="s">
        <v>24</v>
      </c>
      <c r="I3365" s="8634" t="s">
        <v>823</v>
      </c>
    </row>
    <row customHeight="1" ht="11.25">
      <c r="A3366" s="8634" t="s">
        <v>2182</v>
      </c>
      <c r="B3366" s="8634" t="s">
        <v>14</v>
      </c>
      <c r="C3366" s="8634" t="s">
        <v>6373</v>
      </c>
      <c r="D3366" s="8634" t="s">
        <v>6374</v>
      </c>
      <c r="E3366" s="8634" t="s">
        <v>6375</v>
      </c>
      <c r="F3366" s="8634" t="s">
        <v>2411</v>
      </c>
      <c r="G3366" s="8634" t="s">
        <v>24</v>
      </c>
      <c r="H3366" s="8634" t="s">
        <v>24</v>
      </c>
      <c r="I3366" s="8634" t="s">
        <v>823</v>
      </c>
    </row>
    <row customHeight="1" ht="11.25">
      <c r="A3367" s="8634" t="s">
        <v>2182</v>
      </c>
      <c r="B3367" s="8634" t="s">
        <v>14</v>
      </c>
      <c r="C3367" s="8634" t="s">
        <v>8114</v>
      </c>
      <c r="D3367" s="8634" t="s">
        <v>8115</v>
      </c>
      <c r="E3367" s="8634" t="s">
        <v>8116</v>
      </c>
      <c r="F3367" s="8634" t="s">
        <v>2696</v>
      </c>
      <c r="G3367" s="8634" t="s">
        <v>7998</v>
      </c>
      <c r="H3367" s="8634" t="s">
        <v>24</v>
      </c>
      <c r="I3367" s="8634" t="s">
        <v>823</v>
      </c>
    </row>
    <row customHeight="1" ht="11.25">
      <c r="A3368" s="8634" t="s">
        <v>2182</v>
      </c>
      <c r="B3368" s="8634" t="s">
        <v>14</v>
      </c>
      <c r="C3368" s="8634" t="s">
        <v>7582</v>
      </c>
      <c r="D3368" s="8634" t="s">
        <v>7583</v>
      </c>
      <c r="E3368" s="8634" t="s">
        <v>7584</v>
      </c>
      <c r="F3368" s="8634" t="s">
        <v>2186</v>
      </c>
      <c r="G3368" s="8634" t="s">
        <v>7585</v>
      </c>
      <c r="H3368" s="8634" t="s">
        <v>2773</v>
      </c>
      <c r="I3368" s="8634" t="s">
        <v>823</v>
      </c>
    </row>
    <row customHeight="1" ht="11.25">
      <c r="A3369" s="8634" t="s">
        <v>2182</v>
      </c>
      <c r="B3369" s="8634" t="s">
        <v>14</v>
      </c>
      <c r="C3369" s="8634" t="s">
        <v>5492</v>
      </c>
      <c r="D3369" s="8634" t="s">
        <v>5493</v>
      </c>
      <c r="E3369" s="8634" t="s">
        <v>5494</v>
      </c>
      <c r="F3369" s="8634" t="s">
        <v>2274</v>
      </c>
      <c r="G3369" s="8634" t="s">
        <v>24</v>
      </c>
      <c r="H3369" s="8634" t="s">
        <v>5495</v>
      </c>
      <c r="I3369" s="8634" t="s">
        <v>823</v>
      </c>
    </row>
    <row customHeight="1" ht="11.25">
      <c r="A3370" s="8634" t="s">
        <v>2182</v>
      </c>
      <c r="B3370" s="8634" t="s">
        <v>14</v>
      </c>
      <c r="C3370" s="8634" t="s">
        <v>8117</v>
      </c>
      <c r="D3370" s="8634" t="s">
        <v>8118</v>
      </c>
      <c r="E3370" s="8634" t="s">
        <v>8119</v>
      </c>
      <c r="F3370" s="8634" t="s">
        <v>2322</v>
      </c>
      <c r="G3370" s="8634" t="s">
        <v>24</v>
      </c>
      <c r="H3370" s="8634" t="s">
        <v>24</v>
      </c>
      <c r="I3370" s="8634" t="s">
        <v>823</v>
      </c>
    </row>
    <row customHeight="1" ht="11.25">
      <c r="A3371" s="8634" t="s">
        <v>2182</v>
      </c>
      <c r="B3371" s="8634" t="s">
        <v>14</v>
      </c>
      <c r="C3371" s="8634" t="s">
        <v>5503</v>
      </c>
      <c r="D3371" s="8634" t="s">
        <v>5504</v>
      </c>
      <c r="E3371" s="8634" t="s">
        <v>5505</v>
      </c>
      <c r="F3371" s="8634" t="s">
        <v>2228</v>
      </c>
      <c r="G3371" s="8634" t="s">
        <v>24</v>
      </c>
      <c r="H3371" s="8634" t="s">
        <v>24</v>
      </c>
      <c r="I3371" s="8634" t="s">
        <v>823</v>
      </c>
    </row>
    <row customHeight="1" ht="11.25">
      <c r="A3372" s="8634" t="s">
        <v>2182</v>
      </c>
      <c r="B3372" s="8634" t="s">
        <v>14</v>
      </c>
      <c r="C3372" s="8634" t="s">
        <v>7586</v>
      </c>
      <c r="D3372" s="8634" t="s">
        <v>7587</v>
      </c>
      <c r="E3372" s="8634" t="s">
        <v>7588</v>
      </c>
      <c r="F3372" s="8634" t="s">
        <v>2228</v>
      </c>
      <c r="G3372" s="8634" t="s">
        <v>7589</v>
      </c>
      <c r="H3372" s="8634" t="s">
        <v>7590</v>
      </c>
      <c r="I3372" s="8634" t="s">
        <v>823</v>
      </c>
    </row>
    <row customHeight="1" ht="11.25">
      <c r="A3373" s="8634" t="s">
        <v>2182</v>
      </c>
      <c r="B3373" s="8634" t="s">
        <v>14</v>
      </c>
      <c r="C3373" s="8634" t="s">
        <v>8120</v>
      </c>
      <c r="D3373" s="8634" t="s">
        <v>8121</v>
      </c>
      <c r="E3373" s="8634" t="s">
        <v>8122</v>
      </c>
      <c r="F3373" s="8634" t="s">
        <v>2376</v>
      </c>
      <c r="G3373" s="8634" t="s">
        <v>2989</v>
      </c>
      <c r="H3373" s="8634" t="s">
        <v>8123</v>
      </c>
      <c r="I3373" s="8634" t="s">
        <v>823</v>
      </c>
    </row>
    <row customHeight="1" ht="11.25">
      <c r="A3374" s="8634" t="s">
        <v>2182</v>
      </c>
      <c r="B3374" s="8634" t="s">
        <v>14</v>
      </c>
      <c r="C3374" s="8634" t="s">
        <v>5517</v>
      </c>
      <c r="D3374" s="8634" t="s">
        <v>5518</v>
      </c>
      <c r="E3374" s="8634" t="s">
        <v>5519</v>
      </c>
      <c r="F3374" s="8634" t="s">
        <v>2269</v>
      </c>
      <c r="G3374" s="8634" t="s">
        <v>5520</v>
      </c>
      <c r="H3374" s="8634" t="s">
        <v>24</v>
      </c>
      <c r="I3374" s="8634" t="s">
        <v>823</v>
      </c>
    </row>
    <row customHeight="1" ht="11.25">
      <c r="A3375" s="8634" t="s">
        <v>2182</v>
      </c>
      <c r="B3375" s="8634" t="s">
        <v>14</v>
      </c>
      <c r="C3375" s="8634" t="s">
        <v>5532</v>
      </c>
      <c r="D3375" s="8634" t="s">
        <v>5533</v>
      </c>
      <c r="E3375" s="8634" t="s">
        <v>5534</v>
      </c>
      <c r="F3375" s="8634" t="s">
        <v>2600</v>
      </c>
      <c r="G3375" s="8634" t="s">
        <v>24</v>
      </c>
      <c r="H3375" s="8634" t="s">
        <v>24</v>
      </c>
      <c r="I3375" s="8634" t="s">
        <v>823</v>
      </c>
    </row>
    <row customHeight="1" ht="11.25">
      <c r="A3376" s="8634" t="s">
        <v>2182</v>
      </c>
      <c r="B3376" s="8634" t="s">
        <v>14</v>
      </c>
      <c r="C3376" s="8634" t="s">
        <v>5535</v>
      </c>
      <c r="D3376" s="8634" t="s">
        <v>5533</v>
      </c>
      <c r="E3376" s="8634" t="s">
        <v>5536</v>
      </c>
      <c r="F3376" s="8634" t="s">
        <v>2411</v>
      </c>
      <c r="G3376" s="8634" t="s">
        <v>5537</v>
      </c>
      <c r="H3376" s="8634" t="s">
        <v>24</v>
      </c>
      <c r="I3376" s="8634" t="s">
        <v>823</v>
      </c>
    </row>
    <row customHeight="1" ht="11.25">
      <c r="A3377" s="8634" t="s">
        <v>2182</v>
      </c>
      <c r="B3377" s="8634" t="s">
        <v>14</v>
      </c>
      <c r="C3377" s="8634" t="s">
        <v>7591</v>
      </c>
      <c r="D3377" s="8634" t="s">
        <v>7592</v>
      </c>
      <c r="E3377" s="8634" t="s">
        <v>7593</v>
      </c>
      <c r="F3377" s="8634" t="s">
        <v>2344</v>
      </c>
      <c r="G3377" s="8634" t="s">
        <v>7594</v>
      </c>
      <c r="H3377" s="8634" t="s">
        <v>24</v>
      </c>
      <c r="I3377" s="8634" t="s">
        <v>823</v>
      </c>
    </row>
    <row customHeight="1" ht="11.25">
      <c r="A3378" s="8634" t="s">
        <v>2182</v>
      </c>
      <c r="B3378" s="8634" t="s">
        <v>14</v>
      </c>
      <c r="C3378" s="8634" t="s">
        <v>7595</v>
      </c>
      <c r="D3378" s="8634" t="s">
        <v>7596</v>
      </c>
      <c r="E3378" s="8634" t="s">
        <v>7597</v>
      </c>
      <c r="F3378" s="8634" t="s">
        <v>2447</v>
      </c>
      <c r="G3378" s="8634" t="s">
        <v>7598</v>
      </c>
      <c r="H3378" s="8634" t="s">
        <v>24</v>
      </c>
      <c r="I3378" s="8634" t="s">
        <v>823</v>
      </c>
    </row>
    <row customHeight="1" ht="11.25">
      <c r="A3379" s="8634" t="s">
        <v>2182</v>
      </c>
      <c r="B3379" s="8634" t="s">
        <v>14</v>
      </c>
      <c r="C3379" s="8634" t="s">
        <v>5550</v>
      </c>
      <c r="D3379" s="8634" t="s">
        <v>5551</v>
      </c>
      <c r="E3379" s="8634" t="s">
        <v>5552</v>
      </c>
      <c r="F3379" s="8634" t="s">
        <v>2398</v>
      </c>
      <c r="G3379" s="8634" t="s">
        <v>5553</v>
      </c>
      <c r="H3379" s="8634" t="s">
        <v>24</v>
      </c>
      <c r="I3379" s="8634" t="s">
        <v>823</v>
      </c>
    </row>
    <row customHeight="1" ht="11.25">
      <c r="A3380" s="8634" t="s">
        <v>2182</v>
      </c>
      <c r="B3380" s="8634" t="s">
        <v>14</v>
      </c>
      <c r="C3380" s="8634" t="s">
        <v>5554</v>
      </c>
      <c r="D3380" s="8634" t="s">
        <v>5555</v>
      </c>
      <c r="E3380" s="8634" t="s">
        <v>4402</v>
      </c>
      <c r="F3380" s="8634" t="s">
        <v>2186</v>
      </c>
      <c r="G3380" s="8634" t="s">
        <v>24</v>
      </c>
      <c r="H3380" s="8634" t="s">
        <v>24</v>
      </c>
      <c r="I3380" s="8634" t="s">
        <v>823</v>
      </c>
    </row>
    <row customHeight="1" ht="11.25">
      <c r="A3381" s="8634" t="s">
        <v>2182</v>
      </c>
      <c r="B3381" s="8634" t="s">
        <v>14</v>
      </c>
      <c r="C3381" s="8634" t="s">
        <v>8124</v>
      </c>
      <c r="D3381" s="8634" t="s">
        <v>8125</v>
      </c>
      <c r="E3381" s="8634" t="s">
        <v>8126</v>
      </c>
      <c r="F3381" s="8634" t="s">
        <v>7866</v>
      </c>
      <c r="G3381" s="8634" t="s">
        <v>8127</v>
      </c>
      <c r="H3381" s="8634" t="s">
        <v>24</v>
      </c>
      <c r="I3381" s="8634" t="s">
        <v>823</v>
      </c>
    </row>
    <row customHeight="1" ht="11.25">
      <c r="A3382" s="8634" t="s">
        <v>2182</v>
      </c>
      <c r="B3382" s="8634" t="s">
        <v>14</v>
      </c>
      <c r="C3382" s="8634" t="s">
        <v>8128</v>
      </c>
      <c r="D3382" s="8634" t="s">
        <v>8129</v>
      </c>
      <c r="E3382" s="8634" t="s">
        <v>8130</v>
      </c>
      <c r="F3382" s="8634" t="s">
        <v>2218</v>
      </c>
      <c r="G3382" s="8634" t="s">
        <v>8131</v>
      </c>
      <c r="H3382" s="8634" t="s">
        <v>24</v>
      </c>
      <c r="I3382" s="8634" t="s">
        <v>823</v>
      </c>
    </row>
    <row customHeight="1" ht="11.25">
      <c r="A3383" s="8634" t="s">
        <v>2182</v>
      </c>
      <c r="B3383" s="8634" t="s">
        <v>14</v>
      </c>
      <c r="C3383" s="8634" t="s">
        <v>8132</v>
      </c>
      <c r="D3383" s="8634" t="s">
        <v>8133</v>
      </c>
      <c r="E3383" s="8634" t="s">
        <v>8134</v>
      </c>
      <c r="F3383" s="8634" t="s">
        <v>2447</v>
      </c>
      <c r="G3383" s="8634" t="s">
        <v>24</v>
      </c>
      <c r="H3383" s="8634" t="s">
        <v>24</v>
      </c>
      <c r="I3383" s="8634" t="s">
        <v>823</v>
      </c>
    </row>
    <row customHeight="1" ht="11.25">
      <c r="A3384" s="8634" t="s">
        <v>2182</v>
      </c>
      <c r="B3384" s="8634" t="s">
        <v>14</v>
      </c>
      <c r="C3384" s="8634" t="s">
        <v>8135</v>
      </c>
      <c r="D3384" s="8634" t="s">
        <v>8136</v>
      </c>
      <c r="E3384" s="8634" t="s">
        <v>8137</v>
      </c>
      <c r="F3384" s="8634" t="s">
        <v>2447</v>
      </c>
      <c r="G3384" s="8634" t="s">
        <v>24</v>
      </c>
      <c r="H3384" s="8634" t="s">
        <v>24</v>
      </c>
      <c r="I3384" s="8634" t="s">
        <v>823</v>
      </c>
    </row>
    <row customHeight="1" ht="11.25">
      <c r="A3385" s="8634" t="s">
        <v>2182</v>
      </c>
      <c r="B3385" s="8634" t="s">
        <v>14</v>
      </c>
      <c r="C3385" s="8634" t="s">
        <v>7603</v>
      </c>
      <c r="D3385" s="8634" t="s">
        <v>7604</v>
      </c>
      <c r="E3385" s="8634" t="s">
        <v>7605</v>
      </c>
      <c r="F3385" s="8634" t="s">
        <v>2322</v>
      </c>
      <c r="G3385" s="8634" t="s">
        <v>24</v>
      </c>
      <c r="H3385" s="8634" t="s">
        <v>2773</v>
      </c>
      <c r="I3385" s="8634" t="s">
        <v>823</v>
      </c>
    </row>
    <row customHeight="1" ht="11.25">
      <c r="A3386" s="8634" t="s">
        <v>2182</v>
      </c>
      <c r="B3386" s="8634" t="s">
        <v>14</v>
      </c>
      <c r="C3386" s="8634" t="s">
        <v>7606</v>
      </c>
      <c r="D3386" s="8634" t="s">
        <v>7607</v>
      </c>
      <c r="E3386" s="8634" t="s">
        <v>7608</v>
      </c>
      <c r="F3386" s="8634" t="s">
        <v>3007</v>
      </c>
      <c r="G3386" s="8634" t="s">
        <v>7609</v>
      </c>
      <c r="H3386" s="8634" t="s">
        <v>24</v>
      </c>
      <c r="I3386" s="8634" t="s">
        <v>823</v>
      </c>
    </row>
    <row customHeight="1" ht="11.25">
      <c r="A3387" s="8634" t="s">
        <v>2182</v>
      </c>
      <c r="B3387" s="8634" t="s">
        <v>14</v>
      </c>
      <c r="C3387" s="8634" t="s">
        <v>7610</v>
      </c>
      <c r="D3387" s="8634" t="s">
        <v>7611</v>
      </c>
      <c r="E3387" s="8634" t="s">
        <v>7612</v>
      </c>
      <c r="F3387" s="8634" t="s">
        <v>6039</v>
      </c>
      <c r="G3387" s="8634" t="s">
        <v>7613</v>
      </c>
      <c r="H3387" s="8634" t="s">
        <v>24</v>
      </c>
      <c r="I3387" s="8634" t="s">
        <v>823</v>
      </c>
    </row>
    <row customHeight="1" ht="11.25">
      <c r="A3388" s="8634" t="s">
        <v>2182</v>
      </c>
      <c r="B3388" s="8634" t="s">
        <v>14</v>
      </c>
      <c r="C3388" s="8634" t="s">
        <v>7614</v>
      </c>
      <c r="D3388" s="8634" t="s">
        <v>7615</v>
      </c>
      <c r="E3388" s="8634" t="s">
        <v>7616</v>
      </c>
      <c r="F3388" s="8634" t="s">
        <v>2334</v>
      </c>
      <c r="G3388" s="8634" t="s">
        <v>24</v>
      </c>
      <c r="H3388" s="8634" t="s">
        <v>24</v>
      </c>
      <c r="I3388" s="8634" t="s">
        <v>823</v>
      </c>
    </row>
    <row customHeight="1" ht="11.25">
      <c r="A3389" s="8634" t="s">
        <v>2182</v>
      </c>
      <c r="B3389" s="8634" t="s">
        <v>14</v>
      </c>
      <c r="C3389" s="8634" t="s">
        <v>7617</v>
      </c>
      <c r="D3389" s="8634" t="s">
        <v>7618</v>
      </c>
      <c r="E3389" s="8634" t="s">
        <v>7619</v>
      </c>
      <c r="F3389" s="8634" t="s">
        <v>2964</v>
      </c>
      <c r="G3389" s="8634" t="s">
        <v>7620</v>
      </c>
      <c r="H3389" s="8634" t="s">
        <v>24</v>
      </c>
      <c r="I3389" s="8634" t="s">
        <v>823</v>
      </c>
    </row>
    <row customHeight="1" ht="11.25">
      <c r="A3390" s="8634" t="s">
        <v>2182</v>
      </c>
      <c r="B3390" s="8634" t="s">
        <v>14</v>
      </c>
      <c r="C3390" s="8634" t="s">
        <v>5571</v>
      </c>
      <c r="D3390" s="8634" t="s">
        <v>5572</v>
      </c>
      <c r="E3390" s="8634" t="s">
        <v>5573</v>
      </c>
      <c r="F3390" s="8634" t="s">
        <v>2411</v>
      </c>
      <c r="G3390" s="8634" t="s">
        <v>24</v>
      </c>
      <c r="H3390" s="8634" t="s">
        <v>24</v>
      </c>
      <c r="I3390" s="8634" t="s">
        <v>823</v>
      </c>
    </row>
    <row customHeight="1" ht="11.25">
      <c r="A3391" s="8634" t="s">
        <v>2182</v>
      </c>
      <c r="B3391" s="8634" t="s">
        <v>14</v>
      </c>
      <c r="C3391" s="8634" t="s">
        <v>7621</v>
      </c>
      <c r="D3391" s="8634" t="s">
        <v>7622</v>
      </c>
      <c r="E3391" s="8634" t="s">
        <v>7623</v>
      </c>
      <c r="F3391" s="8634" t="s">
        <v>2339</v>
      </c>
      <c r="G3391" s="8634" t="s">
        <v>7624</v>
      </c>
      <c r="H3391" s="8634" t="s">
        <v>24</v>
      </c>
      <c r="I3391" s="8634" t="s">
        <v>823</v>
      </c>
    </row>
    <row customHeight="1" ht="11.25">
      <c r="A3392" s="8634" t="s">
        <v>2182</v>
      </c>
      <c r="B3392" s="8634" t="s">
        <v>14</v>
      </c>
      <c r="C3392" s="8634" t="s">
        <v>7625</v>
      </c>
      <c r="D3392" s="8634" t="s">
        <v>7626</v>
      </c>
      <c r="E3392" s="8634" t="s">
        <v>7627</v>
      </c>
      <c r="F3392" s="8634" t="s">
        <v>2186</v>
      </c>
      <c r="G3392" s="8634" t="s">
        <v>24</v>
      </c>
      <c r="H3392" s="8634" t="s">
        <v>24</v>
      </c>
      <c r="I3392" s="8634" t="s">
        <v>823</v>
      </c>
    </row>
    <row customHeight="1" ht="11.25">
      <c r="A3393" s="8634" t="s">
        <v>2182</v>
      </c>
      <c r="B3393" s="8634" t="s">
        <v>14</v>
      </c>
      <c r="C3393" s="8634" t="s">
        <v>8138</v>
      </c>
      <c r="D3393" s="8634" t="s">
        <v>8139</v>
      </c>
      <c r="E3393" s="8634" t="s">
        <v>8140</v>
      </c>
      <c r="F3393" s="8634" t="s">
        <v>2854</v>
      </c>
      <c r="G3393" s="8634" t="s">
        <v>24</v>
      </c>
      <c r="H3393" s="8634" t="s">
        <v>8141</v>
      </c>
      <c r="I3393" s="8634" t="s">
        <v>823</v>
      </c>
    </row>
    <row customHeight="1" ht="11.25">
      <c r="A3394" s="8634" t="s">
        <v>2182</v>
      </c>
      <c r="B3394" s="8634" t="s">
        <v>14</v>
      </c>
      <c r="C3394" s="8634" t="s">
        <v>7634</v>
      </c>
      <c r="D3394" s="8634" t="s">
        <v>7635</v>
      </c>
      <c r="E3394" s="8634" t="s">
        <v>7636</v>
      </c>
      <c r="F3394" s="8634" t="s">
        <v>2626</v>
      </c>
      <c r="G3394" s="8634" t="s">
        <v>7637</v>
      </c>
      <c r="H3394" s="8634" t="s">
        <v>24</v>
      </c>
      <c r="I3394" s="8634" t="s">
        <v>823</v>
      </c>
    </row>
    <row customHeight="1" ht="11.25">
      <c r="A3395" s="8634" t="s">
        <v>2182</v>
      </c>
      <c r="B3395" s="8634" t="s">
        <v>14</v>
      </c>
      <c r="C3395" s="8634" t="s">
        <v>7638</v>
      </c>
      <c r="D3395" s="8634" t="s">
        <v>7639</v>
      </c>
      <c r="E3395" s="8634" t="s">
        <v>7640</v>
      </c>
      <c r="F3395" s="8634" t="s">
        <v>2213</v>
      </c>
      <c r="G3395" s="8634" t="s">
        <v>24</v>
      </c>
      <c r="H3395" s="8634" t="s">
        <v>7641</v>
      </c>
      <c r="I3395" s="8634" t="s">
        <v>823</v>
      </c>
    </row>
    <row customHeight="1" ht="11.25">
      <c r="A3396" s="8634" t="s">
        <v>2182</v>
      </c>
      <c r="B3396" s="8634" t="s">
        <v>14</v>
      </c>
      <c r="C3396" s="8634" t="s">
        <v>5586</v>
      </c>
      <c r="D3396" s="8634" t="s">
        <v>5587</v>
      </c>
      <c r="E3396" s="8634" t="s">
        <v>5588</v>
      </c>
      <c r="F3396" s="8634" t="s">
        <v>2213</v>
      </c>
      <c r="G3396" s="8634" t="s">
        <v>24</v>
      </c>
      <c r="H3396" s="8634" t="s">
        <v>24</v>
      </c>
      <c r="I3396" s="8634" t="s">
        <v>823</v>
      </c>
    </row>
    <row customHeight="1" ht="11.25">
      <c r="A3397" s="8634" t="s">
        <v>2182</v>
      </c>
      <c r="B3397" s="8634" t="s">
        <v>14</v>
      </c>
      <c r="C3397" s="8634" t="s">
        <v>5593</v>
      </c>
      <c r="D3397" s="8634" t="s">
        <v>5594</v>
      </c>
      <c r="E3397" s="8634" t="s">
        <v>5595</v>
      </c>
      <c r="F3397" s="8634" t="s">
        <v>2322</v>
      </c>
      <c r="G3397" s="8634" t="s">
        <v>24</v>
      </c>
      <c r="H3397" s="8634" t="s">
        <v>24</v>
      </c>
      <c r="I3397" s="8634" t="s">
        <v>823</v>
      </c>
    </row>
    <row customHeight="1" ht="11.25">
      <c r="A3398" s="8634" t="s">
        <v>2182</v>
      </c>
      <c r="B3398" s="8634" t="s">
        <v>14</v>
      </c>
      <c r="C3398" s="8634" t="s">
        <v>5596</v>
      </c>
      <c r="D3398" s="8634" t="s">
        <v>5597</v>
      </c>
      <c r="E3398" s="8634" t="s">
        <v>5598</v>
      </c>
      <c r="F3398" s="8634" t="s">
        <v>2218</v>
      </c>
      <c r="G3398" s="8634" t="s">
        <v>24</v>
      </c>
      <c r="H3398" s="8634" t="s">
        <v>24</v>
      </c>
      <c r="I3398" s="8634" t="s">
        <v>823</v>
      </c>
    </row>
    <row customHeight="1" ht="11.25">
      <c r="A3399" s="8634" t="s">
        <v>2182</v>
      </c>
      <c r="B3399" s="8634" t="s">
        <v>14</v>
      </c>
      <c r="C3399" s="8634" t="s">
        <v>8142</v>
      </c>
      <c r="D3399" s="8634" t="s">
        <v>8143</v>
      </c>
      <c r="E3399" s="8634" t="s">
        <v>8144</v>
      </c>
      <c r="F3399" s="8634" t="s">
        <v>2705</v>
      </c>
      <c r="G3399" s="8634" t="s">
        <v>8145</v>
      </c>
      <c r="H3399" s="8634" t="s">
        <v>8146</v>
      </c>
      <c r="I3399" s="8634" t="s">
        <v>823</v>
      </c>
    </row>
    <row customHeight="1" ht="11.25">
      <c r="A3400" s="8634" t="s">
        <v>2182</v>
      </c>
      <c r="B3400" s="8634" t="s">
        <v>14</v>
      </c>
      <c r="C3400" s="8634" t="s">
        <v>8147</v>
      </c>
      <c r="D3400" s="8634" t="s">
        <v>8148</v>
      </c>
      <c r="E3400" s="8634" t="s">
        <v>8149</v>
      </c>
      <c r="F3400" s="8634" t="s">
        <v>2447</v>
      </c>
      <c r="G3400" s="8634" t="s">
        <v>24</v>
      </c>
      <c r="H3400" s="8634" t="s">
        <v>24</v>
      </c>
      <c r="I3400" s="8634" t="s">
        <v>823</v>
      </c>
    </row>
    <row customHeight="1" ht="11.25">
      <c r="A3401" s="8634" t="s">
        <v>2182</v>
      </c>
      <c r="B3401" s="8634" t="s">
        <v>14</v>
      </c>
      <c r="C3401" s="8634" t="s">
        <v>7642</v>
      </c>
      <c r="D3401" s="8634" t="s">
        <v>7643</v>
      </c>
      <c r="E3401" s="8634" t="s">
        <v>7644</v>
      </c>
      <c r="F3401" s="8634" t="s">
        <v>2339</v>
      </c>
      <c r="G3401" s="8634" t="s">
        <v>7645</v>
      </c>
      <c r="H3401" s="8634" t="s">
        <v>24</v>
      </c>
      <c r="I3401" s="8634" t="s">
        <v>823</v>
      </c>
    </row>
    <row customHeight="1" ht="11.25">
      <c r="A3402" s="8634" t="s">
        <v>2182</v>
      </c>
      <c r="B3402" s="8634" t="s">
        <v>14</v>
      </c>
      <c r="C3402" s="8634" t="s">
        <v>7646</v>
      </c>
      <c r="D3402" s="8634" t="s">
        <v>7647</v>
      </c>
      <c r="E3402" s="8634" t="s">
        <v>7648</v>
      </c>
      <c r="F3402" s="8634" t="s">
        <v>2563</v>
      </c>
      <c r="G3402" s="8634" t="s">
        <v>7649</v>
      </c>
      <c r="H3402" s="8634" t="s">
        <v>3496</v>
      </c>
      <c r="I3402" s="8634" t="s">
        <v>823</v>
      </c>
    </row>
    <row customHeight="1" ht="11.25">
      <c r="A3403" s="8634" t="s">
        <v>2182</v>
      </c>
      <c r="B3403" s="8634" t="s">
        <v>14</v>
      </c>
      <c r="C3403" s="8634" t="s">
        <v>5613</v>
      </c>
      <c r="D3403" s="8634" t="s">
        <v>5614</v>
      </c>
      <c r="E3403" s="8634" t="s">
        <v>5615</v>
      </c>
      <c r="F3403" s="8634" t="s">
        <v>2334</v>
      </c>
      <c r="G3403" s="8634" t="s">
        <v>5616</v>
      </c>
      <c r="H3403" s="8634" t="s">
        <v>24</v>
      </c>
      <c r="I3403" s="8634" t="s">
        <v>823</v>
      </c>
    </row>
    <row customHeight="1" ht="11.25">
      <c r="A3404" s="8634" t="s">
        <v>2182</v>
      </c>
      <c r="B3404" s="8634" t="s">
        <v>14</v>
      </c>
      <c r="C3404" s="8634" t="s">
        <v>5624</v>
      </c>
      <c r="D3404" s="8634" t="s">
        <v>5625</v>
      </c>
      <c r="E3404" s="8634" t="s">
        <v>5626</v>
      </c>
      <c r="F3404" s="8634" t="s">
        <v>2398</v>
      </c>
      <c r="G3404" s="8634" t="s">
        <v>24</v>
      </c>
      <c r="H3404" s="8634" t="s">
        <v>2993</v>
      </c>
      <c r="I3404" s="8634" t="s">
        <v>823</v>
      </c>
    </row>
    <row customHeight="1" ht="11.25">
      <c r="A3405" s="8634" t="s">
        <v>2182</v>
      </c>
      <c r="B3405" s="8634" t="s">
        <v>14</v>
      </c>
      <c r="C3405" s="8634" t="s">
        <v>7656</v>
      </c>
      <c r="D3405" s="8634" t="s">
        <v>7657</v>
      </c>
      <c r="E3405" s="8634" t="s">
        <v>7658</v>
      </c>
      <c r="F3405" s="8634" t="s">
        <v>2334</v>
      </c>
      <c r="G3405" s="8634" t="s">
        <v>4545</v>
      </c>
      <c r="H3405" s="8634" t="s">
        <v>24</v>
      </c>
      <c r="I3405" s="8634" t="s">
        <v>823</v>
      </c>
    </row>
    <row customHeight="1" ht="11.25">
      <c r="A3406" s="8634" t="s">
        <v>2182</v>
      </c>
      <c r="B3406" s="8634" t="s">
        <v>14</v>
      </c>
      <c r="C3406" s="8634" t="s">
        <v>7659</v>
      </c>
      <c r="D3406" s="8634" t="s">
        <v>7660</v>
      </c>
      <c r="E3406" s="8634" t="s">
        <v>7661</v>
      </c>
      <c r="F3406" s="8634" t="s">
        <v>2322</v>
      </c>
      <c r="G3406" s="8634" t="s">
        <v>7662</v>
      </c>
      <c r="H3406" s="8634" t="s">
        <v>24</v>
      </c>
      <c r="I3406" s="8634" t="s">
        <v>823</v>
      </c>
    </row>
    <row customHeight="1" ht="11.25">
      <c r="A3407" s="8634" t="s">
        <v>2182</v>
      </c>
      <c r="B3407" s="8634" t="s">
        <v>14</v>
      </c>
      <c r="C3407" s="8634" t="s">
        <v>7671</v>
      </c>
      <c r="D3407" s="8634" t="s">
        <v>7672</v>
      </c>
      <c r="E3407" s="8634" t="s">
        <v>7673</v>
      </c>
      <c r="F3407" s="8634" t="s">
        <v>2339</v>
      </c>
      <c r="G3407" s="8634" t="s">
        <v>2368</v>
      </c>
      <c r="H3407" s="8634" t="s">
        <v>24</v>
      </c>
      <c r="I3407" s="8634" t="s">
        <v>823</v>
      </c>
    </row>
    <row customHeight="1" ht="11.25">
      <c r="A3408" s="8634" t="s">
        <v>2182</v>
      </c>
      <c r="B3408" s="8634" t="s">
        <v>14</v>
      </c>
      <c r="C3408" s="8634" t="s">
        <v>8150</v>
      </c>
      <c r="D3408" s="8634" t="s">
        <v>8151</v>
      </c>
      <c r="E3408" s="8634" t="s">
        <v>8152</v>
      </c>
      <c r="F3408" s="8634" t="s">
        <v>2447</v>
      </c>
      <c r="G3408" s="8634" t="s">
        <v>24</v>
      </c>
      <c r="H3408" s="8634" t="s">
        <v>24</v>
      </c>
      <c r="I3408" s="8634" t="s">
        <v>823</v>
      </c>
    </row>
    <row customHeight="1" ht="11.25">
      <c r="A3409" s="8634" t="s">
        <v>2182</v>
      </c>
      <c r="B3409" s="8634" t="s">
        <v>14</v>
      </c>
      <c r="C3409" s="8634" t="s">
        <v>7677</v>
      </c>
      <c r="D3409" s="8634" t="s">
        <v>7678</v>
      </c>
      <c r="E3409" s="8634" t="s">
        <v>7679</v>
      </c>
      <c r="F3409" s="8634" t="s">
        <v>5584</v>
      </c>
      <c r="G3409" s="8634" t="s">
        <v>7680</v>
      </c>
      <c r="H3409" s="8634" t="s">
        <v>24</v>
      </c>
      <c r="I3409" s="8634" t="s">
        <v>823</v>
      </c>
    </row>
    <row customHeight="1" ht="11.25">
      <c r="A3410" s="8634" t="s">
        <v>2182</v>
      </c>
      <c r="B3410" s="8634" t="s">
        <v>14</v>
      </c>
      <c r="C3410" s="8634" t="s">
        <v>5631</v>
      </c>
      <c r="D3410" s="8634" t="s">
        <v>5632</v>
      </c>
      <c r="E3410" s="8634" t="s">
        <v>5633</v>
      </c>
      <c r="F3410" s="8634" t="s">
        <v>2398</v>
      </c>
      <c r="G3410" s="8634" t="s">
        <v>24</v>
      </c>
      <c r="H3410" s="8634" t="s">
        <v>24</v>
      </c>
      <c r="I3410" s="8634" t="s">
        <v>823</v>
      </c>
    </row>
    <row customHeight="1" ht="11.25">
      <c r="A3411" s="8634" t="s">
        <v>2182</v>
      </c>
      <c r="B3411" s="8634" t="s">
        <v>14</v>
      </c>
      <c r="C3411" s="8634" t="s">
        <v>5634</v>
      </c>
      <c r="D3411" s="8634" t="s">
        <v>5635</v>
      </c>
      <c r="E3411" s="8634" t="s">
        <v>5636</v>
      </c>
      <c r="F3411" s="8634" t="s">
        <v>2274</v>
      </c>
      <c r="G3411" s="8634" t="s">
        <v>24</v>
      </c>
      <c r="H3411" s="8634" t="s">
        <v>24</v>
      </c>
      <c r="I3411" s="8634" t="s">
        <v>823</v>
      </c>
    </row>
    <row customHeight="1" ht="11.25">
      <c r="A3412" s="8634" t="s">
        <v>2182</v>
      </c>
      <c r="B3412" s="8634" t="s">
        <v>14</v>
      </c>
      <c r="C3412" s="8634" t="s">
        <v>7687</v>
      </c>
      <c r="D3412" s="8634" t="s">
        <v>7688</v>
      </c>
      <c r="E3412" s="8634" t="s">
        <v>7689</v>
      </c>
      <c r="F3412" s="8634" t="s">
        <v>2721</v>
      </c>
      <c r="G3412" s="8634" t="s">
        <v>24</v>
      </c>
      <c r="H3412" s="8634" t="s">
        <v>24</v>
      </c>
      <c r="I3412" s="8634" t="s">
        <v>823</v>
      </c>
    </row>
    <row customHeight="1" ht="11.25">
      <c r="A3413" s="8634" t="s">
        <v>2182</v>
      </c>
      <c r="B3413" s="8634" t="s">
        <v>14</v>
      </c>
      <c r="C3413" s="8634" t="s">
        <v>7690</v>
      </c>
      <c r="D3413" s="8634" t="s">
        <v>7691</v>
      </c>
      <c r="E3413" s="8634" t="s">
        <v>7692</v>
      </c>
      <c r="F3413" s="8634" t="s">
        <v>2411</v>
      </c>
      <c r="G3413" s="8634" t="s">
        <v>7693</v>
      </c>
      <c r="H3413" s="8634" t="s">
        <v>24</v>
      </c>
      <c r="I3413" s="8634" t="s">
        <v>823</v>
      </c>
    </row>
    <row customHeight="1" ht="11.25">
      <c r="A3414" s="8634" t="s">
        <v>2182</v>
      </c>
      <c r="B3414" s="8634" t="s">
        <v>14</v>
      </c>
      <c r="C3414" s="8634" t="s">
        <v>7694</v>
      </c>
      <c r="D3414" s="8634" t="s">
        <v>5645</v>
      </c>
      <c r="E3414" s="8634" t="s">
        <v>5646</v>
      </c>
      <c r="F3414" s="8634" t="s">
        <v>3295</v>
      </c>
      <c r="G3414" s="8634" t="s">
        <v>24</v>
      </c>
      <c r="H3414" s="8634" t="s">
        <v>2187</v>
      </c>
      <c r="I3414" s="8634" t="s">
        <v>823</v>
      </c>
    </row>
    <row customHeight="1" ht="11.25">
      <c r="A3415" s="8634" t="s">
        <v>2182</v>
      </c>
      <c r="B3415" s="8634" t="s">
        <v>14</v>
      </c>
      <c r="C3415" s="8634" t="s">
        <v>5644</v>
      </c>
      <c r="D3415" s="8634" t="s">
        <v>5645</v>
      </c>
      <c r="E3415" s="8634" t="s">
        <v>5646</v>
      </c>
      <c r="F3415" s="8634" t="s">
        <v>2213</v>
      </c>
      <c r="G3415" s="8634" t="s">
        <v>5647</v>
      </c>
      <c r="H3415" s="8634" t="s">
        <v>24</v>
      </c>
      <c r="I3415" s="8634" t="s">
        <v>823</v>
      </c>
    </row>
    <row customHeight="1" ht="11.25">
      <c r="A3416" s="8634" t="s">
        <v>2182</v>
      </c>
      <c r="B3416" s="8634" t="s">
        <v>14</v>
      </c>
      <c r="C3416" s="8634" t="s">
        <v>7695</v>
      </c>
      <c r="D3416" s="8634" t="s">
        <v>7696</v>
      </c>
      <c r="E3416" s="8634" t="s">
        <v>7697</v>
      </c>
      <c r="F3416" s="8634" t="s">
        <v>2344</v>
      </c>
      <c r="G3416" s="8634" t="s">
        <v>24</v>
      </c>
      <c r="H3416" s="8634" t="s">
        <v>24</v>
      </c>
      <c r="I3416" s="8634" t="s">
        <v>823</v>
      </c>
    </row>
    <row customHeight="1" ht="11.25">
      <c r="A3417" s="8634" t="s">
        <v>2182</v>
      </c>
      <c r="B3417" s="8634" t="s">
        <v>14</v>
      </c>
      <c r="C3417" s="8634" t="s">
        <v>5655</v>
      </c>
      <c r="D3417" s="8634" t="s">
        <v>5656</v>
      </c>
      <c r="E3417" s="8634" t="s">
        <v>5657</v>
      </c>
      <c r="F3417" s="8634" t="s">
        <v>2213</v>
      </c>
      <c r="G3417" s="8634" t="s">
        <v>24</v>
      </c>
      <c r="H3417" s="8634" t="s">
        <v>2187</v>
      </c>
      <c r="I3417" s="8634" t="s">
        <v>823</v>
      </c>
    </row>
    <row customHeight="1" ht="11.25">
      <c r="A3418" s="8634" t="s">
        <v>2182</v>
      </c>
      <c r="B3418" s="8634" t="s">
        <v>14</v>
      </c>
      <c r="C3418" s="8634" t="s">
        <v>5666</v>
      </c>
      <c r="D3418" s="8634" t="s">
        <v>5667</v>
      </c>
      <c r="E3418" s="8634" t="s">
        <v>5668</v>
      </c>
      <c r="F3418" s="8634" t="s">
        <v>2322</v>
      </c>
      <c r="G3418" s="8634" t="s">
        <v>5669</v>
      </c>
      <c r="H3418" s="8634" t="s">
        <v>24</v>
      </c>
      <c r="I3418" s="8634" t="s">
        <v>823</v>
      </c>
    </row>
    <row customHeight="1" ht="11.25">
      <c r="A3419" s="8634" t="s">
        <v>2182</v>
      </c>
      <c r="B3419" s="8634" t="s">
        <v>14</v>
      </c>
      <c r="C3419" s="8634" t="s">
        <v>7698</v>
      </c>
      <c r="D3419" s="8634" t="s">
        <v>7699</v>
      </c>
      <c r="E3419" s="8634" t="s">
        <v>7700</v>
      </c>
      <c r="F3419" s="8634" t="s">
        <v>2339</v>
      </c>
      <c r="G3419" s="8634" t="s">
        <v>7701</v>
      </c>
      <c r="H3419" s="8634" t="s">
        <v>24</v>
      </c>
      <c r="I3419" s="8634" t="s">
        <v>823</v>
      </c>
    </row>
    <row customHeight="1" ht="11.25">
      <c r="A3420" s="8634" t="s">
        <v>2182</v>
      </c>
      <c r="B3420" s="8634" t="s">
        <v>14</v>
      </c>
      <c r="C3420" s="8634" t="s">
        <v>5673</v>
      </c>
      <c r="D3420" s="8634" t="s">
        <v>5674</v>
      </c>
      <c r="E3420" s="8634" t="s">
        <v>5675</v>
      </c>
      <c r="F3420" s="8634" t="s">
        <v>2626</v>
      </c>
      <c r="G3420" s="8634" t="s">
        <v>3659</v>
      </c>
      <c r="H3420" s="8634" t="s">
        <v>2187</v>
      </c>
      <c r="I3420" s="8634" t="s">
        <v>823</v>
      </c>
    </row>
    <row customHeight="1" ht="11.25">
      <c r="A3421" s="8634" t="s">
        <v>2182</v>
      </c>
      <c r="B3421" s="8634" t="s">
        <v>14</v>
      </c>
      <c r="C3421" s="8634" t="s">
        <v>5680</v>
      </c>
      <c r="D3421" s="8634" t="s">
        <v>5681</v>
      </c>
      <c r="E3421" s="8634" t="s">
        <v>5682</v>
      </c>
      <c r="F3421" s="8634" t="s">
        <v>2191</v>
      </c>
      <c r="G3421" s="8634" t="s">
        <v>24</v>
      </c>
      <c r="H3421" s="8634" t="s">
        <v>2187</v>
      </c>
      <c r="I3421" s="8634" t="s">
        <v>823</v>
      </c>
    </row>
    <row customHeight="1" ht="11.25">
      <c r="A3422" s="8634" t="s">
        <v>2182</v>
      </c>
      <c r="B3422" s="8634" t="s">
        <v>14</v>
      </c>
      <c r="C3422" s="8634" t="s">
        <v>5683</v>
      </c>
      <c r="D3422" s="8634" t="s">
        <v>5684</v>
      </c>
      <c r="E3422" s="8634" t="s">
        <v>5685</v>
      </c>
      <c r="F3422" s="8634" t="s">
        <v>2344</v>
      </c>
      <c r="G3422" s="8634" t="s">
        <v>24</v>
      </c>
      <c r="H3422" s="8634" t="s">
        <v>24</v>
      </c>
      <c r="I3422" s="8634" t="s">
        <v>823</v>
      </c>
    </row>
    <row customHeight="1" ht="11.25">
      <c r="A3423" s="8634" t="s">
        <v>2182</v>
      </c>
      <c r="B3423" s="8634" t="s">
        <v>14</v>
      </c>
      <c r="C3423" s="8634" t="s">
        <v>5686</v>
      </c>
      <c r="D3423" s="8634" t="s">
        <v>5687</v>
      </c>
      <c r="E3423" s="8634" t="s">
        <v>5688</v>
      </c>
      <c r="F3423" s="8634" t="s">
        <v>2394</v>
      </c>
      <c r="G3423" s="8634" t="s">
        <v>5689</v>
      </c>
      <c r="H3423" s="8634" t="s">
        <v>24</v>
      </c>
      <c r="I3423" s="8634" t="s">
        <v>823</v>
      </c>
    </row>
    <row customHeight="1" ht="11.25">
      <c r="A3424" s="8634" t="s">
        <v>2182</v>
      </c>
      <c r="B3424" s="8634" t="s">
        <v>14</v>
      </c>
      <c r="C3424" s="8634" t="s">
        <v>5690</v>
      </c>
      <c r="D3424" s="8634" t="s">
        <v>5691</v>
      </c>
      <c r="E3424" s="8634" t="s">
        <v>5692</v>
      </c>
      <c r="F3424" s="8634" t="s">
        <v>2344</v>
      </c>
      <c r="G3424" s="8634" t="s">
        <v>5693</v>
      </c>
      <c r="H3424" s="8634" t="s">
        <v>24</v>
      </c>
      <c r="I3424" s="8634" t="s">
        <v>823</v>
      </c>
    </row>
    <row customHeight="1" ht="11.25">
      <c r="A3425" s="8634" t="s">
        <v>2182</v>
      </c>
      <c r="B3425" s="8634" t="s">
        <v>14</v>
      </c>
      <c r="C3425" s="8634" t="s">
        <v>8153</v>
      </c>
      <c r="D3425" s="8634" t="s">
        <v>8154</v>
      </c>
      <c r="E3425" s="8634" t="s">
        <v>8155</v>
      </c>
      <c r="F3425" s="8634" t="s">
        <v>2228</v>
      </c>
      <c r="G3425" s="8634" t="s">
        <v>24</v>
      </c>
      <c r="H3425" s="8634" t="s">
        <v>8156</v>
      </c>
      <c r="I3425" s="8634" t="s">
        <v>823</v>
      </c>
    </row>
    <row customHeight="1" ht="11.25">
      <c r="A3426" s="8634" t="s">
        <v>2182</v>
      </c>
      <c r="B3426" s="8634" t="s">
        <v>14</v>
      </c>
      <c r="C3426" s="8634" t="s">
        <v>5696</v>
      </c>
      <c r="D3426" s="8634" t="s">
        <v>5697</v>
      </c>
      <c r="E3426" s="8634" t="s">
        <v>5698</v>
      </c>
      <c r="F3426" s="8634" t="s">
        <v>5699</v>
      </c>
      <c r="G3426" s="8634" t="s">
        <v>5700</v>
      </c>
      <c r="H3426" s="8634" t="s">
        <v>24</v>
      </c>
      <c r="I3426" s="8634" t="s">
        <v>823</v>
      </c>
    </row>
    <row customHeight="1" ht="11.25">
      <c r="A3427" s="8634" t="s">
        <v>2182</v>
      </c>
      <c r="B3427" s="8634" t="s">
        <v>14</v>
      </c>
      <c r="C3427" s="8634" t="s">
        <v>5705</v>
      </c>
      <c r="D3427" s="8634" t="s">
        <v>5706</v>
      </c>
      <c r="E3427" s="8634" t="s">
        <v>5703</v>
      </c>
      <c r="F3427" s="8634" t="s">
        <v>5707</v>
      </c>
      <c r="G3427" s="8634" t="s">
        <v>24</v>
      </c>
      <c r="H3427" s="8634" t="s">
        <v>24</v>
      </c>
      <c r="I3427" s="8634" t="s">
        <v>823</v>
      </c>
    </row>
    <row customHeight="1" ht="11.25">
      <c r="A3428" s="8634" t="s">
        <v>2182</v>
      </c>
      <c r="B3428" s="8634" t="s">
        <v>14</v>
      </c>
      <c r="C3428" s="8634" t="s">
        <v>5708</v>
      </c>
      <c r="D3428" s="8634" t="s">
        <v>5709</v>
      </c>
      <c r="E3428" s="8634" t="s">
        <v>5703</v>
      </c>
      <c r="F3428" s="8634" t="s">
        <v>5710</v>
      </c>
      <c r="G3428" s="8634" t="s">
        <v>24</v>
      </c>
      <c r="H3428" s="8634" t="s">
        <v>24</v>
      </c>
      <c r="I3428" s="8634" t="s">
        <v>823</v>
      </c>
    </row>
    <row customHeight="1" ht="11.25">
      <c r="A3429" s="8634" t="s">
        <v>2182</v>
      </c>
      <c r="B3429" s="8634" t="s">
        <v>14</v>
      </c>
      <c r="C3429" s="8634" t="s">
        <v>5713</v>
      </c>
      <c r="D3429" s="8634" t="s">
        <v>5714</v>
      </c>
      <c r="E3429" s="8634" t="s">
        <v>5715</v>
      </c>
      <c r="F3429" s="8634" t="s">
        <v>2404</v>
      </c>
      <c r="G3429" s="8634" t="s">
        <v>24</v>
      </c>
      <c r="H3429" s="8634" t="s">
        <v>24</v>
      </c>
      <c r="I3429" s="8634" t="s">
        <v>823</v>
      </c>
    </row>
    <row customHeight="1" ht="11.25">
      <c r="A3430" s="8634" t="s">
        <v>2182</v>
      </c>
      <c r="B3430" s="8634" t="s">
        <v>14</v>
      </c>
      <c r="C3430" s="8634" t="s">
        <v>5716</v>
      </c>
      <c r="D3430" s="8634" t="s">
        <v>5717</v>
      </c>
      <c r="E3430" s="8634" t="s">
        <v>5718</v>
      </c>
      <c r="F3430" s="8634" t="s">
        <v>4717</v>
      </c>
      <c r="G3430" s="8634" t="s">
        <v>5719</v>
      </c>
      <c r="H3430" s="8634" t="s">
        <v>24</v>
      </c>
      <c r="I3430" s="8634" t="s">
        <v>823</v>
      </c>
    </row>
    <row customHeight="1" ht="11.25">
      <c r="A3431" s="8634" t="s">
        <v>2182</v>
      </c>
      <c r="B3431" s="8634" t="s">
        <v>14</v>
      </c>
      <c r="C3431" s="8634" t="s">
        <v>5732</v>
      </c>
      <c r="D3431" s="8634" t="s">
        <v>5733</v>
      </c>
      <c r="E3431" s="8634" t="s">
        <v>2734</v>
      </c>
      <c r="F3431" s="8634" t="s">
        <v>5723</v>
      </c>
      <c r="G3431" s="8634" t="s">
        <v>24</v>
      </c>
      <c r="H3431" s="8634" t="s">
        <v>24</v>
      </c>
      <c r="I3431" s="8634" t="s">
        <v>823</v>
      </c>
    </row>
    <row customHeight="1" ht="11.25">
      <c r="A3432" s="8634" t="s">
        <v>2182</v>
      </c>
      <c r="B3432" s="8634" t="s">
        <v>14</v>
      </c>
      <c r="C3432" s="8634" t="s">
        <v>5738</v>
      </c>
      <c r="D3432" s="8634" t="s">
        <v>5739</v>
      </c>
      <c r="E3432" s="8634" t="s">
        <v>5740</v>
      </c>
      <c r="F3432" s="8634" t="s">
        <v>5741</v>
      </c>
      <c r="G3432" s="8634" t="s">
        <v>5742</v>
      </c>
      <c r="H3432" s="8634" t="s">
        <v>24</v>
      </c>
      <c r="I3432" s="8634" t="s">
        <v>823</v>
      </c>
    </row>
    <row customHeight="1" ht="11.25">
      <c r="A3433" s="8634" t="s">
        <v>2182</v>
      </c>
      <c r="B3433" s="8634" t="s">
        <v>14</v>
      </c>
      <c r="C3433" s="8634" t="s">
        <v>5743</v>
      </c>
      <c r="D3433" s="8634" t="s">
        <v>5744</v>
      </c>
      <c r="E3433" s="8634" t="s">
        <v>5745</v>
      </c>
      <c r="F3433" s="8634" t="s">
        <v>5746</v>
      </c>
      <c r="G3433" s="8634" t="s">
        <v>5747</v>
      </c>
      <c r="H3433" s="8634" t="s">
        <v>24</v>
      </c>
      <c r="I3433" s="8634" t="s">
        <v>823</v>
      </c>
    </row>
    <row customHeight="1" ht="11.25">
      <c r="A3434" s="8634" t="s">
        <v>2182</v>
      </c>
      <c r="B3434" s="8634" t="s">
        <v>14</v>
      </c>
      <c r="C3434" s="8634" t="s">
        <v>5756</v>
      </c>
      <c r="D3434" s="8634" t="s">
        <v>5757</v>
      </c>
      <c r="E3434" s="8634" t="s">
        <v>5758</v>
      </c>
      <c r="F3434" s="8634" t="s">
        <v>2492</v>
      </c>
      <c r="G3434" s="8634" t="s">
        <v>5759</v>
      </c>
      <c r="H3434" s="8634" t="s">
        <v>24</v>
      </c>
      <c r="I3434" s="8634" t="s">
        <v>823</v>
      </c>
    </row>
    <row customHeight="1" ht="11.25">
      <c r="A3435" s="8634" t="s">
        <v>2182</v>
      </c>
      <c r="B3435" s="8634" t="s">
        <v>14</v>
      </c>
      <c r="C3435" s="8634" t="s">
        <v>5760</v>
      </c>
      <c r="D3435" s="8634" t="s">
        <v>5761</v>
      </c>
      <c r="E3435" s="8634" t="s">
        <v>3944</v>
      </c>
      <c r="F3435" s="8634" t="s">
        <v>2438</v>
      </c>
      <c r="G3435" s="8634" t="s">
        <v>24</v>
      </c>
      <c r="H3435" s="8634" t="s">
        <v>24</v>
      </c>
      <c r="I3435" s="8634" t="s">
        <v>823</v>
      </c>
    </row>
    <row customHeight="1" ht="11.25">
      <c r="A3436" s="8634" t="s">
        <v>2182</v>
      </c>
      <c r="B3436" s="8634" t="s">
        <v>14</v>
      </c>
      <c r="C3436" s="8634" t="s">
        <v>5765</v>
      </c>
      <c r="D3436" s="8634" t="s">
        <v>5766</v>
      </c>
      <c r="E3436" s="8634" t="s">
        <v>5767</v>
      </c>
      <c r="F3436" s="8634" t="s">
        <v>5768</v>
      </c>
      <c r="G3436" s="8634" t="s">
        <v>24</v>
      </c>
      <c r="H3436" s="8634" t="s">
        <v>2187</v>
      </c>
      <c r="I3436" s="8634" t="s">
        <v>823</v>
      </c>
    </row>
    <row customHeight="1" ht="11.25">
      <c r="A3437" s="8634" t="s">
        <v>2182</v>
      </c>
      <c r="B3437" s="8634" t="s">
        <v>14</v>
      </c>
      <c r="C3437" s="8634" t="s">
        <v>5775</v>
      </c>
      <c r="D3437" s="8634" t="s">
        <v>5776</v>
      </c>
      <c r="E3437" s="8634" t="s">
        <v>5777</v>
      </c>
      <c r="F3437" s="8634" t="s">
        <v>2411</v>
      </c>
      <c r="G3437" s="8634" t="s">
        <v>5778</v>
      </c>
      <c r="H3437" s="8634" t="s">
        <v>24</v>
      </c>
      <c r="I3437" s="8634" t="s">
        <v>823</v>
      </c>
    </row>
    <row customHeight="1" ht="11.25">
      <c r="A3438" s="8634" t="s">
        <v>2182</v>
      </c>
      <c r="B3438" s="8634" t="s">
        <v>14</v>
      </c>
      <c r="C3438" s="8634" t="s">
        <v>5786</v>
      </c>
      <c r="D3438" s="8634" t="s">
        <v>5787</v>
      </c>
      <c r="E3438" s="8634" t="s">
        <v>5788</v>
      </c>
      <c r="F3438" s="8634" t="s">
        <v>4717</v>
      </c>
      <c r="G3438" s="8634" t="s">
        <v>5789</v>
      </c>
      <c r="H3438" s="8634" t="s">
        <v>24</v>
      </c>
      <c r="I3438" s="8634" t="s">
        <v>823</v>
      </c>
    </row>
    <row customHeight="1" ht="11.25">
      <c r="A3439" s="8634" t="s">
        <v>2182</v>
      </c>
      <c r="B3439" s="8634" t="s">
        <v>14</v>
      </c>
      <c r="C3439" s="8634" t="s">
        <v>5790</v>
      </c>
      <c r="D3439" s="8634" t="s">
        <v>5791</v>
      </c>
      <c r="E3439" s="8634" t="s">
        <v>5792</v>
      </c>
      <c r="F3439" s="8634" t="s">
        <v>5793</v>
      </c>
      <c r="G3439" s="8634" t="s">
        <v>24</v>
      </c>
      <c r="H3439" s="8634" t="s">
        <v>2706</v>
      </c>
      <c r="I3439" s="8634" t="s">
        <v>823</v>
      </c>
    </row>
    <row customHeight="1" ht="11.25">
      <c r="A3440" s="8634" t="s">
        <v>2182</v>
      </c>
      <c r="B3440" s="8634" t="s">
        <v>14</v>
      </c>
      <c r="C3440" s="8634" t="s">
        <v>7702</v>
      </c>
      <c r="D3440" s="8634" t="s">
        <v>7703</v>
      </c>
      <c r="E3440" s="8634" t="s">
        <v>2925</v>
      </c>
      <c r="F3440" s="8634" t="s">
        <v>7704</v>
      </c>
      <c r="G3440" s="8634" t="s">
        <v>24</v>
      </c>
      <c r="H3440" s="8634" t="s">
        <v>7705</v>
      </c>
      <c r="I3440" s="8634" t="s">
        <v>823</v>
      </c>
    </row>
    <row customHeight="1" ht="11.25">
      <c r="A3441" s="8634" t="s">
        <v>2182</v>
      </c>
      <c r="B3441" s="8634" t="s">
        <v>14</v>
      </c>
      <c r="C3441" s="8634" t="s">
        <v>5798</v>
      </c>
      <c r="D3441" s="8634" t="s">
        <v>5799</v>
      </c>
      <c r="E3441" s="8634" t="s">
        <v>5800</v>
      </c>
      <c r="F3441" s="8634" t="s">
        <v>2721</v>
      </c>
      <c r="G3441" s="8634" t="s">
        <v>24</v>
      </c>
      <c r="H3441" s="8634" t="s">
        <v>2187</v>
      </c>
      <c r="I3441" s="8634" t="s">
        <v>823</v>
      </c>
    </row>
    <row customHeight="1" ht="11.25">
      <c r="A3442" s="8634" t="s">
        <v>2182</v>
      </c>
      <c r="B3442" s="8634" t="s">
        <v>14</v>
      </c>
      <c r="C3442" s="8634" t="s">
        <v>8157</v>
      </c>
      <c r="D3442" s="8634" t="s">
        <v>8158</v>
      </c>
      <c r="E3442" s="8634" t="s">
        <v>5803</v>
      </c>
      <c r="F3442" s="8634" t="s">
        <v>2411</v>
      </c>
      <c r="G3442" s="8634" t="s">
        <v>24</v>
      </c>
      <c r="H3442" s="8634" t="s">
        <v>24</v>
      </c>
      <c r="I3442" s="8634" t="s">
        <v>823</v>
      </c>
    </row>
    <row customHeight="1" ht="11.25">
      <c r="A3443" s="8634" t="s">
        <v>2182</v>
      </c>
      <c r="B3443" s="8634" t="s">
        <v>14</v>
      </c>
      <c r="C3443" s="8634" t="s">
        <v>5801</v>
      </c>
      <c r="D3443" s="8634" t="s">
        <v>5802</v>
      </c>
      <c r="E3443" s="8634" t="s">
        <v>5803</v>
      </c>
      <c r="F3443" s="8634" t="s">
        <v>5804</v>
      </c>
      <c r="G3443" s="8634" t="s">
        <v>24</v>
      </c>
      <c r="H3443" s="8634" t="s">
        <v>24</v>
      </c>
      <c r="I3443" s="8634" t="s">
        <v>823</v>
      </c>
    </row>
    <row customHeight="1" ht="11.25">
      <c r="A3444" s="8634" t="s">
        <v>2182</v>
      </c>
      <c r="B3444" s="8634" t="s">
        <v>14</v>
      </c>
      <c r="C3444" s="8634" t="s">
        <v>8159</v>
      </c>
      <c r="D3444" s="8634" t="s">
        <v>8160</v>
      </c>
      <c r="E3444" s="8634" t="s">
        <v>8161</v>
      </c>
      <c r="F3444" s="8634" t="s">
        <v>2492</v>
      </c>
      <c r="G3444" s="8634" t="s">
        <v>8162</v>
      </c>
      <c r="H3444" s="8634" t="s">
        <v>24</v>
      </c>
      <c r="I3444" s="8634" t="s">
        <v>823</v>
      </c>
    </row>
    <row customHeight="1" ht="11.25">
      <c r="A3445" s="8634" t="s">
        <v>2182</v>
      </c>
      <c r="B3445" s="8634" t="s">
        <v>14</v>
      </c>
      <c r="C3445" s="8634" t="s">
        <v>5849</v>
      </c>
      <c r="D3445" s="8634" t="s">
        <v>5850</v>
      </c>
      <c r="E3445" s="8634" t="s">
        <v>5851</v>
      </c>
      <c r="F3445" s="8634" t="s">
        <v>2721</v>
      </c>
      <c r="G3445" s="8634" t="s">
        <v>24</v>
      </c>
      <c r="H3445" s="8634" t="s">
        <v>5852</v>
      </c>
      <c r="I3445" s="8634" t="s">
        <v>823</v>
      </c>
    </row>
    <row customHeight="1" ht="11.25">
      <c r="A3446" s="8634" t="s">
        <v>2182</v>
      </c>
      <c r="B3446" s="8634" t="s">
        <v>14</v>
      </c>
      <c r="C3446" s="8634" t="s">
        <v>6390</v>
      </c>
      <c r="D3446" s="8634" t="s">
        <v>6391</v>
      </c>
      <c r="E3446" s="8634" t="s">
        <v>6392</v>
      </c>
      <c r="F3446" s="8634" t="s">
        <v>2228</v>
      </c>
      <c r="G3446" s="8634" t="s">
        <v>24</v>
      </c>
      <c r="H3446" s="8634" t="s">
        <v>2187</v>
      </c>
      <c r="I3446" s="8634" t="s">
        <v>823</v>
      </c>
    </row>
    <row customHeight="1" ht="11.25">
      <c r="A3447" s="8634" t="s">
        <v>2182</v>
      </c>
      <c r="B3447" s="8634" t="s">
        <v>14</v>
      </c>
      <c r="C3447" s="8634" t="s">
        <v>7717</v>
      </c>
      <c r="D3447" s="8634" t="s">
        <v>7718</v>
      </c>
      <c r="E3447" s="8634" t="s">
        <v>7719</v>
      </c>
      <c r="F3447" s="8634" t="s">
        <v>2411</v>
      </c>
      <c r="G3447" s="8634" t="s">
        <v>24</v>
      </c>
      <c r="H3447" s="8634" t="s">
        <v>7720</v>
      </c>
      <c r="I3447" s="8634" t="s">
        <v>823</v>
      </c>
    </row>
    <row customHeight="1" ht="11.25">
      <c r="A3448" s="8634" t="s">
        <v>2182</v>
      </c>
      <c r="B3448" s="8634" t="s">
        <v>14</v>
      </c>
      <c r="C3448" s="8634" t="s">
        <v>5872</v>
      </c>
      <c r="D3448" s="8634" t="s">
        <v>5873</v>
      </c>
      <c r="E3448" s="8634" t="s">
        <v>5874</v>
      </c>
      <c r="F3448" s="8634" t="s">
        <v>2394</v>
      </c>
      <c r="G3448" s="8634" t="s">
        <v>24</v>
      </c>
      <c r="H3448" s="8634" t="s">
        <v>5875</v>
      </c>
      <c r="I3448" s="8634" t="s">
        <v>823</v>
      </c>
    </row>
    <row customHeight="1" ht="11.25">
      <c r="A3449" s="8634" t="s">
        <v>2182</v>
      </c>
      <c r="B3449" s="8634" t="s">
        <v>14</v>
      </c>
      <c r="C3449" s="8634" t="s">
        <v>5876</v>
      </c>
      <c r="D3449" s="8634" t="s">
        <v>5877</v>
      </c>
      <c r="E3449" s="8634" t="s">
        <v>5878</v>
      </c>
      <c r="F3449" s="8634" t="s">
        <v>2213</v>
      </c>
      <c r="G3449" s="8634" t="s">
        <v>5879</v>
      </c>
      <c r="H3449" s="8634" t="s">
        <v>24</v>
      </c>
      <c r="I3449" s="8634" t="s">
        <v>823</v>
      </c>
    </row>
    <row customHeight="1" ht="11.25">
      <c r="A3450" s="8634" t="s">
        <v>2182</v>
      </c>
      <c r="B3450" s="8634" t="s">
        <v>14</v>
      </c>
      <c r="C3450" s="8634" t="s">
        <v>5880</v>
      </c>
      <c r="D3450" s="8634" t="s">
        <v>5881</v>
      </c>
      <c r="E3450" s="8634" t="s">
        <v>5882</v>
      </c>
      <c r="F3450" s="8634" t="s">
        <v>2269</v>
      </c>
      <c r="G3450" s="8634" t="s">
        <v>24</v>
      </c>
      <c r="H3450" s="8634" t="s">
        <v>5883</v>
      </c>
      <c r="I3450" s="8634" t="s">
        <v>823</v>
      </c>
    </row>
    <row customHeight="1" ht="11.25">
      <c r="A3451" s="8634" t="s">
        <v>2182</v>
      </c>
      <c r="B3451" s="8634" t="s">
        <v>14</v>
      </c>
      <c r="C3451" s="8634" t="s">
        <v>5894</v>
      </c>
      <c r="D3451" s="8634" t="s">
        <v>5895</v>
      </c>
      <c r="E3451" s="8634" t="s">
        <v>5896</v>
      </c>
      <c r="F3451" s="8634" t="s">
        <v>2339</v>
      </c>
      <c r="G3451" s="8634" t="s">
        <v>24</v>
      </c>
      <c r="H3451" s="8634" t="s">
        <v>24</v>
      </c>
      <c r="I3451" s="8634" t="s">
        <v>823</v>
      </c>
    </row>
    <row customHeight="1" ht="11.25">
      <c r="A3452" s="8634" t="s">
        <v>2182</v>
      </c>
      <c r="B3452" s="8634" t="s">
        <v>14</v>
      </c>
      <c r="C3452" s="8634" t="s">
        <v>5903</v>
      </c>
      <c r="D3452" s="8634" t="s">
        <v>5904</v>
      </c>
      <c r="E3452" s="8634" t="s">
        <v>5905</v>
      </c>
      <c r="F3452" s="8634" t="s">
        <v>2460</v>
      </c>
      <c r="G3452" s="8634" t="s">
        <v>24</v>
      </c>
      <c r="H3452" s="8634" t="s">
        <v>24</v>
      </c>
      <c r="I3452" s="8634" t="s">
        <v>823</v>
      </c>
    </row>
    <row customHeight="1" ht="11.25">
      <c r="A3453" s="8634" t="s">
        <v>2182</v>
      </c>
      <c r="B3453" s="8634" t="s">
        <v>14</v>
      </c>
      <c r="C3453" s="8634" t="s">
        <v>5909</v>
      </c>
      <c r="D3453" s="8634" t="s">
        <v>5910</v>
      </c>
      <c r="E3453" s="8634" t="s">
        <v>5911</v>
      </c>
      <c r="F3453" s="8634" t="s">
        <v>2322</v>
      </c>
      <c r="G3453" s="8634" t="s">
        <v>24</v>
      </c>
      <c r="H3453" s="8634" t="s">
        <v>24</v>
      </c>
      <c r="I3453" s="8634" t="s">
        <v>823</v>
      </c>
    </row>
    <row customHeight="1" ht="11.25">
      <c r="A3454" s="8634" t="s">
        <v>2182</v>
      </c>
      <c r="B3454" s="8634" t="s">
        <v>14</v>
      </c>
      <c r="C3454" s="8634" t="s">
        <v>5917</v>
      </c>
      <c r="D3454" s="8634" t="s">
        <v>5918</v>
      </c>
      <c r="E3454" s="8634" t="s">
        <v>5919</v>
      </c>
      <c r="F3454" s="8634" t="s">
        <v>2318</v>
      </c>
      <c r="G3454" s="8634" t="s">
        <v>5920</v>
      </c>
      <c r="H3454" s="8634" t="s">
        <v>24</v>
      </c>
      <c r="I3454" s="8634" t="s">
        <v>823</v>
      </c>
    </row>
    <row customHeight="1" ht="11.25">
      <c r="A3455" s="8634" t="s">
        <v>2182</v>
      </c>
      <c r="B3455" s="8634" t="s">
        <v>14</v>
      </c>
      <c r="C3455" s="8634" t="s">
        <v>5921</v>
      </c>
      <c r="D3455" s="8634" t="s">
        <v>5922</v>
      </c>
      <c r="E3455" s="8634" t="s">
        <v>5923</v>
      </c>
      <c r="F3455" s="8634" t="s">
        <v>2334</v>
      </c>
      <c r="G3455" s="8634" t="s">
        <v>24</v>
      </c>
      <c r="H3455" s="8634" t="s">
        <v>24</v>
      </c>
      <c r="I3455" s="8634" t="s">
        <v>823</v>
      </c>
    </row>
    <row customHeight="1" ht="11.25">
      <c r="A3456" s="8634" t="s">
        <v>2182</v>
      </c>
      <c r="B3456" s="8634" t="s">
        <v>14</v>
      </c>
      <c r="C3456" s="8634" t="s">
        <v>5924</v>
      </c>
      <c r="D3456" s="8634" t="s">
        <v>5925</v>
      </c>
      <c r="E3456" s="8634" t="s">
        <v>5926</v>
      </c>
      <c r="F3456" s="8634" t="s">
        <v>2344</v>
      </c>
      <c r="G3456" s="8634" t="s">
        <v>5927</v>
      </c>
      <c r="H3456" s="8634" t="s">
        <v>24</v>
      </c>
      <c r="I3456" s="8634" t="s">
        <v>823</v>
      </c>
    </row>
    <row customHeight="1" ht="11.25">
      <c r="A3457" s="8634" t="s">
        <v>2182</v>
      </c>
      <c r="B3457" s="8634" t="s">
        <v>14</v>
      </c>
      <c r="C3457" s="8634" t="s">
        <v>5928</v>
      </c>
      <c r="D3457" s="8634" t="s">
        <v>5929</v>
      </c>
      <c r="E3457" s="8634" t="s">
        <v>5930</v>
      </c>
      <c r="F3457" s="8634" t="s">
        <v>2186</v>
      </c>
      <c r="G3457" s="8634" t="s">
        <v>5931</v>
      </c>
      <c r="H3457" s="8634" t="s">
        <v>24</v>
      </c>
      <c r="I3457" s="8634" t="s">
        <v>823</v>
      </c>
    </row>
    <row customHeight="1" ht="11.25">
      <c r="A3458" s="8634" t="s">
        <v>2182</v>
      </c>
      <c r="B3458" s="8634" t="s">
        <v>14</v>
      </c>
      <c r="C3458" s="8634" t="s">
        <v>5932</v>
      </c>
      <c r="D3458" s="8634" t="s">
        <v>5933</v>
      </c>
      <c r="E3458" s="8634" t="s">
        <v>5934</v>
      </c>
      <c r="F3458" s="8634" t="s">
        <v>2600</v>
      </c>
      <c r="G3458" s="8634" t="s">
        <v>24</v>
      </c>
      <c r="H3458" s="8634" t="s">
        <v>24</v>
      </c>
      <c r="I3458" s="8634" t="s">
        <v>823</v>
      </c>
    </row>
    <row customHeight="1" ht="11.25">
      <c r="A3459" s="8634" t="s">
        <v>2182</v>
      </c>
      <c r="B3459" s="8634" t="s">
        <v>14</v>
      </c>
      <c r="C3459" s="8634" t="s">
        <v>5939</v>
      </c>
      <c r="D3459" s="8634" t="s">
        <v>5940</v>
      </c>
      <c r="E3459" s="8634" t="s">
        <v>5941</v>
      </c>
      <c r="F3459" s="8634" t="s">
        <v>2245</v>
      </c>
      <c r="G3459" s="8634" t="s">
        <v>24</v>
      </c>
      <c r="H3459" s="8634" t="s">
        <v>5942</v>
      </c>
      <c r="I3459" s="8634" t="s">
        <v>823</v>
      </c>
    </row>
    <row customHeight="1" ht="11.25">
      <c r="A3460" s="8634" t="s">
        <v>2182</v>
      </c>
      <c r="B3460" s="8634" t="s">
        <v>14</v>
      </c>
      <c r="C3460" s="8634" t="s">
        <v>5943</v>
      </c>
      <c r="D3460" s="8634" t="s">
        <v>5940</v>
      </c>
      <c r="E3460" s="8634" t="s">
        <v>5941</v>
      </c>
      <c r="F3460" s="8634" t="s">
        <v>2245</v>
      </c>
      <c r="G3460" s="8634" t="s">
        <v>5944</v>
      </c>
      <c r="H3460" s="8634" t="s">
        <v>24</v>
      </c>
      <c r="I3460" s="8634" t="s">
        <v>823</v>
      </c>
    </row>
    <row customHeight="1" ht="11.25">
      <c r="A3461" s="8634" t="s">
        <v>2182</v>
      </c>
      <c r="B3461" s="8634" t="s">
        <v>14</v>
      </c>
      <c r="C3461" s="8634" t="s">
        <v>5948</v>
      </c>
      <c r="D3461" s="8634" t="s">
        <v>5949</v>
      </c>
      <c r="E3461" s="8634" t="s">
        <v>5950</v>
      </c>
      <c r="F3461" s="8634" t="s">
        <v>3295</v>
      </c>
      <c r="G3461" s="8634" t="s">
        <v>24</v>
      </c>
      <c r="H3461" s="8634" t="s">
        <v>24</v>
      </c>
      <c r="I3461" s="8634" t="s">
        <v>823</v>
      </c>
    </row>
    <row customHeight="1" ht="11.25">
      <c r="A3462" s="8634" t="s">
        <v>2182</v>
      </c>
      <c r="B3462" s="8634" t="s">
        <v>14</v>
      </c>
      <c r="C3462" s="8634" t="s">
        <v>5951</v>
      </c>
      <c r="D3462" s="8634" t="s">
        <v>5952</v>
      </c>
      <c r="E3462" s="8634" t="s">
        <v>5953</v>
      </c>
      <c r="F3462" s="8634" t="s">
        <v>5954</v>
      </c>
      <c r="G3462" s="8634" t="s">
        <v>5955</v>
      </c>
      <c r="H3462" s="8634" t="s">
        <v>24</v>
      </c>
      <c r="I3462" s="8634" t="s">
        <v>823</v>
      </c>
    </row>
    <row customHeight="1" ht="11.25">
      <c r="A3463" s="8634" t="s">
        <v>2182</v>
      </c>
      <c r="B3463" s="8634" t="s">
        <v>14</v>
      </c>
      <c r="C3463" s="8634" t="s">
        <v>5960</v>
      </c>
      <c r="D3463" s="8634" t="s">
        <v>5961</v>
      </c>
      <c r="E3463" s="8634" t="s">
        <v>5962</v>
      </c>
      <c r="F3463" s="8634" t="s">
        <v>2344</v>
      </c>
      <c r="G3463" s="8634" t="s">
        <v>24</v>
      </c>
      <c r="H3463" s="8634" t="s">
        <v>24</v>
      </c>
      <c r="I3463" s="8634" t="s">
        <v>823</v>
      </c>
    </row>
    <row customHeight="1" ht="11.25">
      <c r="A3464" s="8634" t="s">
        <v>2182</v>
      </c>
      <c r="B3464" s="8634" t="s">
        <v>14</v>
      </c>
      <c r="C3464" s="8634" t="s">
        <v>5966</v>
      </c>
      <c r="D3464" s="8634" t="s">
        <v>5967</v>
      </c>
      <c r="E3464" s="8634" t="s">
        <v>3817</v>
      </c>
      <c r="F3464" s="8634" t="s">
        <v>2549</v>
      </c>
      <c r="G3464" s="8634" t="s">
        <v>24</v>
      </c>
      <c r="H3464" s="8634" t="s">
        <v>5968</v>
      </c>
      <c r="I3464" s="8634" t="s">
        <v>823</v>
      </c>
    </row>
    <row customHeight="1" ht="11.25">
      <c r="A3465" s="8634" t="s">
        <v>2182</v>
      </c>
      <c r="B3465" s="8634" t="s">
        <v>14</v>
      </c>
      <c r="C3465" s="8634" t="s">
        <v>7739</v>
      </c>
      <c r="D3465" s="8634" t="s">
        <v>7740</v>
      </c>
      <c r="E3465" s="8634" t="s">
        <v>7741</v>
      </c>
      <c r="F3465" s="8634" t="s">
        <v>2948</v>
      </c>
      <c r="G3465" s="8634" t="s">
        <v>5410</v>
      </c>
      <c r="H3465" s="8634" t="s">
        <v>24</v>
      </c>
      <c r="I3465" s="8634" t="s">
        <v>823</v>
      </c>
    </row>
    <row customHeight="1" ht="11.25">
      <c r="A3466" s="8634" t="s">
        <v>2182</v>
      </c>
      <c r="B3466" s="8634" t="s">
        <v>14</v>
      </c>
      <c r="C3466" s="8634" t="s">
        <v>5972</v>
      </c>
      <c r="D3466" s="8634" t="s">
        <v>5973</v>
      </c>
      <c r="E3466" s="8634" t="s">
        <v>5974</v>
      </c>
      <c r="F3466" s="8634" t="s">
        <v>2269</v>
      </c>
      <c r="G3466" s="8634" t="s">
        <v>5975</v>
      </c>
      <c r="H3466" s="8634" t="s">
        <v>24</v>
      </c>
      <c r="I3466" s="8634" t="s">
        <v>823</v>
      </c>
    </row>
    <row customHeight="1" ht="11.25">
      <c r="A3467" s="8634" t="s">
        <v>2182</v>
      </c>
      <c r="B3467" s="8634" t="s">
        <v>14</v>
      </c>
      <c r="C3467" s="8634" t="s">
        <v>5976</v>
      </c>
      <c r="D3467" s="8634" t="s">
        <v>5977</v>
      </c>
      <c r="E3467" s="8634" t="s">
        <v>5978</v>
      </c>
      <c r="F3467" s="8634" t="s">
        <v>2411</v>
      </c>
      <c r="G3467" s="8634" t="s">
        <v>5979</v>
      </c>
      <c r="H3467" s="8634" t="s">
        <v>24</v>
      </c>
      <c r="I3467" s="8634" t="s">
        <v>823</v>
      </c>
    </row>
    <row customHeight="1" ht="11.25">
      <c r="A3468" s="8634" t="s">
        <v>2182</v>
      </c>
      <c r="B3468" s="8634" t="s">
        <v>14</v>
      </c>
      <c r="C3468" s="8634" t="s">
        <v>5980</v>
      </c>
      <c r="D3468" s="8634" t="s">
        <v>5981</v>
      </c>
      <c r="E3468" s="8634" t="s">
        <v>5982</v>
      </c>
      <c r="F3468" s="8634" t="s">
        <v>3278</v>
      </c>
      <c r="G3468" s="8634" t="s">
        <v>24</v>
      </c>
      <c r="H3468" s="8634" t="s">
        <v>2400</v>
      </c>
      <c r="I3468" s="8634" t="s">
        <v>823</v>
      </c>
    </row>
    <row customHeight="1" ht="11.25">
      <c r="A3469" s="8634" t="s">
        <v>2182</v>
      </c>
      <c r="B3469" s="8634" t="s">
        <v>14</v>
      </c>
      <c r="C3469" s="8634" t="s">
        <v>5983</v>
      </c>
      <c r="D3469" s="8634" t="s">
        <v>5984</v>
      </c>
      <c r="E3469" s="8634" t="s">
        <v>5985</v>
      </c>
      <c r="F3469" s="8634" t="s">
        <v>2600</v>
      </c>
      <c r="G3469" s="8634" t="s">
        <v>24</v>
      </c>
      <c r="H3469" s="8634" t="s">
        <v>24</v>
      </c>
      <c r="I3469" s="8634" t="s">
        <v>823</v>
      </c>
    </row>
    <row customHeight="1" ht="11.25">
      <c r="A3470" s="8634" t="s">
        <v>2182</v>
      </c>
      <c r="B3470" s="8634" t="s">
        <v>14</v>
      </c>
      <c r="C3470" s="8634" t="s">
        <v>5989</v>
      </c>
      <c r="D3470" s="8634" t="s">
        <v>5990</v>
      </c>
      <c r="E3470" s="8634" t="s">
        <v>5991</v>
      </c>
      <c r="F3470" s="8634" t="s">
        <v>2228</v>
      </c>
      <c r="G3470" s="8634" t="s">
        <v>24</v>
      </c>
      <c r="H3470" s="8634" t="s">
        <v>24</v>
      </c>
      <c r="I3470" s="8634" t="s">
        <v>823</v>
      </c>
    </row>
    <row customHeight="1" ht="11.25">
      <c r="A3471" s="8634" t="s">
        <v>2182</v>
      </c>
      <c r="B3471" s="8634" t="s">
        <v>14</v>
      </c>
      <c r="C3471" s="8634" t="s">
        <v>5992</v>
      </c>
      <c r="D3471" s="8634" t="s">
        <v>5993</v>
      </c>
      <c r="E3471" s="8634" t="s">
        <v>5994</v>
      </c>
      <c r="F3471" s="8634" t="s">
        <v>2344</v>
      </c>
      <c r="G3471" s="8634" t="s">
        <v>5995</v>
      </c>
      <c r="H3471" s="8634" t="s">
        <v>24</v>
      </c>
      <c r="I3471" s="8634" t="s">
        <v>823</v>
      </c>
    </row>
    <row customHeight="1" ht="11.25">
      <c r="A3472" s="8634" t="s">
        <v>2182</v>
      </c>
      <c r="B3472" s="8634" t="s">
        <v>14</v>
      </c>
      <c r="C3472" s="8634" t="s">
        <v>5996</v>
      </c>
      <c r="D3472" s="8634" t="s">
        <v>5997</v>
      </c>
      <c r="E3472" s="8634" t="s">
        <v>5998</v>
      </c>
      <c r="F3472" s="8634" t="s">
        <v>2626</v>
      </c>
      <c r="G3472" s="8634" t="s">
        <v>24</v>
      </c>
      <c r="H3472" s="8634" t="s">
        <v>24</v>
      </c>
      <c r="I3472" s="8634" t="s">
        <v>823</v>
      </c>
    </row>
    <row customHeight="1" ht="11.25">
      <c r="A3473" s="8634" t="s">
        <v>2182</v>
      </c>
      <c r="B3473" s="8634" t="s">
        <v>14</v>
      </c>
      <c r="C3473" s="8634" t="s">
        <v>5999</v>
      </c>
      <c r="D3473" s="8634" t="s">
        <v>6000</v>
      </c>
      <c r="E3473" s="8634" t="s">
        <v>6001</v>
      </c>
      <c r="F3473" s="8634" t="s">
        <v>2233</v>
      </c>
      <c r="G3473" s="8634" t="s">
        <v>24</v>
      </c>
      <c r="H3473" s="8634" t="s">
        <v>24</v>
      </c>
      <c r="I3473" s="8634" t="s">
        <v>823</v>
      </c>
    </row>
    <row customHeight="1" ht="11.25">
      <c r="A3474" s="8634" t="s">
        <v>2182</v>
      </c>
      <c r="B3474" s="8634" t="s">
        <v>14</v>
      </c>
      <c r="C3474" s="8634" t="s">
        <v>7746</v>
      </c>
      <c r="D3474" s="8634" t="s">
        <v>7747</v>
      </c>
      <c r="E3474" s="8634" t="s">
        <v>7748</v>
      </c>
      <c r="F3474" s="8634" t="s">
        <v>3011</v>
      </c>
      <c r="G3474" s="8634" t="s">
        <v>7749</v>
      </c>
      <c r="H3474" s="8634" t="s">
        <v>24</v>
      </c>
      <c r="I3474" s="8634" t="s">
        <v>823</v>
      </c>
    </row>
    <row customHeight="1" ht="11.25">
      <c r="A3475" s="8634" t="s">
        <v>2182</v>
      </c>
      <c r="B3475" s="8634" t="s">
        <v>14</v>
      </c>
      <c r="C3475" s="8634" t="s">
        <v>6002</v>
      </c>
      <c r="D3475" s="8634" t="s">
        <v>6003</v>
      </c>
      <c r="E3475" s="8634" t="s">
        <v>6004</v>
      </c>
      <c r="F3475" s="8634" t="s">
        <v>2213</v>
      </c>
      <c r="G3475" s="8634" t="s">
        <v>24</v>
      </c>
      <c r="H3475" s="8634" t="s">
        <v>24</v>
      </c>
      <c r="I3475" s="8634" t="s">
        <v>823</v>
      </c>
    </row>
    <row customHeight="1" ht="11.25">
      <c r="A3476" s="8634" t="s">
        <v>2182</v>
      </c>
      <c r="B3476" s="8634" t="s">
        <v>14</v>
      </c>
      <c r="C3476" s="8634" t="s">
        <v>7750</v>
      </c>
      <c r="D3476" s="8634" t="s">
        <v>7751</v>
      </c>
      <c r="E3476" s="8634" t="s">
        <v>7752</v>
      </c>
      <c r="F3476" s="8634" t="s">
        <v>2394</v>
      </c>
      <c r="G3476" s="8634" t="s">
        <v>24</v>
      </c>
      <c r="H3476" s="8634" t="s">
        <v>24</v>
      </c>
      <c r="I3476" s="8634" t="s">
        <v>823</v>
      </c>
    </row>
    <row customHeight="1" ht="11.25">
      <c r="A3477" s="8634" t="s">
        <v>2182</v>
      </c>
      <c r="B3477" s="8634" t="s">
        <v>14</v>
      </c>
      <c r="C3477" s="8634" t="s">
        <v>6008</v>
      </c>
      <c r="D3477" s="8634" t="s">
        <v>6009</v>
      </c>
      <c r="E3477" s="8634" t="s">
        <v>6010</v>
      </c>
      <c r="F3477" s="8634" t="s">
        <v>2890</v>
      </c>
      <c r="G3477" s="8634" t="s">
        <v>24</v>
      </c>
      <c r="H3477" s="8634" t="s">
        <v>24</v>
      </c>
      <c r="I3477" s="8634" t="s">
        <v>823</v>
      </c>
    </row>
    <row customHeight="1" ht="11.25">
      <c r="A3478" s="8634" t="s">
        <v>2182</v>
      </c>
      <c r="B3478" s="8634" t="s">
        <v>14</v>
      </c>
      <c r="C3478" s="8634" t="s">
        <v>6018</v>
      </c>
      <c r="D3478" s="8634" t="s">
        <v>6019</v>
      </c>
      <c r="E3478" s="8634" t="s">
        <v>6020</v>
      </c>
      <c r="F3478" s="8634" t="s">
        <v>2460</v>
      </c>
      <c r="G3478" s="8634" t="s">
        <v>24</v>
      </c>
      <c r="H3478" s="8634" t="s">
        <v>2187</v>
      </c>
      <c r="I3478" s="8634" t="s">
        <v>823</v>
      </c>
    </row>
    <row customHeight="1" ht="11.25">
      <c r="A3479" s="8634" t="s">
        <v>2182</v>
      </c>
      <c r="B3479" s="8634" t="s">
        <v>14</v>
      </c>
      <c r="C3479" s="8634" t="s">
        <v>7753</v>
      </c>
      <c r="D3479" s="8634" t="s">
        <v>7754</v>
      </c>
      <c r="E3479" s="8634" t="s">
        <v>7755</v>
      </c>
      <c r="F3479" s="8634" t="s">
        <v>2213</v>
      </c>
      <c r="G3479" s="8634" t="s">
        <v>24</v>
      </c>
      <c r="H3479" s="8634" t="s">
        <v>24</v>
      </c>
      <c r="I3479" s="8634" t="s">
        <v>823</v>
      </c>
    </row>
    <row customHeight="1" ht="11.25">
      <c r="A3480" s="8634" t="s">
        <v>2182</v>
      </c>
      <c r="B3480" s="8634" t="s">
        <v>14</v>
      </c>
      <c r="C3480" s="8634" t="s">
        <v>6033</v>
      </c>
      <c r="D3480" s="8634" t="s">
        <v>6034</v>
      </c>
      <c r="E3480" s="8634" t="s">
        <v>6035</v>
      </c>
      <c r="F3480" s="8634" t="s">
        <v>2492</v>
      </c>
      <c r="G3480" s="8634" t="s">
        <v>24</v>
      </c>
      <c r="H3480" s="8634" t="s">
        <v>2187</v>
      </c>
      <c r="I3480" s="8634" t="s">
        <v>823</v>
      </c>
    </row>
    <row customHeight="1" ht="11.25">
      <c r="A3481" s="8634" t="s">
        <v>2182</v>
      </c>
      <c r="B3481" s="8634" t="s">
        <v>14</v>
      </c>
      <c r="C3481" s="8634" t="s">
        <v>7756</v>
      </c>
      <c r="D3481" s="8634" t="s">
        <v>7757</v>
      </c>
      <c r="E3481" s="8634" t="s">
        <v>5926</v>
      </c>
      <c r="F3481" s="8634" t="s">
        <v>7758</v>
      </c>
      <c r="G3481" s="8634" t="s">
        <v>24</v>
      </c>
      <c r="H3481" s="8634" t="s">
        <v>24</v>
      </c>
      <c r="I3481" s="8634" t="s">
        <v>823</v>
      </c>
    </row>
    <row customHeight="1" ht="11.25">
      <c r="A3482" s="8634" t="s">
        <v>2182</v>
      </c>
      <c r="B3482" s="8634" t="s">
        <v>14</v>
      </c>
      <c r="C3482" s="8634" t="s">
        <v>7759</v>
      </c>
      <c r="D3482" s="8634" t="s">
        <v>7760</v>
      </c>
      <c r="E3482" s="8634" t="s">
        <v>7761</v>
      </c>
      <c r="F3482" s="8634" t="s">
        <v>2213</v>
      </c>
      <c r="G3482" s="8634" t="s">
        <v>24</v>
      </c>
      <c r="H3482" s="8634" t="s">
        <v>24</v>
      </c>
      <c r="I3482" s="8634" t="s">
        <v>823</v>
      </c>
    </row>
    <row customHeight="1" ht="11.25">
      <c r="A3483" s="8634" t="s">
        <v>2182</v>
      </c>
      <c r="B3483" s="8634" t="s">
        <v>14</v>
      </c>
      <c r="C3483" s="8634" t="s">
        <v>6040</v>
      </c>
      <c r="D3483" s="8634" t="s">
        <v>6041</v>
      </c>
      <c r="E3483" s="8634" t="s">
        <v>6042</v>
      </c>
      <c r="F3483" s="8634" t="s">
        <v>2218</v>
      </c>
      <c r="G3483" s="8634" t="s">
        <v>24</v>
      </c>
      <c r="H3483" s="8634" t="s">
        <v>24</v>
      </c>
      <c r="I3483" s="8634" t="s">
        <v>823</v>
      </c>
    </row>
    <row customHeight="1" ht="11.25">
      <c r="A3484" s="8634" t="s">
        <v>2182</v>
      </c>
      <c r="B3484" s="8634" t="s">
        <v>14</v>
      </c>
      <c r="C3484" s="8634" t="s">
        <v>7762</v>
      </c>
      <c r="D3484" s="8634" t="s">
        <v>7763</v>
      </c>
      <c r="E3484" s="8634" t="s">
        <v>7764</v>
      </c>
      <c r="F3484" s="8634" t="s">
        <v>7765</v>
      </c>
      <c r="G3484" s="8634" t="s">
        <v>24</v>
      </c>
      <c r="H3484" s="8634" t="s">
        <v>2773</v>
      </c>
      <c r="I3484" s="8634" t="s">
        <v>823</v>
      </c>
    </row>
    <row customHeight="1" ht="11.25">
      <c r="A3485" s="8634" t="s">
        <v>2182</v>
      </c>
      <c r="B3485" s="8634" t="s">
        <v>14</v>
      </c>
      <c r="C3485" s="8634" t="s">
        <v>6049</v>
      </c>
      <c r="D3485" s="8634" t="s">
        <v>6050</v>
      </c>
      <c r="E3485" s="8634" t="s">
        <v>6051</v>
      </c>
      <c r="F3485" s="8634" t="s">
        <v>2218</v>
      </c>
      <c r="G3485" s="8634" t="s">
        <v>24</v>
      </c>
      <c r="H3485" s="8634" t="s">
        <v>2187</v>
      </c>
      <c r="I3485" s="8634" t="s">
        <v>823</v>
      </c>
    </row>
    <row customHeight="1" ht="11.25">
      <c r="A3486" s="8634" t="s">
        <v>2182</v>
      </c>
      <c r="B3486" s="8634" t="s">
        <v>14</v>
      </c>
      <c r="C3486" s="8634" t="s">
        <v>7766</v>
      </c>
      <c r="D3486" s="8634" t="s">
        <v>7767</v>
      </c>
      <c r="E3486" s="8634" t="s">
        <v>7768</v>
      </c>
      <c r="F3486" s="8634" t="s">
        <v>5774</v>
      </c>
      <c r="G3486" s="8634" t="s">
        <v>24</v>
      </c>
      <c r="H3486" s="8634" t="s">
        <v>24</v>
      </c>
      <c r="I3486" s="8634" t="s">
        <v>823</v>
      </c>
    </row>
    <row customHeight="1" ht="11.25">
      <c r="A3487" s="8634" t="s">
        <v>2182</v>
      </c>
      <c r="B3487" s="8634" t="s">
        <v>14</v>
      </c>
      <c r="C3487" s="8634" t="s">
        <v>6055</v>
      </c>
      <c r="D3487" s="8634" t="s">
        <v>6056</v>
      </c>
      <c r="E3487" s="8634" t="s">
        <v>6057</v>
      </c>
      <c r="F3487" s="8634" t="s">
        <v>2213</v>
      </c>
      <c r="G3487" s="8634" t="s">
        <v>24</v>
      </c>
      <c r="H3487" s="8634" t="s">
        <v>2187</v>
      </c>
      <c r="I3487" s="8634" t="s">
        <v>823</v>
      </c>
    </row>
    <row customHeight="1" ht="11.25">
      <c r="A3488" s="8634" t="s">
        <v>2182</v>
      </c>
      <c r="B3488" s="8634" t="s">
        <v>14</v>
      </c>
      <c r="C3488" s="8634" t="s">
        <v>7769</v>
      </c>
      <c r="D3488" s="8634" t="s">
        <v>7770</v>
      </c>
      <c r="E3488" s="8634" t="s">
        <v>7771</v>
      </c>
      <c r="F3488" s="8634" t="s">
        <v>2228</v>
      </c>
      <c r="G3488" s="8634" t="s">
        <v>24</v>
      </c>
      <c r="H3488" s="8634" t="s">
        <v>2187</v>
      </c>
      <c r="I3488" s="8634" t="s">
        <v>823</v>
      </c>
    </row>
    <row customHeight="1" ht="11.25">
      <c r="A3489" s="8634" t="s">
        <v>2182</v>
      </c>
      <c r="B3489" s="8634" t="s">
        <v>14</v>
      </c>
      <c r="C3489" s="8634" t="s">
        <v>6070</v>
      </c>
      <c r="D3489" s="8634" t="s">
        <v>6071</v>
      </c>
      <c r="E3489" s="8634" t="s">
        <v>6072</v>
      </c>
      <c r="F3489" s="8634" t="s">
        <v>2186</v>
      </c>
      <c r="G3489" s="8634" t="s">
        <v>24</v>
      </c>
      <c r="H3489" s="8634" t="s">
        <v>6073</v>
      </c>
      <c r="I3489" s="8634" t="s">
        <v>823</v>
      </c>
    </row>
    <row customHeight="1" ht="11.25">
      <c r="A3490" s="8634" t="s">
        <v>2182</v>
      </c>
      <c r="B3490" s="8634" t="s">
        <v>14</v>
      </c>
      <c r="C3490" s="8634" t="s">
        <v>8163</v>
      </c>
      <c r="D3490" s="8634" t="s">
        <v>8164</v>
      </c>
      <c r="E3490" s="8634" t="s">
        <v>8165</v>
      </c>
      <c r="F3490" s="8634" t="s">
        <v>3757</v>
      </c>
      <c r="G3490" s="8634" t="s">
        <v>24</v>
      </c>
      <c r="H3490" s="8634" t="s">
        <v>24</v>
      </c>
      <c r="I3490" s="8634" t="s">
        <v>823</v>
      </c>
    </row>
    <row customHeight="1" ht="11.25">
      <c r="A3491" s="8634" t="s">
        <v>2182</v>
      </c>
      <c r="B3491" s="8634" t="s">
        <v>14</v>
      </c>
      <c r="C3491" s="8634" t="s">
        <v>7772</v>
      </c>
      <c r="D3491" s="8634" t="s">
        <v>7773</v>
      </c>
      <c r="E3491" s="8634" t="s">
        <v>7774</v>
      </c>
      <c r="F3491" s="8634" t="s">
        <v>7775</v>
      </c>
      <c r="G3491" s="8634" t="s">
        <v>24</v>
      </c>
      <c r="H3491" s="8634" t="s">
        <v>24</v>
      </c>
      <c r="I3491" s="8634" t="s">
        <v>823</v>
      </c>
    </row>
    <row customHeight="1" ht="11.25">
      <c r="A3492" s="8634" t="s">
        <v>2182</v>
      </c>
      <c r="B3492" s="8634" t="s">
        <v>14</v>
      </c>
      <c r="C3492" s="8634" t="s">
        <v>6074</v>
      </c>
      <c r="D3492" s="8634" t="s">
        <v>6075</v>
      </c>
      <c r="E3492" s="8634" t="s">
        <v>6076</v>
      </c>
      <c r="F3492" s="8634" t="s">
        <v>2411</v>
      </c>
      <c r="G3492" s="8634" t="s">
        <v>24</v>
      </c>
      <c r="H3492" s="8634" t="s">
        <v>24</v>
      </c>
      <c r="I3492" s="8634" t="s">
        <v>823</v>
      </c>
    </row>
    <row customHeight="1" ht="11.25">
      <c r="A3493" s="8634" t="s">
        <v>2182</v>
      </c>
      <c r="B3493" s="8634" t="s">
        <v>14</v>
      </c>
      <c r="C3493" s="8634" t="s">
        <v>6077</v>
      </c>
      <c r="D3493" s="8634" t="s">
        <v>6078</v>
      </c>
      <c r="E3493" s="8634" t="s">
        <v>6079</v>
      </c>
      <c r="F3493" s="8634" t="s">
        <v>4352</v>
      </c>
      <c r="G3493" s="8634" t="s">
        <v>24</v>
      </c>
      <c r="H3493" s="8634" t="s">
        <v>2870</v>
      </c>
      <c r="I3493" s="8634" t="s">
        <v>823</v>
      </c>
    </row>
    <row customHeight="1" ht="11.25">
      <c r="A3494" s="8634" t="s">
        <v>2182</v>
      </c>
      <c r="B3494" s="8634" t="s">
        <v>14</v>
      </c>
      <c r="C3494" s="8634" t="s">
        <v>7776</v>
      </c>
      <c r="D3494" s="8634" t="s">
        <v>7777</v>
      </c>
      <c r="E3494" s="8634" t="s">
        <v>7778</v>
      </c>
      <c r="F3494" s="8634" t="s">
        <v>2318</v>
      </c>
      <c r="G3494" s="8634" t="s">
        <v>24</v>
      </c>
      <c r="H3494" s="8634" t="s">
        <v>24</v>
      </c>
      <c r="I3494" s="8634" t="s">
        <v>823</v>
      </c>
    </row>
    <row customHeight="1" ht="11.25">
      <c r="A3495" s="8634" t="s">
        <v>2182</v>
      </c>
      <c r="B3495" s="8634" t="s">
        <v>14</v>
      </c>
      <c r="C3495" s="8634" t="s">
        <v>6080</v>
      </c>
      <c r="D3495" s="8634" t="s">
        <v>6081</v>
      </c>
      <c r="E3495" s="8634" t="s">
        <v>6072</v>
      </c>
      <c r="F3495" s="8634" t="s">
        <v>6082</v>
      </c>
      <c r="G3495" s="8634" t="s">
        <v>24</v>
      </c>
      <c r="H3495" s="8634" t="s">
        <v>24</v>
      </c>
      <c r="I3495" s="8634" t="s">
        <v>823</v>
      </c>
    </row>
    <row customHeight="1" ht="11.25">
      <c r="A3496" s="8634" t="s">
        <v>2182</v>
      </c>
      <c r="B3496" s="8634" t="s">
        <v>14</v>
      </c>
      <c r="C3496" s="8634" t="s">
        <v>8166</v>
      </c>
      <c r="D3496" s="8634" t="s">
        <v>8167</v>
      </c>
      <c r="E3496" s="8634" t="s">
        <v>8168</v>
      </c>
      <c r="F3496" s="8634" t="s">
        <v>2228</v>
      </c>
      <c r="G3496" s="8634" t="s">
        <v>24</v>
      </c>
      <c r="H3496" s="8634" t="s">
        <v>2773</v>
      </c>
      <c r="I3496" s="8634" t="s">
        <v>823</v>
      </c>
    </row>
    <row customHeight="1" ht="11.25">
      <c r="A3497" s="8634" t="s">
        <v>2182</v>
      </c>
      <c r="B3497" s="8634" t="s">
        <v>14</v>
      </c>
      <c r="C3497" s="8634" t="s">
        <v>6089</v>
      </c>
      <c r="D3497" s="8634" t="s">
        <v>6090</v>
      </c>
      <c r="E3497" s="8634" t="s">
        <v>6091</v>
      </c>
      <c r="F3497" s="8634" t="s">
        <v>2318</v>
      </c>
      <c r="G3497" s="8634" t="s">
        <v>6092</v>
      </c>
      <c r="H3497" s="8634" t="s">
        <v>24</v>
      </c>
      <c r="I3497" s="8634" t="s">
        <v>823</v>
      </c>
    </row>
    <row customHeight="1" ht="11.25">
      <c r="A3498" s="8634" t="s">
        <v>2182</v>
      </c>
      <c r="B3498" s="8634" t="s">
        <v>14</v>
      </c>
      <c r="C3498" s="8634" t="s">
        <v>6093</v>
      </c>
      <c r="D3498" s="8634" t="s">
        <v>6094</v>
      </c>
      <c r="E3498" s="8634" t="s">
        <v>6095</v>
      </c>
      <c r="F3498" s="8634" t="s">
        <v>2438</v>
      </c>
      <c r="G3498" s="8634" t="s">
        <v>24</v>
      </c>
      <c r="H3498" s="8634" t="s">
        <v>6096</v>
      </c>
      <c r="I3498" s="8634" t="s">
        <v>823</v>
      </c>
    </row>
    <row customHeight="1" ht="11.25">
      <c r="A3499" s="8634" t="s">
        <v>2182</v>
      </c>
      <c r="B3499" s="8634" t="s">
        <v>14</v>
      </c>
      <c r="C3499" s="8634" t="s">
        <v>6393</v>
      </c>
      <c r="D3499" s="8634" t="s">
        <v>6394</v>
      </c>
      <c r="E3499" s="8634" t="s">
        <v>3648</v>
      </c>
      <c r="F3499" s="8634" t="s">
        <v>6395</v>
      </c>
      <c r="G3499" s="8634" t="s">
        <v>24</v>
      </c>
      <c r="H3499" s="8634" t="s">
        <v>6396</v>
      </c>
      <c r="I3499" s="8634" t="s">
        <v>823</v>
      </c>
    </row>
    <row customHeight="1" ht="11.25">
      <c r="A3500" s="8634" t="s">
        <v>2182</v>
      </c>
      <c r="B3500" s="8634" t="s">
        <v>14</v>
      </c>
      <c r="C3500" s="8634" t="s">
        <v>6107</v>
      </c>
      <c r="D3500" s="8634" t="s">
        <v>6108</v>
      </c>
      <c r="E3500" s="8634" t="s">
        <v>6109</v>
      </c>
      <c r="F3500" s="8634" t="s">
        <v>6110</v>
      </c>
      <c r="G3500" s="8634" t="s">
        <v>24</v>
      </c>
      <c r="H3500" s="8634" t="s">
        <v>24</v>
      </c>
      <c r="I3500" s="8634" t="s">
        <v>823</v>
      </c>
    </row>
    <row customHeight="1" ht="11.25">
      <c r="A3501" s="8634" t="s">
        <v>2182</v>
      </c>
      <c r="B3501" s="8634" t="s">
        <v>14</v>
      </c>
      <c r="C3501" s="8634" t="s">
        <v>7788</v>
      </c>
      <c r="D3501" s="8634" t="s">
        <v>7789</v>
      </c>
      <c r="E3501" s="8634" t="s">
        <v>6418</v>
      </c>
      <c r="F3501" s="8634" t="s">
        <v>7790</v>
      </c>
      <c r="G3501" s="8634" t="s">
        <v>24</v>
      </c>
      <c r="H3501" s="8634" t="s">
        <v>3093</v>
      </c>
      <c r="I3501" s="8634" t="s">
        <v>823</v>
      </c>
    </row>
    <row customHeight="1" ht="11.25">
      <c r="A3502" s="8634" t="s">
        <v>2182</v>
      </c>
      <c r="B3502" s="8634" t="s">
        <v>14</v>
      </c>
      <c r="C3502" s="8634" t="s">
        <v>6121</v>
      </c>
      <c r="D3502" s="8634" t="s">
        <v>6122</v>
      </c>
      <c r="E3502" s="8634" t="s">
        <v>6123</v>
      </c>
      <c r="F3502" s="8634" t="s">
        <v>2398</v>
      </c>
      <c r="G3502" s="8634" t="s">
        <v>24</v>
      </c>
      <c r="H3502" s="8634" t="s">
        <v>6124</v>
      </c>
      <c r="I3502" s="8634" t="s">
        <v>823</v>
      </c>
    </row>
    <row customHeight="1" ht="11.25">
      <c r="A3503" s="8634" t="s">
        <v>2182</v>
      </c>
      <c r="B3503" s="8634" t="s">
        <v>14</v>
      </c>
      <c r="C3503" s="8634" t="s">
        <v>6125</v>
      </c>
      <c r="D3503" s="8634" t="s">
        <v>6126</v>
      </c>
      <c r="E3503" s="8634" t="s">
        <v>6127</v>
      </c>
      <c r="F3503" s="8634" t="s">
        <v>2394</v>
      </c>
      <c r="G3503" s="8634" t="s">
        <v>24</v>
      </c>
      <c r="H3503" s="8634" t="s">
        <v>6128</v>
      </c>
      <c r="I3503" s="8634" t="s">
        <v>823</v>
      </c>
    </row>
    <row customHeight="1" ht="11.25">
      <c r="A3504" s="8634" t="s">
        <v>2182</v>
      </c>
      <c r="B3504" s="8634" t="s">
        <v>14</v>
      </c>
      <c r="C3504" s="8634" t="s">
        <v>7791</v>
      </c>
      <c r="D3504" s="8634" t="s">
        <v>7792</v>
      </c>
      <c r="E3504" s="8634" t="s">
        <v>7793</v>
      </c>
      <c r="F3504" s="8634" t="s">
        <v>2948</v>
      </c>
      <c r="G3504" s="8634" t="s">
        <v>7794</v>
      </c>
      <c r="H3504" s="8634" t="s">
        <v>5410</v>
      </c>
      <c r="I3504" s="8634" t="s">
        <v>823</v>
      </c>
    </row>
    <row customHeight="1" ht="11.25">
      <c r="A3505" s="8634" t="s">
        <v>2182</v>
      </c>
      <c r="B3505" s="8634" t="s">
        <v>14</v>
      </c>
      <c r="C3505" s="8634" t="s">
        <v>8169</v>
      </c>
      <c r="D3505" s="8634" t="s">
        <v>8170</v>
      </c>
      <c r="E3505" s="8634" t="s">
        <v>8171</v>
      </c>
      <c r="F3505" s="8634" t="s">
        <v>2354</v>
      </c>
      <c r="G3505" s="8634" t="s">
        <v>8172</v>
      </c>
      <c r="H3505" s="8634" t="s">
        <v>24</v>
      </c>
      <c r="I3505" s="8634" t="s">
        <v>823</v>
      </c>
    </row>
    <row customHeight="1" ht="11.25">
      <c r="A3506" s="8634" t="s">
        <v>2182</v>
      </c>
      <c r="B3506" s="8634" t="s">
        <v>14</v>
      </c>
      <c r="C3506" s="8634" t="s">
        <v>7795</v>
      </c>
      <c r="D3506" s="8634" t="s">
        <v>7796</v>
      </c>
      <c r="E3506" s="8634" t="s">
        <v>7797</v>
      </c>
      <c r="F3506" s="8634" t="s">
        <v>4717</v>
      </c>
      <c r="G3506" s="8634" t="s">
        <v>24</v>
      </c>
      <c r="H3506" s="8634" t="s">
        <v>2870</v>
      </c>
      <c r="I3506" s="8634" t="s">
        <v>823</v>
      </c>
    </row>
    <row customHeight="1" ht="11.25">
      <c r="A3507" s="8634" t="s">
        <v>2182</v>
      </c>
      <c r="B3507" s="8634" t="s">
        <v>14</v>
      </c>
      <c r="C3507" s="8634" t="s">
        <v>7798</v>
      </c>
      <c r="D3507" s="8634" t="s">
        <v>7799</v>
      </c>
      <c r="E3507" s="8634" t="s">
        <v>3020</v>
      </c>
      <c r="F3507" s="8634" t="s">
        <v>7800</v>
      </c>
      <c r="G3507" s="8634" t="s">
        <v>6152</v>
      </c>
      <c r="H3507" s="8634" t="s">
        <v>2870</v>
      </c>
      <c r="I3507" s="8634" t="s">
        <v>823</v>
      </c>
    </row>
    <row customHeight="1" ht="11.25">
      <c r="A3508" s="8634" t="s">
        <v>2182</v>
      </c>
      <c r="B3508" s="8634" t="s">
        <v>14</v>
      </c>
      <c r="C3508" s="8634" t="s">
        <v>7806</v>
      </c>
      <c r="D3508" s="8634" t="s">
        <v>7807</v>
      </c>
      <c r="E3508" s="8634" t="s">
        <v>7808</v>
      </c>
      <c r="F3508" s="8634" t="s">
        <v>2438</v>
      </c>
      <c r="G3508" s="8634" t="s">
        <v>7809</v>
      </c>
      <c r="H3508" s="8634" t="s">
        <v>6427</v>
      </c>
      <c r="I3508" s="8634" t="s">
        <v>823</v>
      </c>
    </row>
    <row customHeight="1" ht="11.25">
      <c r="A3509" s="8634" t="s">
        <v>2182</v>
      </c>
      <c r="B3509" s="8634" t="s">
        <v>14</v>
      </c>
      <c r="C3509" s="8634" t="s">
        <v>6136</v>
      </c>
      <c r="D3509" s="8634" t="s">
        <v>6137</v>
      </c>
      <c r="E3509" s="8634" t="s">
        <v>6138</v>
      </c>
      <c r="F3509" s="8634" t="s">
        <v>2284</v>
      </c>
      <c r="G3509" s="8634" t="s">
        <v>24</v>
      </c>
      <c r="H3509" s="8634" t="s">
        <v>24</v>
      </c>
      <c r="I3509" s="8634" t="s">
        <v>823</v>
      </c>
    </row>
    <row customHeight="1" ht="11.25">
      <c r="A3510" s="8634" t="s">
        <v>2182</v>
      </c>
      <c r="B3510" s="8634" t="s">
        <v>14</v>
      </c>
      <c r="C3510" s="8634" t="s">
        <v>6139</v>
      </c>
      <c r="D3510" s="8634" t="s">
        <v>6140</v>
      </c>
      <c r="E3510" s="8634" t="s">
        <v>6141</v>
      </c>
      <c r="F3510" s="8634" t="s">
        <v>2600</v>
      </c>
      <c r="G3510" s="8634" t="s">
        <v>24</v>
      </c>
      <c r="H3510" s="8634" t="s">
        <v>24</v>
      </c>
      <c r="I3510" s="8634" t="s">
        <v>823</v>
      </c>
    </row>
    <row customHeight="1" ht="11.25">
      <c r="A3511" s="8634" t="s">
        <v>2182</v>
      </c>
      <c r="B3511" s="8634" t="s">
        <v>14</v>
      </c>
      <c r="C3511" s="8634" t="s">
        <v>6142</v>
      </c>
      <c r="D3511" s="8634" t="s">
        <v>6143</v>
      </c>
      <c r="E3511" s="8634" t="s">
        <v>6144</v>
      </c>
      <c r="F3511" s="8634" t="s">
        <v>2890</v>
      </c>
      <c r="G3511" s="8634" t="s">
        <v>24</v>
      </c>
      <c r="H3511" s="8634" t="s">
        <v>24</v>
      </c>
      <c r="I3511" s="8634" t="s">
        <v>823</v>
      </c>
    </row>
    <row customHeight="1" ht="11.25">
      <c r="A3512" s="8634" t="s">
        <v>2182</v>
      </c>
      <c r="B3512" s="8634" t="s">
        <v>14</v>
      </c>
      <c r="C3512" s="8634" t="s">
        <v>6145</v>
      </c>
      <c r="D3512" s="8634" t="s">
        <v>6146</v>
      </c>
      <c r="E3512" s="8634" t="s">
        <v>6147</v>
      </c>
      <c r="F3512" s="8634" t="s">
        <v>2411</v>
      </c>
      <c r="G3512" s="8634" t="s">
        <v>6148</v>
      </c>
      <c r="H3512" s="8634" t="s">
        <v>24</v>
      </c>
      <c r="I3512" s="8634" t="s">
        <v>823</v>
      </c>
    </row>
    <row customHeight="1" ht="11.25">
      <c r="A3513" s="8634" t="s">
        <v>2182</v>
      </c>
      <c r="B3513" s="8634" t="s">
        <v>14</v>
      </c>
      <c r="C3513" s="8634" t="s">
        <v>6153</v>
      </c>
      <c r="D3513" s="8634" t="s">
        <v>6154</v>
      </c>
      <c r="E3513" s="8634" t="s">
        <v>6155</v>
      </c>
      <c r="F3513" s="8634" t="s">
        <v>2233</v>
      </c>
      <c r="G3513" s="8634" t="s">
        <v>24</v>
      </c>
      <c r="H3513" s="8634" t="s">
        <v>24</v>
      </c>
      <c r="I3513" s="8634" t="s">
        <v>823</v>
      </c>
    </row>
    <row customHeight="1" ht="11.25">
      <c r="A3514" s="8634" t="s">
        <v>2182</v>
      </c>
      <c r="B3514" s="8634" t="s">
        <v>14</v>
      </c>
      <c r="C3514" s="8634" t="s">
        <v>6156</v>
      </c>
      <c r="D3514" s="8634" t="s">
        <v>6157</v>
      </c>
      <c r="E3514" s="8634" t="s">
        <v>6158</v>
      </c>
      <c r="F3514" s="8634" t="s">
        <v>2512</v>
      </c>
      <c r="G3514" s="8634" t="s">
        <v>24</v>
      </c>
      <c r="H3514" s="8634" t="s">
        <v>2187</v>
      </c>
      <c r="I3514" s="8634" t="s">
        <v>823</v>
      </c>
    </row>
    <row customHeight="1" ht="11.25">
      <c r="A3515" s="8634" t="s">
        <v>2182</v>
      </c>
      <c r="B3515" s="8634" t="s">
        <v>14</v>
      </c>
      <c r="C3515" s="8634" t="s">
        <v>6159</v>
      </c>
      <c r="D3515" s="8634" t="s">
        <v>6160</v>
      </c>
      <c r="E3515" s="8634" t="s">
        <v>6161</v>
      </c>
      <c r="F3515" s="8634" t="s">
        <v>2394</v>
      </c>
      <c r="G3515" s="8634" t="s">
        <v>24</v>
      </c>
      <c r="H3515" s="8634" t="s">
        <v>24</v>
      </c>
      <c r="I3515" s="8634" t="s">
        <v>823</v>
      </c>
    </row>
    <row customHeight="1" ht="11.25">
      <c r="A3516" s="8634" t="s">
        <v>2182</v>
      </c>
      <c r="B3516" s="8634" t="s">
        <v>14</v>
      </c>
      <c r="C3516" s="8634" t="s">
        <v>7810</v>
      </c>
      <c r="D3516" s="8634" t="s">
        <v>7811</v>
      </c>
      <c r="E3516" s="8634" t="s">
        <v>7812</v>
      </c>
      <c r="F3516" s="8634" t="s">
        <v>2245</v>
      </c>
      <c r="G3516" s="8634" t="s">
        <v>7813</v>
      </c>
      <c r="H3516" s="8634" t="s">
        <v>2697</v>
      </c>
      <c r="I3516" s="8634" t="s">
        <v>823</v>
      </c>
    </row>
    <row customHeight="1" ht="11.25">
      <c r="A3517" s="8634" t="s">
        <v>2182</v>
      </c>
      <c r="B3517" s="8634" t="s">
        <v>14</v>
      </c>
      <c r="C3517" s="8634" t="s">
        <v>6162</v>
      </c>
      <c r="D3517" s="8634" t="s">
        <v>6163</v>
      </c>
      <c r="E3517" s="8634" t="s">
        <v>6164</v>
      </c>
      <c r="F3517" s="8634" t="s">
        <v>2344</v>
      </c>
      <c r="G3517" s="8634" t="s">
        <v>6165</v>
      </c>
      <c r="H3517" s="8634" t="s">
        <v>24</v>
      </c>
      <c r="I3517" s="8634" t="s">
        <v>823</v>
      </c>
    </row>
    <row customHeight="1" ht="11.25">
      <c r="A3518" s="8634" t="s">
        <v>2182</v>
      </c>
      <c r="B3518" s="8634" t="s">
        <v>14</v>
      </c>
      <c r="C3518" s="8634" t="s">
        <v>6168</v>
      </c>
      <c r="D3518" s="8634" t="s">
        <v>6169</v>
      </c>
      <c r="E3518" s="8634" t="s">
        <v>6170</v>
      </c>
      <c r="F3518" s="8634" t="s">
        <v>6171</v>
      </c>
      <c r="G3518" s="8634" t="s">
        <v>24</v>
      </c>
      <c r="H3518" s="8634" t="s">
        <v>2187</v>
      </c>
      <c r="I3518" s="8634" t="s">
        <v>823</v>
      </c>
    </row>
    <row customHeight="1" ht="11.25">
      <c r="A3519" s="8634" t="s">
        <v>2182</v>
      </c>
      <c r="B3519" s="8634" t="s">
        <v>14</v>
      </c>
      <c r="C3519" s="8634" t="s">
        <v>6172</v>
      </c>
      <c r="D3519" s="8634" t="s">
        <v>6169</v>
      </c>
      <c r="E3519" s="8634" t="s">
        <v>6170</v>
      </c>
      <c r="F3519" s="8634" t="s">
        <v>2318</v>
      </c>
      <c r="G3519" s="8634" t="s">
        <v>6173</v>
      </c>
      <c r="H3519" s="8634" t="s">
        <v>24</v>
      </c>
      <c r="I3519" s="8634" t="s">
        <v>823</v>
      </c>
    </row>
    <row customHeight="1" ht="11.25">
      <c r="A3520" s="8634" t="s">
        <v>2182</v>
      </c>
      <c r="B3520" s="8634" t="s">
        <v>14</v>
      </c>
      <c r="C3520" s="8634" t="s">
        <v>6174</v>
      </c>
      <c r="D3520" s="8634" t="s">
        <v>6175</v>
      </c>
      <c r="E3520" s="8634" t="s">
        <v>6079</v>
      </c>
      <c r="F3520" s="8634" t="s">
        <v>6176</v>
      </c>
      <c r="G3520" s="8634" t="s">
        <v>24</v>
      </c>
      <c r="H3520" s="8634" t="s">
        <v>2187</v>
      </c>
      <c r="I3520" s="8634" t="s">
        <v>823</v>
      </c>
    </row>
    <row customHeight="1" ht="11.25">
      <c r="A3521" s="8634" t="s">
        <v>2182</v>
      </c>
      <c r="B3521" s="8634" t="s">
        <v>14</v>
      </c>
      <c r="C3521" s="8634" t="s">
        <v>7814</v>
      </c>
      <c r="D3521" s="8634" t="s">
        <v>7815</v>
      </c>
      <c r="E3521" s="8634" t="s">
        <v>6512</v>
      </c>
      <c r="F3521" s="8634" t="s">
        <v>7816</v>
      </c>
      <c r="G3521" s="8634" t="s">
        <v>24</v>
      </c>
      <c r="H3521" s="8634" t="s">
        <v>7817</v>
      </c>
      <c r="I3521" s="8634" t="s">
        <v>823</v>
      </c>
    </row>
    <row customHeight="1" ht="11.25">
      <c r="A3522" s="8634" t="s">
        <v>2182</v>
      </c>
      <c r="B3522" s="8634" t="s">
        <v>14</v>
      </c>
      <c r="C3522" s="8634" t="s">
        <v>6188</v>
      </c>
      <c r="D3522" s="8634" t="s">
        <v>6189</v>
      </c>
      <c r="E3522" s="8634" t="s">
        <v>6190</v>
      </c>
      <c r="F3522" s="8634" t="s">
        <v>6191</v>
      </c>
      <c r="G3522" s="8634" t="s">
        <v>6192</v>
      </c>
      <c r="H3522" s="8634" t="s">
        <v>24</v>
      </c>
      <c r="I3522" s="8634" t="s">
        <v>823</v>
      </c>
    </row>
    <row customHeight="1" ht="11.25">
      <c r="A3523" s="8634" t="s">
        <v>2182</v>
      </c>
      <c r="B3523" s="8634" t="s">
        <v>14</v>
      </c>
      <c r="C3523" s="8634" t="s">
        <v>6196</v>
      </c>
      <c r="D3523" s="8634" t="s">
        <v>6197</v>
      </c>
      <c r="E3523" s="8634" t="s">
        <v>6198</v>
      </c>
      <c r="F3523" s="8634" t="s">
        <v>6199</v>
      </c>
      <c r="G3523" s="8634" t="s">
        <v>6200</v>
      </c>
      <c r="H3523" s="8634" t="s">
        <v>24</v>
      </c>
      <c r="I3523" s="8634" t="s">
        <v>823</v>
      </c>
    </row>
    <row customHeight="1" ht="11.25">
      <c r="A3524" s="8634" t="s">
        <v>2182</v>
      </c>
      <c r="B3524" s="8634" t="s">
        <v>14</v>
      </c>
      <c r="C3524" s="8634" t="s">
        <v>6201</v>
      </c>
      <c r="D3524" s="8634" t="s">
        <v>6202</v>
      </c>
      <c r="E3524" s="8634" t="s">
        <v>6203</v>
      </c>
      <c r="F3524" s="8634" t="s">
        <v>6204</v>
      </c>
      <c r="G3524" s="8634" t="s">
        <v>6205</v>
      </c>
      <c r="H3524" s="8634" t="s">
        <v>24</v>
      </c>
      <c r="I3524" s="8634" t="s">
        <v>823</v>
      </c>
    </row>
    <row customHeight="1" ht="11.25">
      <c r="A3525" s="8634" t="s">
        <v>2182</v>
      </c>
      <c r="B3525" s="8634" t="s">
        <v>14</v>
      </c>
      <c r="C3525" s="8634" t="s">
        <v>8173</v>
      </c>
      <c r="D3525" s="8634" t="s">
        <v>8174</v>
      </c>
      <c r="E3525" s="8634" t="s">
        <v>3020</v>
      </c>
      <c r="F3525" s="8634" t="s">
        <v>8175</v>
      </c>
      <c r="G3525" s="8634" t="s">
        <v>8176</v>
      </c>
      <c r="H3525" s="8634" t="s">
        <v>24</v>
      </c>
      <c r="I3525" s="8634" t="s">
        <v>823</v>
      </c>
    </row>
    <row customHeight="1" ht="11.25">
      <c r="A3526" s="8634" t="s">
        <v>2182</v>
      </c>
      <c r="B3526" s="8634" t="s">
        <v>14</v>
      </c>
      <c r="C3526" s="8634" t="s">
        <v>7823</v>
      </c>
      <c r="D3526" s="8634" t="s">
        <v>7824</v>
      </c>
      <c r="E3526" s="8634" t="s">
        <v>3020</v>
      </c>
      <c r="F3526" s="8634" t="s">
        <v>7825</v>
      </c>
      <c r="G3526" s="8634" t="s">
        <v>3021</v>
      </c>
      <c r="H3526" s="8634" t="s">
        <v>24</v>
      </c>
      <c r="I3526" s="8634" t="s">
        <v>823</v>
      </c>
    </row>
    <row customHeight="1" ht="11.25">
      <c r="A3527" s="8634" t="s">
        <v>2182</v>
      </c>
      <c r="B3527" s="8634" t="s">
        <v>14</v>
      </c>
      <c r="C3527" s="8634" t="s">
        <v>7826</v>
      </c>
      <c r="D3527" s="8634" t="s">
        <v>7827</v>
      </c>
      <c r="E3527" s="8634" t="s">
        <v>7828</v>
      </c>
      <c r="F3527" s="8634" t="s">
        <v>2626</v>
      </c>
      <c r="G3527" s="8634" t="s">
        <v>24</v>
      </c>
      <c r="H3527" s="8634" t="s">
        <v>2187</v>
      </c>
      <c r="I3527" s="8634" t="s">
        <v>823</v>
      </c>
    </row>
    <row customHeight="1" ht="11.25">
      <c r="A3528" s="8634" t="s">
        <v>2182</v>
      </c>
      <c r="B3528" s="8634" t="s">
        <v>14</v>
      </c>
      <c r="C3528" s="8634" t="s">
        <v>7832</v>
      </c>
      <c r="D3528" s="8634" t="s">
        <v>7833</v>
      </c>
      <c r="E3528" s="8634" t="s">
        <v>2746</v>
      </c>
      <c r="F3528" s="8634" t="s">
        <v>5863</v>
      </c>
      <c r="G3528" s="8634" t="s">
        <v>24</v>
      </c>
      <c r="H3528" s="8634" t="s">
        <v>24</v>
      </c>
      <c r="I3528" s="8634" t="s">
        <v>823</v>
      </c>
    </row>
    <row customHeight="1" ht="11.25">
      <c r="A3529" s="8634" t="s">
        <v>2182</v>
      </c>
      <c r="B3529" s="8634" t="s">
        <v>14</v>
      </c>
      <c r="C3529" s="8634" t="s">
        <v>7834</v>
      </c>
      <c r="D3529" s="8634" t="s">
        <v>7835</v>
      </c>
      <c r="E3529" s="8634" t="s">
        <v>5777</v>
      </c>
      <c r="F3529" s="8634" t="s">
        <v>7836</v>
      </c>
      <c r="G3529" s="8634" t="s">
        <v>24</v>
      </c>
      <c r="H3529" s="8634" t="s">
        <v>24</v>
      </c>
      <c r="I3529" s="8634" t="s">
        <v>823</v>
      </c>
    </row>
    <row customHeight="1" ht="11.25">
      <c r="A3530" s="8634" t="s">
        <v>2182</v>
      </c>
      <c r="B3530" s="8634" t="s">
        <v>14</v>
      </c>
      <c r="C3530" s="8634" t="s">
        <v>7837</v>
      </c>
      <c r="D3530" s="8634" t="s">
        <v>7838</v>
      </c>
      <c r="E3530" s="8634" t="s">
        <v>7041</v>
      </c>
      <c r="F3530" s="8634" t="s">
        <v>7839</v>
      </c>
      <c r="G3530" s="8634" t="s">
        <v>24</v>
      </c>
      <c r="H3530" s="8634" t="s">
        <v>24</v>
      </c>
      <c r="I3530" s="8634" t="s">
        <v>823</v>
      </c>
    </row>
    <row customHeight="1" ht="11.25">
      <c r="A3531" s="8634" t="s">
        <v>2182</v>
      </c>
      <c r="B3531" s="8634" t="s">
        <v>14</v>
      </c>
      <c r="C3531" s="8634" t="s">
        <v>6219</v>
      </c>
      <c r="D3531" s="8634" t="s">
        <v>6220</v>
      </c>
      <c r="E3531" s="8634" t="s">
        <v>6221</v>
      </c>
      <c r="F3531" s="8634" t="s">
        <v>2322</v>
      </c>
      <c r="G3531" s="8634" t="s">
        <v>24</v>
      </c>
      <c r="H3531" s="8634" t="s">
        <v>24</v>
      </c>
      <c r="I3531" s="8634" t="s">
        <v>823</v>
      </c>
    </row>
    <row customHeight="1" ht="11.25">
      <c r="A3532" s="8634" t="s">
        <v>2182</v>
      </c>
      <c r="B3532" s="8634" t="s">
        <v>14</v>
      </c>
      <c r="C3532" s="8634" t="s">
        <v>6225</v>
      </c>
      <c r="D3532" s="8634" t="s">
        <v>6226</v>
      </c>
      <c r="E3532" s="8634" t="s">
        <v>5698</v>
      </c>
      <c r="F3532" s="8634" t="s">
        <v>6227</v>
      </c>
      <c r="G3532" s="8634" t="s">
        <v>24</v>
      </c>
      <c r="H3532" s="8634" t="s">
        <v>24</v>
      </c>
      <c r="I3532" s="8634" t="s">
        <v>823</v>
      </c>
    </row>
    <row customHeight="1" ht="11.25">
      <c r="A3533" s="8634" t="s">
        <v>2182</v>
      </c>
      <c r="B3533" s="8634" t="s">
        <v>14</v>
      </c>
      <c r="C3533" s="8634" t="s">
        <v>6228</v>
      </c>
      <c r="D3533" s="8634" t="s">
        <v>6229</v>
      </c>
      <c r="E3533" s="8634" t="s">
        <v>6230</v>
      </c>
      <c r="F3533" s="8634" t="s">
        <v>6231</v>
      </c>
      <c r="G3533" s="8634" t="s">
        <v>6232</v>
      </c>
      <c r="H3533" s="8634" t="s">
        <v>24</v>
      </c>
      <c r="I3533" s="8634" t="s">
        <v>823</v>
      </c>
    </row>
    <row customHeight="1" ht="11.25">
      <c r="A3534" s="8634" t="s">
        <v>2182</v>
      </c>
      <c r="B3534" s="8634" t="s">
        <v>14</v>
      </c>
      <c r="C3534" s="8634" t="s">
        <v>6236</v>
      </c>
      <c r="D3534" s="8634" t="s">
        <v>6237</v>
      </c>
      <c r="E3534" s="8634" t="s">
        <v>6238</v>
      </c>
      <c r="F3534" s="8634" t="s">
        <v>2721</v>
      </c>
      <c r="G3534" s="8634" t="s">
        <v>6239</v>
      </c>
      <c r="H3534" s="8634" t="s">
        <v>24</v>
      </c>
      <c r="I3534" s="8634" t="s">
        <v>823</v>
      </c>
    </row>
    <row customHeight="1" ht="11.25">
      <c r="A3535" s="8634" t="s">
        <v>2182</v>
      </c>
      <c r="B3535" s="8634" t="s">
        <v>14</v>
      </c>
      <c r="C3535" s="8634" t="s">
        <v>6240</v>
      </c>
      <c r="D3535" s="8634" t="s">
        <v>6241</v>
      </c>
      <c r="E3535" s="8634" t="s">
        <v>5171</v>
      </c>
      <c r="F3535" s="8634" t="s">
        <v>6242</v>
      </c>
      <c r="G3535" s="8634" t="s">
        <v>24</v>
      </c>
      <c r="H3535" s="8634" t="s">
        <v>24</v>
      </c>
      <c r="I3535" s="8634" t="s">
        <v>823</v>
      </c>
    </row>
    <row customHeight="1" ht="11.25">
      <c r="A3536" s="8634" t="s">
        <v>2182</v>
      </c>
      <c r="B3536" s="8634" t="s">
        <v>14</v>
      </c>
      <c r="C3536" s="8634" t="s">
        <v>7849</v>
      </c>
      <c r="D3536" s="8634" t="s">
        <v>7850</v>
      </c>
      <c r="E3536" s="8634" t="s">
        <v>3779</v>
      </c>
      <c r="F3536" s="8634" t="s">
        <v>7851</v>
      </c>
      <c r="G3536" s="8634" t="s">
        <v>7852</v>
      </c>
      <c r="H3536" s="8634" t="s">
        <v>2187</v>
      </c>
      <c r="I3536" s="8634" t="s">
        <v>823</v>
      </c>
    </row>
    <row customHeight="1" ht="11.25">
      <c r="A3537" s="8634" t="s">
        <v>2182</v>
      </c>
      <c r="B3537" s="8634" t="s">
        <v>14</v>
      </c>
      <c r="C3537" s="8634" t="s">
        <v>7853</v>
      </c>
      <c r="D3537" s="8634" t="s">
        <v>7854</v>
      </c>
      <c r="E3537" s="8634" t="s">
        <v>3779</v>
      </c>
      <c r="F3537" s="8634" t="s">
        <v>7825</v>
      </c>
      <c r="G3537" s="8634" t="s">
        <v>24</v>
      </c>
      <c r="H3537" s="8634" t="s">
        <v>2187</v>
      </c>
      <c r="I3537" s="8634" t="s">
        <v>823</v>
      </c>
    </row>
    <row customHeight="1" ht="11.25">
      <c r="A3538" s="8634" t="s">
        <v>2182</v>
      </c>
      <c r="B3538" s="8634" t="s">
        <v>14</v>
      </c>
      <c r="C3538" s="8634" t="s">
        <v>6251</v>
      </c>
      <c r="D3538" s="8634" t="s">
        <v>6252</v>
      </c>
      <c r="E3538" s="8634" t="s">
        <v>5777</v>
      </c>
      <c r="F3538" s="8634" t="s">
        <v>6253</v>
      </c>
      <c r="G3538" s="8634" t="s">
        <v>24</v>
      </c>
      <c r="H3538" s="8634" t="s">
        <v>24</v>
      </c>
      <c r="I3538" s="8634" t="s">
        <v>823</v>
      </c>
    </row>
    <row customHeight="1" ht="11.25">
      <c r="A3539" s="8634" t="s">
        <v>2182</v>
      </c>
      <c r="B3539" s="8634" t="s">
        <v>14</v>
      </c>
      <c r="C3539" s="8634" t="s">
        <v>8177</v>
      </c>
      <c r="D3539" s="8634" t="s">
        <v>8178</v>
      </c>
      <c r="E3539" s="8634" t="s">
        <v>8179</v>
      </c>
      <c r="F3539" s="8634" t="s">
        <v>2228</v>
      </c>
      <c r="G3539" s="8634" t="s">
        <v>24</v>
      </c>
      <c r="H3539" s="8634" t="s">
        <v>24</v>
      </c>
      <c r="I3539" s="8634" t="s">
        <v>1545</v>
      </c>
    </row>
    <row customHeight="1" ht="11.25">
      <c r="A3540" s="8634" t="s">
        <v>2182</v>
      </c>
      <c r="B3540" s="8634" t="s">
        <v>14</v>
      </c>
      <c r="C3540" s="8634" t="s">
        <v>8180</v>
      </c>
      <c r="D3540" s="8634" t="s">
        <v>8181</v>
      </c>
      <c r="E3540" s="8634" t="s">
        <v>8182</v>
      </c>
      <c r="F3540" s="8634" t="s">
        <v>2721</v>
      </c>
      <c r="G3540" s="8634" t="s">
        <v>8183</v>
      </c>
      <c r="H3540" s="8634" t="s">
        <v>24</v>
      </c>
      <c r="I3540" s="8634" t="s">
        <v>1545</v>
      </c>
    </row>
    <row customHeight="1" ht="11.25">
      <c r="A3541" s="8634" t="s">
        <v>2182</v>
      </c>
      <c r="B3541" s="8634" t="s">
        <v>14</v>
      </c>
      <c r="C3541" s="8634" t="s">
        <v>8184</v>
      </c>
      <c r="D3541" s="8634" t="s">
        <v>8185</v>
      </c>
      <c r="E3541" s="8634" t="s">
        <v>8186</v>
      </c>
      <c r="F3541" s="8634" t="s">
        <v>575</v>
      </c>
      <c r="G3541" s="8634" t="s">
        <v>24</v>
      </c>
      <c r="H3541" s="8634" t="s">
        <v>24</v>
      </c>
      <c r="I3541" s="8634" t="s">
        <v>1545</v>
      </c>
    </row>
    <row customHeight="1" ht="11.25">
      <c r="A3542" s="8634" t="s">
        <v>2182</v>
      </c>
      <c r="B3542" s="8634" t="s">
        <v>14</v>
      </c>
      <c r="C3542" s="8634" t="s">
        <v>8187</v>
      </c>
      <c r="D3542" s="8634" t="s">
        <v>8188</v>
      </c>
      <c r="E3542" s="8634" t="s">
        <v>8189</v>
      </c>
      <c r="F3542" s="8634" t="s">
        <v>575</v>
      </c>
      <c r="G3542" s="8634" t="s">
        <v>24</v>
      </c>
      <c r="H3542" s="8634" t="s">
        <v>24</v>
      </c>
      <c r="I3542" s="8634" t="s">
        <v>1545</v>
      </c>
    </row>
    <row customHeight="1" ht="11.25">
      <c r="A3543" s="8634" t="s">
        <v>2182</v>
      </c>
      <c r="B3543" s="8634" t="s">
        <v>14</v>
      </c>
      <c r="C3543" s="8634" t="s">
        <v>24</v>
      </c>
      <c r="D3543" s="8634" t="s">
        <v>3263</v>
      </c>
      <c r="E3543" s="8634" t="s">
        <v>3264</v>
      </c>
      <c r="F3543" s="8634" t="s">
        <v>2218</v>
      </c>
      <c r="G3543" s="8634" t="s">
        <v>24</v>
      </c>
      <c r="H3543" s="8634" t="s">
        <v>24</v>
      </c>
      <c r="I3543" s="8634" t="s">
        <v>1545</v>
      </c>
    </row>
    <row customHeight="1" ht="11.25">
      <c r="A3544" s="8634" t="s">
        <v>2182</v>
      </c>
      <c r="B3544" s="8634" t="s">
        <v>14</v>
      </c>
      <c r="C3544" s="8634" t="s">
        <v>8190</v>
      </c>
      <c r="D3544" s="8634" t="s">
        <v>8191</v>
      </c>
      <c r="E3544" s="8634" t="s">
        <v>8192</v>
      </c>
      <c r="F3544" s="8634" t="s">
        <v>3437</v>
      </c>
      <c r="G3544" s="8634" t="s">
        <v>24</v>
      </c>
      <c r="H3544" s="8634" t="s">
        <v>24</v>
      </c>
      <c r="I3544" s="8634" t="s">
        <v>1545</v>
      </c>
    </row>
    <row customHeight="1" ht="11.25">
      <c r="A3545" s="8634" t="s">
        <v>2182</v>
      </c>
      <c r="B3545" s="8634" t="s">
        <v>14</v>
      </c>
      <c r="C3545" s="8634" t="s">
        <v>8193</v>
      </c>
      <c r="D3545" s="8634" t="s">
        <v>8194</v>
      </c>
      <c r="E3545" s="8634" t="s">
        <v>8195</v>
      </c>
      <c r="F3545" s="8634" t="s">
        <v>3460</v>
      </c>
      <c r="G3545" s="8634" t="s">
        <v>8196</v>
      </c>
      <c r="H3545" s="8634" t="s">
        <v>24</v>
      </c>
      <c r="I3545" s="8634" t="s">
        <v>1545</v>
      </c>
    </row>
    <row customHeight="1" ht="11.25">
      <c r="A3546" s="8634" t="s">
        <v>2182</v>
      </c>
      <c r="B3546" s="8634" t="s">
        <v>14</v>
      </c>
      <c r="C3546" s="8634" t="s">
        <v>8197</v>
      </c>
      <c r="D3546" s="8634" t="s">
        <v>8198</v>
      </c>
      <c r="E3546" s="8634" t="s">
        <v>8199</v>
      </c>
      <c r="F3546" s="8634" t="s">
        <v>2389</v>
      </c>
      <c r="G3546" s="8634" t="s">
        <v>24</v>
      </c>
      <c r="H3546" s="8634" t="s">
        <v>8200</v>
      </c>
      <c r="I3546" s="8634" t="s">
        <v>1545</v>
      </c>
    </row>
    <row customHeight="1" ht="11.25">
      <c r="A3547" s="8634" t="s">
        <v>2182</v>
      </c>
      <c r="B3547" s="8634" t="s">
        <v>14</v>
      </c>
      <c r="C3547" s="8634" t="s">
        <v>8201</v>
      </c>
      <c r="D3547" s="8634" t="s">
        <v>8202</v>
      </c>
      <c r="E3547" s="8634" t="s">
        <v>8203</v>
      </c>
      <c r="F3547" s="8634" t="s">
        <v>2223</v>
      </c>
      <c r="G3547" s="8634" t="s">
        <v>24</v>
      </c>
      <c r="H3547" s="8634" t="s">
        <v>24</v>
      </c>
      <c r="I3547" s="8634" t="s">
        <v>1545</v>
      </c>
    </row>
    <row customHeight="1" ht="11.25">
      <c r="A3548" s="8634" t="s">
        <v>2182</v>
      </c>
      <c r="B3548" s="8634" t="s">
        <v>14</v>
      </c>
      <c r="C3548" s="8634" t="s">
        <v>8204</v>
      </c>
      <c r="D3548" s="8634" t="s">
        <v>8205</v>
      </c>
      <c r="E3548" s="8634" t="s">
        <v>8206</v>
      </c>
      <c r="F3548" s="8634" t="s">
        <v>2492</v>
      </c>
      <c r="G3548" s="8634" t="s">
        <v>24</v>
      </c>
      <c r="H3548" s="8634" t="s">
        <v>8207</v>
      </c>
      <c r="I3548" s="8634" t="s">
        <v>1545</v>
      </c>
    </row>
    <row customHeight="1" ht="11.25">
      <c r="A3549" s="8634" t="s">
        <v>2182</v>
      </c>
      <c r="B3549" s="8634" t="s">
        <v>14</v>
      </c>
      <c r="C3549" s="8634" t="s">
        <v>8208</v>
      </c>
      <c r="D3549" s="8634" t="s">
        <v>8209</v>
      </c>
      <c r="E3549" s="8634" t="s">
        <v>8210</v>
      </c>
      <c r="F3549" s="8634" t="s">
        <v>2460</v>
      </c>
      <c r="G3549" s="8634" t="s">
        <v>24</v>
      </c>
      <c r="H3549" s="8634" t="s">
        <v>2238</v>
      </c>
      <c r="I3549" s="8634" t="s">
        <v>1545</v>
      </c>
    </row>
    <row customHeight="1" ht="11.25">
      <c r="A3550" s="8634" t="s">
        <v>2182</v>
      </c>
      <c r="B3550" s="8634" t="s">
        <v>14</v>
      </c>
      <c r="C3550" s="8634" t="s">
        <v>8211</v>
      </c>
      <c r="D3550" s="8634" t="s">
        <v>8212</v>
      </c>
      <c r="E3550" s="8634" t="s">
        <v>8213</v>
      </c>
      <c r="F3550" s="8634" t="s">
        <v>2250</v>
      </c>
      <c r="G3550" s="8634" t="s">
        <v>8214</v>
      </c>
      <c r="H3550" s="8634" t="s">
        <v>8215</v>
      </c>
      <c r="I3550" s="8634" t="s">
        <v>1545</v>
      </c>
    </row>
    <row customHeight="1" ht="11.25">
      <c r="A3551" s="8634" t="s">
        <v>2182</v>
      </c>
      <c r="B3551" s="8634" t="s">
        <v>14</v>
      </c>
      <c r="C3551" s="8634" t="s">
        <v>8216</v>
      </c>
      <c r="D3551" s="8634" t="s">
        <v>8217</v>
      </c>
      <c r="E3551" s="8634" t="s">
        <v>8218</v>
      </c>
      <c r="F3551" s="8634" t="s">
        <v>2721</v>
      </c>
      <c r="G3551" s="8634" t="s">
        <v>24</v>
      </c>
      <c r="H3551" s="8634" t="s">
        <v>2187</v>
      </c>
      <c r="I3551" s="8634" t="s">
        <v>1545</v>
      </c>
    </row>
    <row customHeight="1" ht="11.25">
      <c r="A3552" s="8634" t="s">
        <v>2182</v>
      </c>
      <c r="B3552" s="8634" t="s">
        <v>14</v>
      </c>
      <c r="C3552" s="8634" t="s">
        <v>8219</v>
      </c>
      <c r="D3552" s="8634" t="s">
        <v>8220</v>
      </c>
      <c r="E3552" s="8634" t="s">
        <v>8221</v>
      </c>
      <c r="F3552" s="8634" t="s">
        <v>3235</v>
      </c>
      <c r="G3552" s="8634" t="s">
        <v>24</v>
      </c>
      <c r="H3552" s="8634" t="s">
        <v>24</v>
      </c>
      <c r="I3552" s="8634" t="s">
        <v>1545</v>
      </c>
    </row>
    <row customHeight="1" ht="11.25">
      <c r="A3553" s="8634" t="s">
        <v>2182</v>
      </c>
      <c r="B3553" s="8634" t="s">
        <v>14</v>
      </c>
      <c r="C3553" s="8634" t="s">
        <v>8222</v>
      </c>
      <c r="D3553" s="8634" t="s">
        <v>8223</v>
      </c>
      <c r="E3553" s="8634" t="s">
        <v>8224</v>
      </c>
      <c r="F3553" s="8634" t="s">
        <v>2727</v>
      </c>
      <c r="G3553" s="8634" t="s">
        <v>8225</v>
      </c>
      <c r="H3553" s="8634" t="s">
        <v>24</v>
      </c>
      <c r="I3553" s="8634" t="s">
        <v>1545</v>
      </c>
    </row>
    <row customHeight="1" ht="11.25">
      <c r="A3554" s="8634" t="s">
        <v>2182</v>
      </c>
      <c r="B3554" s="8634" t="s">
        <v>14</v>
      </c>
      <c r="C3554" s="8634" t="s">
        <v>8226</v>
      </c>
      <c r="D3554" s="8634" t="s">
        <v>8227</v>
      </c>
      <c r="E3554" s="8634" t="s">
        <v>8228</v>
      </c>
      <c r="F3554" s="8634" t="s">
        <v>5111</v>
      </c>
      <c r="G3554" s="8634" t="s">
        <v>8229</v>
      </c>
      <c r="H3554" s="8634" t="s">
        <v>24</v>
      </c>
      <c r="I3554" s="8634" t="s">
        <v>1545</v>
      </c>
    </row>
    <row customHeight="1" ht="11.25">
      <c r="A3555" s="8634" t="s">
        <v>2182</v>
      </c>
      <c r="B3555" s="8634" t="s">
        <v>14</v>
      </c>
      <c r="C3555" s="8634" t="s">
        <v>8230</v>
      </c>
      <c r="D3555" s="8634" t="s">
        <v>8231</v>
      </c>
      <c r="E3555" s="8634" t="s">
        <v>8232</v>
      </c>
      <c r="F3555" s="8634" t="s">
        <v>2269</v>
      </c>
      <c r="G3555" s="8634" t="s">
        <v>8233</v>
      </c>
      <c r="H3555" s="8634" t="s">
        <v>24</v>
      </c>
      <c r="I3555" s="8634" t="s">
        <v>1545</v>
      </c>
    </row>
    <row customHeight="1" ht="11.25">
      <c r="A3556" s="8634" t="s">
        <v>2182</v>
      </c>
      <c r="B3556" s="8634" t="s">
        <v>14</v>
      </c>
      <c r="C3556" s="8634" t="s">
        <v>8234</v>
      </c>
      <c r="D3556" s="8634" t="s">
        <v>8235</v>
      </c>
      <c r="E3556" s="8634" t="s">
        <v>8236</v>
      </c>
      <c r="F3556" s="8634" t="s">
        <v>2284</v>
      </c>
      <c r="G3556" s="8634" t="s">
        <v>8237</v>
      </c>
      <c r="H3556" s="8634" t="s">
        <v>24</v>
      </c>
      <c r="I3556" s="8634" t="s">
        <v>1545</v>
      </c>
    </row>
    <row customHeight="1" ht="11.25">
      <c r="A3557" s="8634" t="s">
        <v>2182</v>
      </c>
      <c r="B3557" s="8634" t="s">
        <v>14</v>
      </c>
      <c r="C3557" s="8634" t="s">
        <v>8238</v>
      </c>
      <c r="D3557" s="8634" t="s">
        <v>8239</v>
      </c>
      <c r="E3557" s="8634" t="s">
        <v>8240</v>
      </c>
      <c r="F3557" s="8634" t="s">
        <v>2218</v>
      </c>
      <c r="G3557" s="8634" t="s">
        <v>8241</v>
      </c>
      <c r="H3557" s="8634" t="s">
        <v>24</v>
      </c>
      <c r="I3557" s="8634" t="s">
        <v>1545</v>
      </c>
    </row>
    <row customHeight="1" ht="11.25">
      <c r="A3558" s="8634" t="s">
        <v>2182</v>
      </c>
      <c r="B3558" s="8634" t="s">
        <v>14</v>
      </c>
      <c r="C3558" s="8634" t="s">
        <v>8242</v>
      </c>
      <c r="D3558" s="8634" t="s">
        <v>8243</v>
      </c>
      <c r="E3558" s="8634" t="s">
        <v>8244</v>
      </c>
      <c r="F3558" s="8634" t="s">
        <v>8245</v>
      </c>
      <c r="G3558" s="8634" t="s">
        <v>24</v>
      </c>
      <c r="H3558" s="8634" t="s">
        <v>24</v>
      </c>
      <c r="I3558" s="8634" t="s">
        <v>1545</v>
      </c>
    </row>
    <row customHeight="1" ht="11.25">
      <c r="A3559" s="8634" t="s">
        <v>2182</v>
      </c>
      <c r="B3559" s="8634" t="s">
        <v>14</v>
      </c>
      <c r="C3559" s="8634" t="s">
        <v>8246</v>
      </c>
      <c r="D3559" s="8634" t="s">
        <v>8247</v>
      </c>
      <c r="E3559" s="8634" t="s">
        <v>8248</v>
      </c>
      <c r="F3559" s="8634" t="s">
        <v>3437</v>
      </c>
      <c r="G3559" s="8634" t="s">
        <v>24</v>
      </c>
      <c r="H3559" s="8634" t="s">
        <v>24</v>
      </c>
      <c r="I3559" s="8634" t="s">
        <v>1545</v>
      </c>
    </row>
    <row customHeight="1" ht="11.25">
      <c r="A3560" s="8634" t="s">
        <v>2182</v>
      </c>
      <c r="B3560" s="8634" t="s">
        <v>14</v>
      </c>
      <c r="C3560" s="8634" t="s">
        <v>8249</v>
      </c>
      <c r="D3560" s="8634" t="s">
        <v>8250</v>
      </c>
      <c r="E3560" s="8634" t="s">
        <v>8251</v>
      </c>
      <c r="F3560" s="8634" t="s">
        <v>3437</v>
      </c>
      <c r="G3560" s="8634" t="s">
        <v>24</v>
      </c>
      <c r="H3560" s="8634" t="s">
        <v>24</v>
      </c>
      <c r="I3560" s="8634" t="s">
        <v>1545</v>
      </c>
    </row>
    <row customHeight="1" ht="11.25">
      <c r="A3561" s="8634" t="s">
        <v>2182</v>
      </c>
      <c r="B3561" s="8634" t="s">
        <v>14</v>
      </c>
      <c r="C3561" s="8634" t="s">
        <v>8252</v>
      </c>
      <c r="D3561" s="8634" t="s">
        <v>8253</v>
      </c>
      <c r="E3561" s="8634" t="s">
        <v>8254</v>
      </c>
      <c r="F3561" s="8634" t="s">
        <v>2245</v>
      </c>
      <c r="G3561" s="8634" t="s">
        <v>8255</v>
      </c>
      <c r="H3561" s="8634" t="s">
        <v>24</v>
      </c>
      <c r="I3561" s="8634" t="s">
        <v>1545</v>
      </c>
    </row>
    <row customHeight="1" ht="11.25">
      <c r="A3562" s="8634" t="s">
        <v>2182</v>
      </c>
      <c r="B3562" s="8634" t="s">
        <v>14</v>
      </c>
      <c r="C3562" s="8634" t="s">
        <v>8256</v>
      </c>
      <c r="D3562" s="8634" t="s">
        <v>8257</v>
      </c>
      <c r="E3562" s="8634" t="s">
        <v>8258</v>
      </c>
      <c r="F3562" s="8634" t="s">
        <v>2344</v>
      </c>
      <c r="G3562" s="8634" t="s">
        <v>8259</v>
      </c>
      <c r="H3562" s="8634" t="s">
        <v>24</v>
      </c>
      <c r="I3562" s="8634" t="s">
        <v>1545</v>
      </c>
    </row>
    <row customHeight="1" ht="11.25">
      <c r="A3563" s="8634" t="s">
        <v>2182</v>
      </c>
      <c r="B3563" s="8634" t="s">
        <v>14</v>
      </c>
      <c r="C3563" s="8634" t="s">
        <v>8260</v>
      </c>
      <c r="D3563" s="8634" t="s">
        <v>8261</v>
      </c>
      <c r="E3563" s="8634" t="s">
        <v>8262</v>
      </c>
      <c r="F3563" s="8634" t="s">
        <v>2398</v>
      </c>
      <c r="G3563" s="8634" t="s">
        <v>8263</v>
      </c>
      <c r="H3563" s="8634" t="s">
        <v>24</v>
      </c>
      <c r="I3563" s="8634" t="s">
        <v>1545</v>
      </c>
    </row>
    <row customHeight="1" ht="11.25">
      <c r="A3564" s="8634" t="s">
        <v>2182</v>
      </c>
      <c r="B3564" s="8634" t="s">
        <v>14</v>
      </c>
      <c r="C3564" s="8634" t="s">
        <v>8264</v>
      </c>
      <c r="D3564" s="8634" t="s">
        <v>8265</v>
      </c>
      <c r="E3564" s="8634" t="s">
        <v>8266</v>
      </c>
      <c r="F3564" s="8634" t="s">
        <v>2334</v>
      </c>
      <c r="G3564" s="8634" t="s">
        <v>8267</v>
      </c>
      <c r="H3564" s="8634" t="s">
        <v>24</v>
      </c>
      <c r="I3564" s="8634" t="s">
        <v>1545</v>
      </c>
    </row>
    <row customHeight="1" ht="11.25">
      <c r="A3565" s="8634" t="s">
        <v>2182</v>
      </c>
      <c r="B3565" s="8634" t="s">
        <v>14</v>
      </c>
      <c r="C3565" s="8634" t="s">
        <v>8268</v>
      </c>
      <c r="D3565" s="8634" t="s">
        <v>8269</v>
      </c>
      <c r="E3565" s="8634" t="s">
        <v>8270</v>
      </c>
      <c r="F3565" s="8634" t="s">
        <v>2742</v>
      </c>
      <c r="G3565" s="8634" t="s">
        <v>24</v>
      </c>
      <c r="H3565" s="8634" t="s">
        <v>24</v>
      </c>
      <c r="I3565" s="8634" t="s">
        <v>1545</v>
      </c>
    </row>
    <row customHeight="1" ht="11.25">
      <c r="A3566" s="8634" t="s">
        <v>2182</v>
      </c>
      <c r="B3566" s="8634" t="s">
        <v>14</v>
      </c>
      <c r="C3566" s="8634" t="s">
        <v>8271</v>
      </c>
      <c r="D3566" s="8634" t="s">
        <v>8272</v>
      </c>
      <c r="E3566" s="8634" t="s">
        <v>8273</v>
      </c>
      <c r="F3566" s="8634" t="s">
        <v>2705</v>
      </c>
      <c r="G3566" s="8634" t="s">
        <v>8274</v>
      </c>
      <c r="H3566" s="8634" t="s">
        <v>2400</v>
      </c>
      <c r="I3566" s="8634" t="s">
        <v>1545</v>
      </c>
    </row>
    <row customHeight="1" ht="11.25">
      <c r="A3567" s="8634" t="s">
        <v>2182</v>
      </c>
      <c r="B3567" s="8634" t="s">
        <v>14</v>
      </c>
      <c r="C3567" s="8634" t="s">
        <v>8275</v>
      </c>
      <c r="D3567" s="8634" t="s">
        <v>8276</v>
      </c>
      <c r="E3567" s="8634" t="s">
        <v>8277</v>
      </c>
      <c r="F3567" s="8634" t="s">
        <v>5111</v>
      </c>
      <c r="G3567" s="8634" t="s">
        <v>24</v>
      </c>
      <c r="H3567" s="8634" t="s">
        <v>24</v>
      </c>
      <c r="I3567" s="8634" t="s">
        <v>1545</v>
      </c>
    </row>
    <row customHeight="1" ht="11.25">
      <c r="A3568" s="8634" t="s">
        <v>2182</v>
      </c>
      <c r="B3568" s="8634" t="s">
        <v>14</v>
      </c>
      <c r="C3568" s="8634" t="s">
        <v>8278</v>
      </c>
      <c r="D3568" s="8634" t="s">
        <v>8279</v>
      </c>
      <c r="E3568" s="8634" t="s">
        <v>8280</v>
      </c>
      <c r="F3568" s="8634" t="s">
        <v>2349</v>
      </c>
      <c r="G3568" s="8634" t="s">
        <v>8281</v>
      </c>
      <c r="H3568" s="8634" t="s">
        <v>24</v>
      </c>
      <c r="I3568" s="8634" t="s">
        <v>1545</v>
      </c>
    </row>
    <row customHeight="1" ht="11.25">
      <c r="A3569" s="8634" t="s">
        <v>2182</v>
      </c>
      <c r="B3569" s="8634" t="s">
        <v>14</v>
      </c>
      <c r="C3569" s="8634" t="s">
        <v>8282</v>
      </c>
      <c r="D3569" s="8634" t="s">
        <v>8283</v>
      </c>
      <c r="E3569" s="8634" t="s">
        <v>8284</v>
      </c>
      <c r="F3569" s="8634" t="s">
        <v>2411</v>
      </c>
      <c r="G3569" s="8634" t="s">
        <v>24</v>
      </c>
      <c r="H3569" s="8634" t="s">
        <v>24</v>
      </c>
      <c r="I3569" s="8634" t="s">
        <v>1545</v>
      </c>
    </row>
    <row customHeight="1" ht="11.25">
      <c r="A3570" s="8634" t="s">
        <v>2182</v>
      </c>
      <c r="B3570" s="8634" t="s">
        <v>14</v>
      </c>
      <c r="C3570" s="8634" t="s">
        <v>8285</v>
      </c>
      <c r="D3570" s="8634" t="s">
        <v>8286</v>
      </c>
      <c r="E3570" s="8634" t="s">
        <v>8287</v>
      </c>
      <c r="F3570" s="8634" t="s">
        <v>2376</v>
      </c>
      <c r="G3570" s="8634" t="s">
        <v>24</v>
      </c>
      <c r="H3570" s="8634" t="s">
        <v>24</v>
      </c>
      <c r="I3570" s="8634" t="s">
        <v>1545</v>
      </c>
    </row>
    <row customHeight="1" ht="11.25">
      <c r="A3571" s="8634" t="s">
        <v>2182</v>
      </c>
      <c r="B3571" s="8634" t="s">
        <v>14</v>
      </c>
      <c r="C3571" s="8634" t="s">
        <v>8288</v>
      </c>
      <c r="D3571" s="8634" t="s">
        <v>8289</v>
      </c>
      <c r="E3571" s="8634" t="s">
        <v>8290</v>
      </c>
      <c r="F3571" s="8634" t="s">
        <v>2344</v>
      </c>
      <c r="G3571" s="8634" t="s">
        <v>8291</v>
      </c>
      <c r="H3571" s="8634" t="s">
        <v>24</v>
      </c>
      <c r="I3571" s="8634" t="s">
        <v>1545</v>
      </c>
    </row>
    <row customHeight="1" ht="11.25">
      <c r="A3572" s="8634" t="s">
        <v>2182</v>
      </c>
      <c r="B3572" s="8634" t="s">
        <v>14</v>
      </c>
      <c r="C3572" s="8634" t="s">
        <v>8292</v>
      </c>
      <c r="D3572" s="8634" t="s">
        <v>8293</v>
      </c>
      <c r="E3572" s="8634" t="s">
        <v>8294</v>
      </c>
      <c r="F3572" s="8634" t="s">
        <v>3437</v>
      </c>
      <c r="G3572" s="8634" t="s">
        <v>8295</v>
      </c>
      <c r="H3572" s="8634" t="s">
        <v>24</v>
      </c>
      <c r="I3572" s="8634" t="s">
        <v>1545</v>
      </c>
    </row>
    <row customHeight="1" ht="11.25">
      <c r="A3573" s="8634" t="s">
        <v>2182</v>
      </c>
      <c r="B3573" s="8634" t="s">
        <v>14</v>
      </c>
      <c r="C3573" s="8634" t="s">
        <v>8296</v>
      </c>
      <c r="D3573" s="8634" t="s">
        <v>8297</v>
      </c>
      <c r="E3573" s="8634" t="s">
        <v>8298</v>
      </c>
      <c r="F3573" s="8634" t="s">
        <v>3235</v>
      </c>
      <c r="G3573" s="8634" t="s">
        <v>8299</v>
      </c>
      <c r="H3573" s="8634" t="s">
        <v>24</v>
      </c>
      <c r="I3573" s="8634" t="s">
        <v>1545</v>
      </c>
    </row>
    <row customHeight="1" ht="11.25">
      <c r="A3574" s="8634" t="s">
        <v>2182</v>
      </c>
      <c r="B3574" s="8634" t="s">
        <v>14</v>
      </c>
      <c r="C3574" s="8634" t="s">
        <v>8300</v>
      </c>
      <c r="D3574" s="8634" t="s">
        <v>8301</v>
      </c>
      <c r="E3574" s="8634" t="s">
        <v>8302</v>
      </c>
      <c r="F3574" s="8634" t="s">
        <v>5235</v>
      </c>
      <c r="G3574" s="8634" t="s">
        <v>8303</v>
      </c>
      <c r="H3574" s="8634" t="s">
        <v>24</v>
      </c>
      <c r="I3574" s="8634" t="s">
        <v>1545</v>
      </c>
    </row>
    <row customHeight="1" ht="11.25">
      <c r="A3575" s="8634" t="s">
        <v>2182</v>
      </c>
      <c r="B3575" s="8634" t="s">
        <v>14</v>
      </c>
      <c r="C3575" s="8634" t="s">
        <v>8304</v>
      </c>
      <c r="D3575" s="8634" t="s">
        <v>8305</v>
      </c>
      <c r="E3575" s="8634" t="s">
        <v>8306</v>
      </c>
      <c r="F3575" s="8634" t="s">
        <v>2460</v>
      </c>
      <c r="G3575" s="8634" t="s">
        <v>8307</v>
      </c>
      <c r="H3575" s="8634" t="s">
        <v>24</v>
      </c>
      <c r="I3575" s="8634" t="s">
        <v>1545</v>
      </c>
    </row>
    <row customHeight="1" ht="11.25">
      <c r="A3576" s="8634" t="s">
        <v>2182</v>
      </c>
      <c r="B3576" s="8634" t="s">
        <v>14</v>
      </c>
      <c r="C3576" s="8634" t="s">
        <v>8308</v>
      </c>
      <c r="D3576" s="8634" t="s">
        <v>8309</v>
      </c>
      <c r="E3576" s="8634" t="s">
        <v>8310</v>
      </c>
      <c r="F3576" s="8634" t="s">
        <v>4446</v>
      </c>
      <c r="G3576" s="8634" t="s">
        <v>8311</v>
      </c>
      <c r="H3576" s="8634" t="s">
        <v>24</v>
      </c>
      <c r="I3576" s="8634" t="s">
        <v>1545</v>
      </c>
    </row>
    <row customHeight="1" ht="11.25">
      <c r="A3577" s="8634" t="s">
        <v>2182</v>
      </c>
      <c r="B3577" s="8634" t="s">
        <v>14</v>
      </c>
      <c r="C3577" s="8634" t="s">
        <v>8312</v>
      </c>
      <c r="D3577" s="8634" t="s">
        <v>8313</v>
      </c>
      <c r="E3577" s="8634" t="s">
        <v>8314</v>
      </c>
      <c r="F3577" s="8634" t="s">
        <v>2223</v>
      </c>
      <c r="G3577" s="8634" t="s">
        <v>8315</v>
      </c>
      <c r="H3577" s="8634" t="s">
        <v>24</v>
      </c>
      <c r="I3577" s="8634" t="s">
        <v>1545</v>
      </c>
    </row>
    <row customHeight="1" ht="11.25">
      <c r="A3578" s="8634" t="s">
        <v>2182</v>
      </c>
      <c r="B3578" s="8634" t="s">
        <v>14</v>
      </c>
      <c r="C3578" s="8634" t="s">
        <v>8316</v>
      </c>
      <c r="D3578" s="8634" t="s">
        <v>8317</v>
      </c>
      <c r="E3578" s="8634" t="s">
        <v>8318</v>
      </c>
      <c r="F3578" s="8634" t="s">
        <v>2274</v>
      </c>
      <c r="G3578" s="8634" t="s">
        <v>8319</v>
      </c>
      <c r="H3578" s="8634" t="s">
        <v>24</v>
      </c>
      <c r="I3578" s="8634" t="s">
        <v>1545</v>
      </c>
    </row>
    <row customHeight="1" ht="11.25">
      <c r="A3579" s="8634" t="s">
        <v>2182</v>
      </c>
      <c r="B3579" s="8634" t="s">
        <v>14</v>
      </c>
      <c r="C3579" s="8634" t="s">
        <v>8320</v>
      </c>
      <c r="D3579" s="8634" t="s">
        <v>8321</v>
      </c>
      <c r="E3579" s="8634" t="s">
        <v>8322</v>
      </c>
      <c r="F3579" s="8634" t="s">
        <v>2213</v>
      </c>
      <c r="G3579" s="8634" t="s">
        <v>8323</v>
      </c>
      <c r="H3579" s="8634" t="s">
        <v>24</v>
      </c>
      <c r="I3579" s="8634" t="s">
        <v>1545</v>
      </c>
    </row>
    <row customHeight="1" ht="11.25">
      <c r="A3580" s="8634" t="s">
        <v>2182</v>
      </c>
      <c r="B3580" s="8634" t="s">
        <v>14</v>
      </c>
      <c r="C3580" s="8634" t="s">
        <v>4865</v>
      </c>
      <c r="D3580" s="8634" t="s">
        <v>4866</v>
      </c>
      <c r="E3580" s="8634" t="s">
        <v>4867</v>
      </c>
      <c r="F3580" s="8634" t="s">
        <v>2721</v>
      </c>
      <c r="G3580" s="8634" t="s">
        <v>4868</v>
      </c>
      <c r="H3580" s="8634" t="s">
        <v>24</v>
      </c>
      <c r="I3580" s="8634" t="s">
        <v>1545</v>
      </c>
    </row>
    <row customHeight="1" ht="11.25">
      <c r="A3581" s="8634" t="s">
        <v>2182</v>
      </c>
      <c r="B3581" s="8634" t="s">
        <v>14</v>
      </c>
      <c r="C3581" s="8634" t="s">
        <v>8324</v>
      </c>
      <c r="D3581" s="8634" t="s">
        <v>8325</v>
      </c>
      <c r="E3581" s="8634" t="s">
        <v>8326</v>
      </c>
      <c r="F3581" s="8634" t="s">
        <v>2349</v>
      </c>
      <c r="G3581" s="8634" t="s">
        <v>24</v>
      </c>
      <c r="H3581" s="8634" t="s">
        <v>24</v>
      </c>
      <c r="I3581" s="8634" t="s">
        <v>1545</v>
      </c>
    </row>
    <row customHeight="1" ht="11.25">
      <c r="A3582" s="8634" t="s">
        <v>2182</v>
      </c>
      <c r="B3582" s="8634" t="s">
        <v>14</v>
      </c>
      <c r="C3582" s="8634" t="s">
        <v>8327</v>
      </c>
      <c r="D3582" s="8634" t="s">
        <v>8328</v>
      </c>
      <c r="E3582" s="8634" t="s">
        <v>8329</v>
      </c>
      <c r="F3582" s="8634" t="s">
        <v>2330</v>
      </c>
      <c r="G3582" s="8634" t="s">
        <v>8330</v>
      </c>
      <c r="H3582" s="8634" t="s">
        <v>24</v>
      </c>
      <c r="I3582" s="8634" t="s">
        <v>1545</v>
      </c>
    </row>
    <row customHeight="1" ht="11.25">
      <c r="A3583" s="8634" t="s">
        <v>2182</v>
      </c>
      <c r="B3583" s="8634" t="s">
        <v>14</v>
      </c>
      <c r="C3583" s="8634" t="s">
        <v>8331</v>
      </c>
      <c r="D3583" s="8634" t="s">
        <v>8332</v>
      </c>
      <c r="E3583" s="8634" t="s">
        <v>8333</v>
      </c>
      <c r="F3583" s="8634" t="s">
        <v>2334</v>
      </c>
      <c r="G3583" s="8634" t="s">
        <v>8334</v>
      </c>
      <c r="H3583" s="8634" t="s">
        <v>24</v>
      </c>
      <c r="I3583" s="8634" t="s">
        <v>1545</v>
      </c>
    </row>
    <row customHeight="1" ht="11.25">
      <c r="A3584" s="8634" t="s">
        <v>2182</v>
      </c>
      <c r="B3584" s="8634" t="s">
        <v>14</v>
      </c>
      <c r="C3584" s="8634" t="s">
        <v>8335</v>
      </c>
      <c r="D3584" s="8634" t="s">
        <v>8336</v>
      </c>
      <c r="E3584" s="8634" t="s">
        <v>8337</v>
      </c>
      <c r="F3584" s="8634" t="s">
        <v>2567</v>
      </c>
      <c r="G3584" s="8634" t="s">
        <v>24</v>
      </c>
      <c r="H3584" s="8634" t="s">
        <v>24</v>
      </c>
      <c r="I3584" s="8634" t="s">
        <v>1545</v>
      </c>
    </row>
    <row customHeight="1" ht="11.25">
      <c r="A3585" s="8634" t="s">
        <v>2182</v>
      </c>
      <c r="B3585" s="8634" t="s">
        <v>14</v>
      </c>
      <c r="C3585" s="8634" t="s">
        <v>8338</v>
      </c>
      <c r="D3585" s="8634" t="s">
        <v>8339</v>
      </c>
      <c r="E3585" s="8634" t="s">
        <v>8340</v>
      </c>
      <c r="F3585" s="8634" t="s">
        <v>3757</v>
      </c>
      <c r="G3585" s="8634" t="s">
        <v>8341</v>
      </c>
      <c r="H3585" s="8634" t="s">
        <v>24</v>
      </c>
      <c r="I3585" s="8634" t="s">
        <v>1545</v>
      </c>
    </row>
    <row customHeight="1" ht="11.25">
      <c r="A3586" s="8634" t="s">
        <v>2182</v>
      </c>
      <c r="B3586" s="8634" t="s">
        <v>14</v>
      </c>
      <c r="C3586" s="8634" t="s">
        <v>8342</v>
      </c>
      <c r="D3586" s="8634" t="s">
        <v>8343</v>
      </c>
      <c r="E3586" s="8634" t="s">
        <v>8344</v>
      </c>
      <c r="F3586" s="8634" t="s">
        <v>8345</v>
      </c>
      <c r="G3586" s="8634" t="s">
        <v>8346</v>
      </c>
      <c r="H3586" s="8634" t="s">
        <v>24</v>
      </c>
      <c r="I3586" s="8634" t="s">
        <v>1545</v>
      </c>
    </row>
    <row customHeight="1" ht="11.25">
      <c r="A3587" s="8634" t="s">
        <v>2182</v>
      </c>
      <c r="B3587" s="8634" t="s">
        <v>14</v>
      </c>
      <c r="C3587" s="8634" t="s">
        <v>8347</v>
      </c>
      <c r="D3587" s="8634" t="s">
        <v>8348</v>
      </c>
      <c r="E3587" s="8634" t="s">
        <v>8349</v>
      </c>
      <c r="F3587" s="8634" t="s">
        <v>2600</v>
      </c>
      <c r="G3587" s="8634" t="s">
        <v>24</v>
      </c>
      <c r="H3587" s="8634" t="s">
        <v>24</v>
      </c>
      <c r="I3587" s="8634" t="s">
        <v>1545</v>
      </c>
    </row>
    <row customHeight="1" ht="11.25">
      <c r="A3588" s="8634" t="s">
        <v>2182</v>
      </c>
      <c r="B3588" s="8634" t="s">
        <v>14</v>
      </c>
      <c r="C3588" s="8634" t="s">
        <v>8350</v>
      </c>
      <c r="D3588" s="8634" t="s">
        <v>8351</v>
      </c>
      <c r="E3588" s="8634" t="s">
        <v>8352</v>
      </c>
      <c r="F3588" s="8634" t="s">
        <v>2339</v>
      </c>
      <c r="G3588" s="8634" t="s">
        <v>8353</v>
      </c>
      <c r="H3588" s="8634" t="s">
        <v>24</v>
      </c>
      <c r="I3588" s="8634" t="s">
        <v>1545</v>
      </c>
    </row>
    <row customHeight="1" ht="11.25">
      <c r="A3589" s="8634" t="s">
        <v>2182</v>
      </c>
      <c r="B3589" s="8634" t="s">
        <v>14</v>
      </c>
      <c r="C3589" s="8634" t="s">
        <v>8354</v>
      </c>
      <c r="D3589" s="8634" t="s">
        <v>8355</v>
      </c>
      <c r="E3589" s="8634" t="s">
        <v>8356</v>
      </c>
      <c r="F3589" s="8634" t="s">
        <v>2705</v>
      </c>
      <c r="G3589" s="8634" t="s">
        <v>3721</v>
      </c>
      <c r="H3589" s="8634" t="s">
        <v>24</v>
      </c>
      <c r="I3589" s="8634" t="s">
        <v>1545</v>
      </c>
    </row>
    <row customHeight="1" ht="11.25">
      <c r="A3590" s="8634" t="s">
        <v>2182</v>
      </c>
      <c r="B3590" s="8634" t="s">
        <v>14</v>
      </c>
      <c r="C3590" s="8634" t="s">
        <v>8357</v>
      </c>
      <c r="D3590" s="8634" t="s">
        <v>8358</v>
      </c>
      <c r="E3590" s="8634" t="s">
        <v>8359</v>
      </c>
      <c r="F3590" s="8634" t="s">
        <v>2363</v>
      </c>
      <c r="G3590" s="8634" t="s">
        <v>24</v>
      </c>
      <c r="H3590" s="8634" t="s">
        <v>24</v>
      </c>
      <c r="I3590" s="8634" t="s">
        <v>1545</v>
      </c>
    </row>
    <row customHeight="1" ht="11.25">
      <c r="A3591" s="8634" t="s">
        <v>2182</v>
      </c>
      <c r="B3591" s="8634" t="s">
        <v>14</v>
      </c>
      <c r="C3591" s="8634" t="s">
        <v>8360</v>
      </c>
      <c r="D3591" s="8634" t="s">
        <v>8361</v>
      </c>
      <c r="E3591" s="8634" t="s">
        <v>8362</v>
      </c>
      <c r="F3591" s="8634" t="s">
        <v>4717</v>
      </c>
      <c r="G3591" s="8634" t="s">
        <v>24</v>
      </c>
      <c r="H3591" s="8634" t="s">
        <v>24</v>
      </c>
      <c r="I3591" s="8634" t="s">
        <v>1545</v>
      </c>
    </row>
    <row customHeight="1" ht="11.25">
      <c r="A3592" s="8634" t="s">
        <v>2182</v>
      </c>
      <c r="B3592" s="8634" t="s">
        <v>14</v>
      </c>
      <c r="C3592" s="8634" t="s">
        <v>8363</v>
      </c>
      <c r="D3592" s="8634" t="s">
        <v>8364</v>
      </c>
      <c r="E3592" s="8634" t="s">
        <v>8365</v>
      </c>
      <c r="F3592" s="8634" t="s">
        <v>2218</v>
      </c>
      <c r="G3592" s="8634" t="s">
        <v>24</v>
      </c>
      <c r="H3592" s="8634" t="s">
        <v>24</v>
      </c>
      <c r="I3592" s="8634" t="s">
        <v>1545</v>
      </c>
    </row>
    <row customHeight="1" ht="11.25">
      <c r="A3593" s="8634" t="s">
        <v>2182</v>
      </c>
      <c r="B3593" s="8634" t="s">
        <v>14</v>
      </c>
      <c r="C3593" s="8634" t="s">
        <v>8366</v>
      </c>
      <c r="D3593" s="8634" t="s">
        <v>8367</v>
      </c>
      <c r="E3593" s="8634" t="s">
        <v>8368</v>
      </c>
      <c r="F3593" s="8634" t="s">
        <v>2727</v>
      </c>
      <c r="G3593" s="8634" t="s">
        <v>8369</v>
      </c>
      <c r="H3593" s="8634" t="s">
        <v>24</v>
      </c>
      <c r="I3593" s="8634" t="s">
        <v>1545</v>
      </c>
    </row>
    <row customHeight="1" ht="11.25">
      <c r="A3594" s="8634" t="s">
        <v>2182</v>
      </c>
      <c r="B3594" s="8634" t="s">
        <v>14</v>
      </c>
      <c r="C3594" s="8634" t="s">
        <v>8370</v>
      </c>
      <c r="D3594" s="8634" t="s">
        <v>8371</v>
      </c>
      <c r="E3594" s="8634" t="s">
        <v>8372</v>
      </c>
      <c r="F3594" s="8634" t="s">
        <v>2279</v>
      </c>
      <c r="G3594" s="8634" t="s">
        <v>8373</v>
      </c>
      <c r="H3594" s="8634" t="s">
        <v>24</v>
      </c>
      <c r="I3594" s="8634" t="s">
        <v>1545</v>
      </c>
    </row>
    <row customHeight="1" ht="11.25">
      <c r="A3595" s="8634" t="s">
        <v>2182</v>
      </c>
      <c r="B3595" s="8634" t="s">
        <v>14</v>
      </c>
      <c r="C3595" s="8634" t="s">
        <v>8374</v>
      </c>
      <c r="D3595" s="8634" t="s">
        <v>8375</v>
      </c>
      <c r="E3595" s="8634" t="s">
        <v>8376</v>
      </c>
      <c r="F3595" s="8634" t="s">
        <v>5235</v>
      </c>
      <c r="G3595" s="8634" t="s">
        <v>8377</v>
      </c>
      <c r="H3595" s="8634" t="s">
        <v>24</v>
      </c>
      <c r="I3595" s="8634" t="s">
        <v>1545</v>
      </c>
    </row>
    <row customHeight="1" ht="11.25">
      <c r="A3596" s="8634" t="s">
        <v>2182</v>
      </c>
      <c r="B3596" s="8634" t="s">
        <v>14</v>
      </c>
      <c r="C3596" s="8634" t="s">
        <v>8378</v>
      </c>
      <c r="D3596" s="8634" t="s">
        <v>8379</v>
      </c>
      <c r="E3596" s="8634" t="s">
        <v>8380</v>
      </c>
      <c r="F3596" s="8634" t="s">
        <v>2213</v>
      </c>
      <c r="G3596" s="8634" t="s">
        <v>8381</v>
      </c>
      <c r="H3596" s="8634" t="s">
        <v>24</v>
      </c>
      <c r="I3596" s="8634" t="s">
        <v>1545</v>
      </c>
    </row>
    <row customHeight="1" ht="11.25">
      <c r="A3597" s="8634" t="s">
        <v>2182</v>
      </c>
      <c r="B3597" s="8634" t="s">
        <v>14</v>
      </c>
      <c r="C3597" s="8634" t="s">
        <v>8382</v>
      </c>
      <c r="D3597" s="8634" t="s">
        <v>8383</v>
      </c>
      <c r="E3597" s="8634" t="s">
        <v>8384</v>
      </c>
      <c r="F3597" s="8634" t="s">
        <v>2228</v>
      </c>
      <c r="G3597" s="8634" t="s">
        <v>8385</v>
      </c>
      <c r="H3597" s="8634" t="s">
        <v>24</v>
      </c>
      <c r="I3597" s="8634" t="s">
        <v>1545</v>
      </c>
    </row>
    <row customHeight="1" ht="11.25">
      <c r="A3598" s="8634" t="s">
        <v>2182</v>
      </c>
      <c r="B3598" s="8634" t="s">
        <v>14</v>
      </c>
      <c r="C3598" s="8634" t="s">
        <v>8386</v>
      </c>
      <c r="D3598" s="8634" t="s">
        <v>8387</v>
      </c>
      <c r="E3598" s="8634" t="s">
        <v>8388</v>
      </c>
      <c r="F3598" s="8634" t="s">
        <v>3011</v>
      </c>
      <c r="G3598" s="8634" t="s">
        <v>8389</v>
      </c>
      <c r="H3598" s="8634" t="s">
        <v>24</v>
      </c>
      <c r="I3598" s="8634" t="s">
        <v>1545</v>
      </c>
    </row>
    <row customHeight="1" ht="11.25">
      <c r="A3599" s="8634" t="s">
        <v>2182</v>
      </c>
      <c r="B3599" s="8634" t="s">
        <v>14</v>
      </c>
      <c r="C3599" s="8634" t="s">
        <v>8390</v>
      </c>
      <c r="D3599" s="8634" t="s">
        <v>8391</v>
      </c>
      <c r="E3599" s="8634" t="s">
        <v>8392</v>
      </c>
      <c r="F3599" s="8634" t="s">
        <v>2563</v>
      </c>
      <c r="G3599" s="8634" t="s">
        <v>24</v>
      </c>
      <c r="H3599" s="8634" t="s">
        <v>24</v>
      </c>
      <c r="I3599" s="8634" t="s">
        <v>1545</v>
      </c>
    </row>
    <row customHeight="1" ht="11.25">
      <c r="A3600" s="8634" t="s">
        <v>2182</v>
      </c>
      <c r="B3600" s="8634" t="s">
        <v>14</v>
      </c>
      <c r="C3600" s="8634" t="s">
        <v>8393</v>
      </c>
      <c r="D3600" s="8634" t="s">
        <v>8394</v>
      </c>
      <c r="E3600" s="8634" t="s">
        <v>8395</v>
      </c>
      <c r="F3600" s="8634" t="s">
        <v>2339</v>
      </c>
      <c r="G3600" s="8634" t="s">
        <v>8396</v>
      </c>
      <c r="H3600" s="8634" t="s">
        <v>24</v>
      </c>
      <c r="I3600" s="8634" t="s">
        <v>1545</v>
      </c>
    </row>
    <row customHeight="1" ht="11.25">
      <c r="A3601" s="8634" t="s">
        <v>2182</v>
      </c>
      <c r="B3601" s="8634" t="s">
        <v>14</v>
      </c>
      <c r="C3601" s="8634" t="s">
        <v>8397</v>
      </c>
      <c r="D3601" s="8634" t="s">
        <v>8398</v>
      </c>
      <c r="E3601" s="8634" t="s">
        <v>8399</v>
      </c>
      <c r="F3601" s="8634" t="s">
        <v>2233</v>
      </c>
      <c r="G3601" s="8634" t="s">
        <v>8400</v>
      </c>
      <c r="H3601" s="8634" t="s">
        <v>24</v>
      </c>
      <c r="I3601" s="8634" t="s">
        <v>1545</v>
      </c>
    </row>
    <row customHeight="1" ht="11.25">
      <c r="A3602" s="8634" t="s">
        <v>2182</v>
      </c>
      <c r="B3602" s="8634" t="s">
        <v>14</v>
      </c>
      <c r="C3602" s="8634" t="s">
        <v>8401</v>
      </c>
      <c r="D3602" s="8634" t="s">
        <v>8398</v>
      </c>
      <c r="E3602" s="8634" t="s">
        <v>8402</v>
      </c>
      <c r="F3602" s="8634" t="s">
        <v>2563</v>
      </c>
      <c r="G3602" s="8634" t="s">
        <v>24</v>
      </c>
      <c r="H3602" s="8634" t="s">
        <v>24</v>
      </c>
      <c r="I3602" s="8634" t="s">
        <v>1545</v>
      </c>
    </row>
    <row customHeight="1" ht="11.25">
      <c r="A3603" s="8634" t="s">
        <v>2182</v>
      </c>
      <c r="B3603" s="8634" t="s">
        <v>14</v>
      </c>
      <c r="C3603" s="8634" t="s">
        <v>8403</v>
      </c>
      <c r="D3603" s="8634" t="s">
        <v>8404</v>
      </c>
      <c r="E3603" s="8634" t="s">
        <v>8405</v>
      </c>
      <c r="F3603" s="8634" t="s">
        <v>2398</v>
      </c>
      <c r="G3603" s="8634" t="s">
        <v>8406</v>
      </c>
      <c r="H3603" s="8634" t="s">
        <v>24</v>
      </c>
      <c r="I3603" s="8634" t="s">
        <v>1545</v>
      </c>
    </row>
    <row customHeight="1" ht="11.25">
      <c r="A3604" s="8634" t="s">
        <v>2182</v>
      </c>
      <c r="B3604" s="8634" t="s">
        <v>14</v>
      </c>
      <c r="C3604" s="8634" t="s">
        <v>7568</v>
      </c>
      <c r="D3604" s="8634" t="s">
        <v>7569</v>
      </c>
      <c r="E3604" s="8634" t="s">
        <v>7570</v>
      </c>
      <c r="F3604" s="8634" t="s">
        <v>2245</v>
      </c>
      <c r="G3604" s="8634" t="s">
        <v>24</v>
      </c>
      <c r="H3604" s="8634" t="s">
        <v>24</v>
      </c>
      <c r="I3604" s="8634" t="s">
        <v>1545</v>
      </c>
    </row>
    <row customHeight="1" ht="11.25">
      <c r="A3605" s="8634" t="s">
        <v>2182</v>
      </c>
      <c r="B3605" s="8634" t="s">
        <v>14</v>
      </c>
      <c r="C3605" s="8634" t="s">
        <v>8407</v>
      </c>
      <c r="D3605" s="8634" t="s">
        <v>8408</v>
      </c>
      <c r="E3605" s="8634" t="s">
        <v>8409</v>
      </c>
      <c r="F3605" s="8634" t="s">
        <v>2269</v>
      </c>
      <c r="G3605" s="8634" t="s">
        <v>4753</v>
      </c>
      <c r="H3605" s="8634" t="s">
        <v>24</v>
      </c>
      <c r="I3605" s="8634" t="s">
        <v>1545</v>
      </c>
    </row>
    <row customHeight="1" ht="11.25">
      <c r="A3606" s="8634" t="s">
        <v>2182</v>
      </c>
      <c r="B3606" s="8634" t="s">
        <v>14</v>
      </c>
      <c r="C3606" s="8634" t="s">
        <v>8410</v>
      </c>
      <c r="D3606" s="8634" t="s">
        <v>8411</v>
      </c>
      <c r="E3606" s="8634" t="s">
        <v>8412</v>
      </c>
      <c r="F3606" s="8634" t="s">
        <v>2322</v>
      </c>
      <c r="G3606" s="8634" t="s">
        <v>24</v>
      </c>
      <c r="H3606" s="8634" t="s">
        <v>2187</v>
      </c>
      <c r="I3606" s="8634" t="s">
        <v>1545</v>
      </c>
    </row>
    <row customHeight="1" ht="11.25">
      <c r="A3607" s="8634" t="s">
        <v>2182</v>
      </c>
      <c r="B3607" s="8634" t="s">
        <v>14</v>
      </c>
      <c r="C3607" s="8634" t="s">
        <v>8413</v>
      </c>
      <c r="D3607" s="8634" t="s">
        <v>8414</v>
      </c>
      <c r="E3607" s="8634" t="s">
        <v>8415</v>
      </c>
      <c r="F3607" s="8634" t="s">
        <v>3235</v>
      </c>
      <c r="G3607" s="8634" t="s">
        <v>24</v>
      </c>
      <c r="H3607" s="8634" t="s">
        <v>24</v>
      </c>
      <c r="I3607" s="8634" t="s">
        <v>1545</v>
      </c>
    </row>
    <row customHeight="1" ht="11.25">
      <c r="A3608" s="8634" t="s">
        <v>2182</v>
      </c>
      <c r="B3608" s="8634" t="s">
        <v>14</v>
      </c>
      <c r="C3608" s="8634" t="s">
        <v>8416</v>
      </c>
      <c r="D3608" s="8634" t="s">
        <v>8417</v>
      </c>
      <c r="E3608" s="8634" t="s">
        <v>8418</v>
      </c>
      <c r="F3608" s="8634" t="s">
        <v>2411</v>
      </c>
      <c r="G3608" s="8634" t="s">
        <v>8419</v>
      </c>
      <c r="H3608" s="8634" t="s">
        <v>24</v>
      </c>
      <c r="I3608" s="8634" t="s">
        <v>1545</v>
      </c>
    </row>
    <row customHeight="1" ht="11.25">
      <c r="A3609" s="8634" t="s">
        <v>2182</v>
      </c>
      <c r="B3609" s="8634" t="s">
        <v>14</v>
      </c>
      <c r="C3609" s="8634" t="s">
        <v>8420</v>
      </c>
      <c r="D3609" s="8634" t="s">
        <v>8421</v>
      </c>
      <c r="E3609" s="8634" t="s">
        <v>8422</v>
      </c>
      <c r="F3609" s="8634" t="s">
        <v>2300</v>
      </c>
      <c r="G3609" s="8634" t="s">
        <v>24</v>
      </c>
      <c r="H3609" s="8634" t="s">
        <v>24</v>
      </c>
      <c r="I3609" s="8634" t="s">
        <v>1545</v>
      </c>
    </row>
    <row customHeight="1" ht="11.25">
      <c r="A3610" s="8634" t="s">
        <v>2182</v>
      </c>
      <c r="B3610" s="8634" t="s">
        <v>14</v>
      </c>
      <c r="C3610" s="8634" t="s">
        <v>8423</v>
      </c>
      <c r="D3610" s="8634" t="s">
        <v>8424</v>
      </c>
      <c r="E3610" s="8634" t="s">
        <v>8425</v>
      </c>
      <c r="F3610" s="8634" t="s">
        <v>2363</v>
      </c>
      <c r="G3610" s="8634" t="s">
        <v>8426</v>
      </c>
      <c r="H3610" s="8634" t="s">
        <v>24</v>
      </c>
      <c r="I3610" s="8634" t="s">
        <v>1545</v>
      </c>
    </row>
    <row customHeight="1" ht="11.25">
      <c r="A3611" s="8634" t="s">
        <v>2182</v>
      </c>
      <c r="B3611" s="8634" t="s">
        <v>14</v>
      </c>
      <c r="C3611" s="8634" t="s">
        <v>8427</v>
      </c>
      <c r="D3611" s="8634" t="s">
        <v>8428</v>
      </c>
      <c r="E3611" s="8634" t="s">
        <v>8429</v>
      </c>
      <c r="F3611" s="8634" t="s">
        <v>3278</v>
      </c>
      <c r="G3611" s="8634" t="s">
        <v>24</v>
      </c>
      <c r="H3611" s="8634" t="s">
        <v>24</v>
      </c>
      <c r="I3611" s="8634" t="s">
        <v>1545</v>
      </c>
    </row>
    <row customHeight="1" ht="11.25">
      <c r="A3612" s="8634" t="s">
        <v>2182</v>
      </c>
      <c r="B3612" s="8634" t="s">
        <v>14</v>
      </c>
      <c r="C3612" s="8634" t="s">
        <v>8430</v>
      </c>
      <c r="D3612" s="8634" t="s">
        <v>8431</v>
      </c>
      <c r="E3612" s="8634" t="s">
        <v>8432</v>
      </c>
      <c r="F3612" s="8634" t="s">
        <v>2322</v>
      </c>
      <c r="G3612" s="8634" t="s">
        <v>24</v>
      </c>
      <c r="H3612" s="8634" t="s">
        <v>8433</v>
      </c>
      <c r="I3612" s="8634" t="s">
        <v>1545</v>
      </c>
    </row>
    <row customHeight="1" ht="11.25">
      <c r="A3613" s="8634" t="s">
        <v>2182</v>
      </c>
      <c r="B3613" s="8634" t="s">
        <v>14</v>
      </c>
      <c r="C3613" s="8634" t="s">
        <v>8434</v>
      </c>
      <c r="D3613" s="8634" t="s">
        <v>8435</v>
      </c>
      <c r="E3613" s="8634" t="s">
        <v>8436</v>
      </c>
      <c r="F3613" s="8634" t="s">
        <v>2274</v>
      </c>
      <c r="G3613" s="8634" t="s">
        <v>8437</v>
      </c>
      <c r="H3613" s="8634" t="s">
        <v>24</v>
      </c>
      <c r="I3613" s="8634" t="s">
        <v>1545</v>
      </c>
    </row>
    <row customHeight="1" ht="11.25">
      <c r="A3614" s="8634" t="s">
        <v>2182</v>
      </c>
      <c r="B3614" s="8634" t="s">
        <v>14</v>
      </c>
      <c r="C3614" s="8634" t="s">
        <v>8438</v>
      </c>
      <c r="D3614" s="8634" t="s">
        <v>8439</v>
      </c>
      <c r="E3614" s="8634" t="s">
        <v>8440</v>
      </c>
      <c r="F3614" s="8634" t="s">
        <v>3235</v>
      </c>
      <c r="G3614" s="8634" t="s">
        <v>8441</v>
      </c>
      <c r="H3614" s="8634" t="s">
        <v>24</v>
      </c>
      <c r="I3614" s="8634" t="s">
        <v>1545</v>
      </c>
    </row>
    <row customHeight="1" ht="11.25">
      <c r="A3615" s="8634" t="s">
        <v>2182</v>
      </c>
      <c r="B3615" s="8634" t="s">
        <v>14</v>
      </c>
      <c r="C3615" s="8634" t="s">
        <v>8442</v>
      </c>
      <c r="D3615" s="8634" t="s">
        <v>8443</v>
      </c>
      <c r="E3615" s="8634" t="s">
        <v>8444</v>
      </c>
      <c r="F3615" s="8634" t="s">
        <v>2213</v>
      </c>
      <c r="G3615" s="8634" t="s">
        <v>24</v>
      </c>
      <c r="H3615" s="8634" t="s">
        <v>24</v>
      </c>
      <c r="I3615" s="8634" t="s">
        <v>1545</v>
      </c>
    </row>
    <row customHeight="1" ht="11.25">
      <c r="A3616" s="8634" t="s">
        <v>2182</v>
      </c>
      <c r="B3616" s="8634" t="s">
        <v>14</v>
      </c>
      <c r="C3616" s="8634" t="s">
        <v>8445</v>
      </c>
      <c r="D3616" s="8634" t="s">
        <v>8446</v>
      </c>
      <c r="E3616" s="8634" t="s">
        <v>8447</v>
      </c>
      <c r="F3616" s="8634" t="s">
        <v>5367</v>
      </c>
      <c r="G3616" s="8634" t="s">
        <v>24</v>
      </c>
      <c r="H3616" s="8634" t="s">
        <v>24</v>
      </c>
      <c r="I3616" s="8634" t="s">
        <v>1545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347DE5-AC69-9E8D-A6D2-16EF6C795B92}" mc:Ignorable="x14ac xr xr2 xr3">
  <sheetPr>
    <tabColor rgb="FFFFCC99"/>
  </sheetPr>
  <dimension ref="A1:G394"/>
  <sheetViews>
    <sheetView topLeftCell="A1" showGridLines="0" workbookViewId="0">
      <selection activeCell="A1" sqref="A1"/>
    </sheetView>
  </sheetViews>
  <sheetFormatPr customHeight="1" defaultRowHeight="11.25"/>
  <cols>
    <col min="1" max="1" style="20990" width="9.140625"/>
  </cols>
  <sheetData>
    <row customHeight="1" ht="11.25">
      <c r="A1" s="734" t="s">
        <v>8448</v>
      </c>
      <c r="B1" s="422" t="s">
        <v>8449</v>
      </c>
      <c r="C1" s="422" t="s">
        <v>8450</v>
      </c>
      <c r="D1" s="422" t="s">
        <v>8451</v>
      </c>
      <c r="E1" s="284" t="s">
        <v>8452</v>
      </c>
      <c r="F1" s="284" t="s">
        <v>8453</v>
      </c>
      <c r="G1" s="284" t="s">
        <v>8454</v>
      </c>
    </row>
    <row customHeight="1" ht="11.25">
      <c r="A2" s="734" t="s">
        <v>14</v>
      </c>
      <c r="B2" s="0" t="s">
        <v>8455</v>
      </c>
      <c r="C2" s="0" t="s">
        <v>8456</v>
      </c>
      <c r="D2" s="0" t="s">
        <v>8455</v>
      </c>
      <c r="E2" s="0" t="s">
        <v>8456</v>
      </c>
      <c r="F2" s="0" t="s">
        <v>8457</v>
      </c>
      <c r="G2" s="0" t="s">
        <v>106</v>
      </c>
    </row>
    <row customHeight="1" ht="11.25">
      <c r="A3" s="734" t="s">
        <v>14</v>
      </c>
      <c r="B3" s="0" t="s">
        <v>8458</v>
      </c>
      <c r="C3" s="0" t="s">
        <v>8459</v>
      </c>
      <c r="D3" s="0" t="s">
        <v>8458</v>
      </c>
      <c r="E3" s="0" t="s">
        <v>8459</v>
      </c>
      <c r="F3" s="0" t="s">
        <v>8457</v>
      </c>
      <c r="G3" s="0" t="s">
        <v>107</v>
      </c>
    </row>
    <row customHeight="1" ht="11.25">
      <c r="A4" s="734" t="s">
        <v>14</v>
      </c>
      <c r="B4" s="0" t="s">
        <v>8460</v>
      </c>
      <c r="C4" s="0" t="s">
        <v>8461</v>
      </c>
      <c r="D4" s="0" t="s">
        <v>8460</v>
      </c>
      <c r="E4" s="0" t="s">
        <v>8461</v>
      </c>
      <c r="F4" s="0" t="s">
        <v>8462</v>
      </c>
      <c r="G4" s="0" t="s">
        <v>87</v>
      </c>
    </row>
    <row customHeight="1" ht="11.25">
      <c r="A5" s="734" t="s">
        <v>14</v>
      </c>
      <c r="B5" s="0" t="s">
        <v>8460</v>
      </c>
      <c r="C5" s="0" t="s">
        <v>8461</v>
      </c>
      <c r="D5" s="0" t="s">
        <v>8463</v>
      </c>
      <c r="E5" s="0" t="s">
        <v>8464</v>
      </c>
      <c r="F5" s="0" t="s">
        <v>8465</v>
      </c>
      <c r="G5" s="0" t="s">
        <v>88</v>
      </c>
    </row>
    <row customHeight="1" ht="11.25">
      <c r="A6" s="734" t="s">
        <v>14</v>
      </c>
      <c r="B6" s="0" t="s">
        <v>8460</v>
      </c>
      <c r="C6" s="0" t="s">
        <v>8461</v>
      </c>
      <c r="D6" s="0" t="s">
        <v>8466</v>
      </c>
      <c r="E6" s="0" t="s">
        <v>8467</v>
      </c>
      <c r="F6" s="0" t="s">
        <v>8468</v>
      </c>
      <c r="G6" s="0" t="s">
        <v>108</v>
      </c>
    </row>
    <row customHeight="1" ht="11.25">
      <c r="A7" s="734" t="s">
        <v>14</v>
      </c>
      <c r="B7" s="0" t="s">
        <v>8460</v>
      </c>
      <c r="C7" s="0" t="s">
        <v>8461</v>
      </c>
      <c r="D7" s="0" t="s">
        <v>8469</v>
      </c>
      <c r="E7" s="0" t="s">
        <v>8470</v>
      </c>
      <c r="F7" s="0" t="s">
        <v>8471</v>
      </c>
      <c r="G7" s="0" t="s">
        <v>89</v>
      </c>
    </row>
    <row customHeight="1" ht="11.25">
      <c r="A8" s="734" t="s">
        <v>14</v>
      </c>
      <c r="B8" s="0" t="s">
        <v>8460</v>
      </c>
      <c r="C8" s="0" t="s">
        <v>8461</v>
      </c>
      <c r="D8" s="0" t="s">
        <v>8472</v>
      </c>
      <c r="E8" s="0" t="s">
        <v>8473</v>
      </c>
      <c r="F8" s="0" t="s">
        <v>8471</v>
      </c>
      <c r="G8" s="0" t="s">
        <v>90</v>
      </c>
    </row>
    <row customHeight="1" ht="11.25">
      <c r="A9" s="734" t="s">
        <v>14</v>
      </c>
      <c r="B9" s="0" t="s">
        <v>8460</v>
      </c>
      <c r="C9" s="0" t="s">
        <v>8461</v>
      </c>
      <c r="D9" s="0" t="s">
        <v>8474</v>
      </c>
      <c r="E9" s="0" t="s">
        <v>8475</v>
      </c>
      <c r="F9" s="0" t="s">
        <v>8471</v>
      </c>
      <c r="G9" s="0" t="s">
        <v>109</v>
      </c>
    </row>
    <row customHeight="1" ht="11.25">
      <c r="A10" s="734" t="s">
        <v>14</v>
      </c>
      <c r="B10" s="0" t="s">
        <v>8460</v>
      </c>
      <c r="C10" s="0" t="s">
        <v>8461</v>
      </c>
      <c r="D10" s="0" t="s">
        <v>8476</v>
      </c>
      <c r="E10" s="0" t="s">
        <v>8477</v>
      </c>
      <c r="F10" s="0" t="s">
        <v>8471</v>
      </c>
      <c r="G10" s="0" t="s">
        <v>145</v>
      </c>
    </row>
    <row customHeight="1" ht="11.25">
      <c r="A11" s="734" t="s">
        <v>14</v>
      </c>
      <c r="B11" s="0" t="s">
        <v>8460</v>
      </c>
      <c r="C11" s="0" t="s">
        <v>8461</v>
      </c>
      <c r="D11" s="0" t="s">
        <v>8478</v>
      </c>
      <c r="E11" s="0" t="s">
        <v>8479</v>
      </c>
      <c r="F11" s="0" t="s">
        <v>8471</v>
      </c>
      <c r="G11" s="0" t="s">
        <v>146</v>
      </c>
    </row>
    <row customHeight="1" ht="11.25">
      <c r="A12" s="734" t="s">
        <v>14</v>
      </c>
      <c r="B12" s="0" t="s">
        <v>8460</v>
      </c>
      <c r="C12" s="0" t="s">
        <v>8461</v>
      </c>
      <c r="D12" s="0" t="s">
        <v>8480</v>
      </c>
      <c r="E12" s="0" t="s">
        <v>8481</v>
      </c>
      <c r="F12" s="0" t="s">
        <v>8471</v>
      </c>
      <c r="G12" s="0" t="s">
        <v>147</v>
      </c>
    </row>
    <row customHeight="1" ht="11.25">
      <c r="A13" s="734" t="s">
        <v>14</v>
      </c>
      <c r="B13" s="0" t="s">
        <v>8482</v>
      </c>
      <c r="C13" s="0" t="s">
        <v>8483</v>
      </c>
      <c r="D13" s="0" t="s">
        <v>8482</v>
      </c>
      <c r="E13" s="0" t="s">
        <v>8483</v>
      </c>
      <c r="F13" s="0" t="s">
        <v>8457</v>
      </c>
      <c r="G13" s="0" t="s">
        <v>148</v>
      </c>
    </row>
    <row customHeight="1" ht="11.25">
      <c r="A14" s="734" t="s">
        <v>14</v>
      </c>
      <c r="B14" s="0" t="s">
        <v>8484</v>
      </c>
      <c r="C14" s="0" t="s">
        <v>8485</v>
      </c>
      <c r="D14" s="0" t="s">
        <v>8484</v>
      </c>
      <c r="E14" s="0" t="s">
        <v>8485</v>
      </c>
      <c r="F14" s="0" t="s">
        <v>8462</v>
      </c>
      <c r="G14" s="0" t="s">
        <v>149</v>
      </c>
    </row>
    <row customHeight="1" ht="11.25">
      <c r="A15" s="734" t="s">
        <v>14</v>
      </c>
      <c r="B15" s="0" t="s">
        <v>8484</v>
      </c>
      <c r="C15" s="0" t="s">
        <v>8485</v>
      </c>
      <c r="D15" s="0" t="s">
        <v>8486</v>
      </c>
      <c r="E15" s="0" t="s">
        <v>8487</v>
      </c>
      <c r="F15" s="0" t="s">
        <v>8468</v>
      </c>
      <c r="G15" s="0" t="s">
        <v>150</v>
      </c>
    </row>
    <row customHeight="1" ht="11.25">
      <c r="A16" s="734" t="s">
        <v>14</v>
      </c>
      <c r="B16" s="0" t="s">
        <v>8484</v>
      </c>
      <c r="C16" s="0" t="s">
        <v>8485</v>
      </c>
      <c r="D16" s="0" t="s">
        <v>8488</v>
      </c>
      <c r="E16" s="0" t="s">
        <v>8489</v>
      </c>
      <c r="F16" s="0" t="s">
        <v>8465</v>
      </c>
      <c r="G16" s="0" t="s">
        <v>1390</v>
      </c>
    </row>
    <row customHeight="1" ht="11.25">
      <c r="A17" s="734" t="s">
        <v>14</v>
      </c>
      <c r="B17" s="0" t="s">
        <v>8484</v>
      </c>
      <c r="C17" s="0" t="s">
        <v>8485</v>
      </c>
      <c r="D17" s="0" t="s">
        <v>8490</v>
      </c>
      <c r="E17" s="0" t="s">
        <v>8491</v>
      </c>
      <c r="F17" s="0" t="s">
        <v>8468</v>
      </c>
      <c r="G17" s="0" t="s">
        <v>1396</v>
      </c>
    </row>
    <row customHeight="1" ht="11.25">
      <c r="A18" s="734" t="s">
        <v>14</v>
      </c>
      <c r="B18" s="0" t="s">
        <v>8484</v>
      </c>
      <c r="C18" s="0" t="s">
        <v>8485</v>
      </c>
      <c r="D18" s="0" t="s">
        <v>8492</v>
      </c>
      <c r="E18" s="0" t="s">
        <v>8493</v>
      </c>
      <c r="F18" s="0" t="s">
        <v>8468</v>
      </c>
      <c r="G18" s="0" t="s">
        <v>1407</v>
      </c>
    </row>
    <row customHeight="1" ht="11.25">
      <c r="A19" s="734" t="s">
        <v>14</v>
      </c>
      <c r="B19" s="0" t="s">
        <v>8484</v>
      </c>
      <c r="C19" s="0" t="s">
        <v>8485</v>
      </c>
      <c r="D19" s="0" t="s">
        <v>8494</v>
      </c>
      <c r="E19" s="0" t="s">
        <v>8495</v>
      </c>
      <c r="F19" s="0" t="s">
        <v>8471</v>
      </c>
      <c r="G19" s="0" t="s">
        <v>1421</v>
      </c>
    </row>
    <row customHeight="1" ht="11.25">
      <c r="A20" s="734" t="s">
        <v>14</v>
      </c>
      <c r="B20" s="0" t="s">
        <v>8484</v>
      </c>
      <c r="C20" s="0" t="s">
        <v>8485</v>
      </c>
      <c r="D20" s="0" t="s">
        <v>8496</v>
      </c>
      <c r="E20" s="0" t="s">
        <v>8497</v>
      </c>
      <c r="F20" s="0" t="s">
        <v>8471</v>
      </c>
      <c r="G20" s="0" t="s">
        <v>1433</v>
      </c>
    </row>
    <row customHeight="1" ht="11.25">
      <c r="A21" s="734" t="s">
        <v>14</v>
      </c>
      <c r="B21" s="0" t="s">
        <v>8498</v>
      </c>
      <c r="C21" s="0" t="s">
        <v>8499</v>
      </c>
      <c r="D21" s="0" t="s">
        <v>8498</v>
      </c>
      <c r="E21" s="0" t="s">
        <v>8499</v>
      </c>
      <c r="F21" s="0" t="s">
        <v>8457</v>
      </c>
      <c r="G21" s="0" t="s">
        <v>1442</v>
      </c>
    </row>
    <row customHeight="1" ht="11.25">
      <c r="A22" s="734" t="s">
        <v>14</v>
      </c>
      <c r="B22" s="0" t="s">
        <v>8500</v>
      </c>
      <c r="C22" s="0" t="s">
        <v>8501</v>
      </c>
      <c r="D22" s="0" t="s">
        <v>8500</v>
      </c>
      <c r="E22" s="0" t="s">
        <v>8501</v>
      </c>
      <c r="F22" s="0" t="s">
        <v>8462</v>
      </c>
      <c r="G22" s="0" t="s">
        <v>1458</v>
      </c>
    </row>
    <row customHeight="1" ht="11.25">
      <c r="A23" s="734" t="s">
        <v>14</v>
      </c>
      <c r="B23" s="0" t="s">
        <v>8500</v>
      </c>
      <c r="C23" s="0" t="s">
        <v>8501</v>
      </c>
      <c r="D23" s="0" t="s">
        <v>8502</v>
      </c>
      <c r="E23" s="0" t="s">
        <v>8503</v>
      </c>
      <c r="F23" s="0" t="s">
        <v>8468</v>
      </c>
      <c r="G23" s="0" t="s">
        <v>1465</v>
      </c>
    </row>
    <row customHeight="1" ht="11.25">
      <c r="A24" s="734" t="s">
        <v>14</v>
      </c>
      <c r="B24" s="0" t="s">
        <v>8500</v>
      </c>
      <c r="C24" s="0" t="s">
        <v>8501</v>
      </c>
      <c r="D24" s="0" t="s">
        <v>8504</v>
      </c>
      <c r="E24" s="0" t="s">
        <v>8505</v>
      </c>
      <c r="F24" s="0" t="s">
        <v>8465</v>
      </c>
      <c r="G24" s="0" t="s">
        <v>1473</v>
      </c>
    </row>
    <row customHeight="1" ht="11.25">
      <c r="A25" s="734" t="s">
        <v>14</v>
      </c>
      <c r="B25" s="0" t="s">
        <v>8500</v>
      </c>
      <c r="C25" s="0" t="s">
        <v>8501</v>
      </c>
      <c r="D25" s="0" t="s">
        <v>8506</v>
      </c>
      <c r="E25" s="0" t="s">
        <v>8507</v>
      </c>
      <c r="F25" s="0" t="s">
        <v>8468</v>
      </c>
      <c r="G25" s="0" t="s">
        <v>1480</v>
      </c>
    </row>
    <row customHeight="1" ht="11.25">
      <c r="A26" s="734" t="s">
        <v>14</v>
      </c>
      <c r="B26" s="0" t="s">
        <v>8500</v>
      </c>
      <c r="C26" s="0" t="s">
        <v>8501</v>
      </c>
      <c r="D26" s="0" t="s">
        <v>8508</v>
      </c>
      <c r="E26" s="0" t="s">
        <v>8509</v>
      </c>
      <c r="F26" s="0" t="s">
        <v>8468</v>
      </c>
      <c r="G26" s="0" t="s">
        <v>1484</v>
      </c>
    </row>
    <row customHeight="1" ht="11.25">
      <c r="A27" s="734" t="s">
        <v>14</v>
      </c>
      <c r="B27" s="0" t="s">
        <v>8500</v>
      </c>
      <c r="C27" s="0" t="s">
        <v>8501</v>
      </c>
      <c r="D27" s="0" t="s">
        <v>8510</v>
      </c>
      <c r="E27" s="0" t="s">
        <v>8511</v>
      </c>
      <c r="F27" s="0" t="s">
        <v>8465</v>
      </c>
      <c r="G27" s="0" t="s">
        <v>1489</v>
      </c>
    </row>
    <row customHeight="1" ht="11.25">
      <c r="A28" s="734" t="s">
        <v>14</v>
      </c>
      <c r="B28" s="0" t="s">
        <v>8500</v>
      </c>
      <c r="C28" s="0" t="s">
        <v>8501</v>
      </c>
      <c r="D28" s="0" t="s">
        <v>8512</v>
      </c>
      <c r="E28" s="0" t="s">
        <v>8513</v>
      </c>
      <c r="F28" s="0" t="s">
        <v>8471</v>
      </c>
      <c r="G28" s="0" t="s">
        <v>1497</v>
      </c>
    </row>
    <row customHeight="1" ht="11.25">
      <c r="A29" s="734" t="s">
        <v>14</v>
      </c>
      <c r="B29" s="0" t="s">
        <v>8500</v>
      </c>
      <c r="C29" s="0" t="s">
        <v>8501</v>
      </c>
      <c r="D29" s="0" t="s">
        <v>8514</v>
      </c>
      <c r="E29" s="0" t="s">
        <v>8515</v>
      </c>
      <c r="F29" s="0" t="s">
        <v>8471</v>
      </c>
      <c r="G29" s="0" t="s">
        <v>1499</v>
      </c>
    </row>
    <row customHeight="1" ht="11.25">
      <c r="A30" s="734" t="s">
        <v>14</v>
      </c>
      <c r="B30" s="0" t="s">
        <v>8500</v>
      </c>
      <c r="C30" s="0" t="s">
        <v>8501</v>
      </c>
      <c r="D30" s="0" t="s">
        <v>8516</v>
      </c>
      <c r="E30" s="0" t="s">
        <v>8517</v>
      </c>
      <c r="F30" s="0" t="s">
        <v>8471</v>
      </c>
      <c r="G30" s="0" t="s">
        <v>1502</v>
      </c>
    </row>
    <row customHeight="1" ht="11.25">
      <c r="A31" s="734" t="s">
        <v>14</v>
      </c>
      <c r="B31" s="0" t="s">
        <v>8500</v>
      </c>
      <c r="C31" s="0" t="s">
        <v>8501</v>
      </c>
      <c r="D31" s="0" t="s">
        <v>8518</v>
      </c>
      <c r="E31" s="0" t="s">
        <v>8519</v>
      </c>
      <c r="F31" s="0" t="s">
        <v>8471</v>
      </c>
      <c r="G31" s="0" t="s">
        <v>1508</v>
      </c>
    </row>
    <row customHeight="1" ht="11.25">
      <c r="A32" s="734" t="s">
        <v>14</v>
      </c>
      <c r="B32" s="0" t="s">
        <v>8500</v>
      </c>
      <c r="C32" s="0" t="s">
        <v>8501</v>
      </c>
      <c r="D32" s="0" t="s">
        <v>8520</v>
      </c>
      <c r="E32" s="0" t="s">
        <v>8521</v>
      </c>
      <c r="F32" s="0" t="s">
        <v>8471</v>
      </c>
      <c r="G32" s="0" t="s">
        <v>1510</v>
      </c>
    </row>
    <row customHeight="1" ht="11.25">
      <c r="A33" s="734" t="s">
        <v>14</v>
      </c>
      <c r="B33" s="0" t="s">
        <v>8500</v>
      </c>
      <c r="C33" s="0" t="s">
        <v>8501</v>
      </c>
      <c r="D33" s="0" t="s">
        <v>8522</v>
      </c>
      <c r="E33" s="0" t="s">
        <v>8523</v>
      </c>
      <c r="F33" s="0" t="s">
        <v>8471</v>
      </c>
      <c r="G33" s="0" t="s">
        <v>1512</v>
      </c>
    </row>
    <row customHeight="1" ht="11.25">
      <c r="A34" s="734" t="s">
        <v>14</v>
      </c>
      <c r="B34" s="0" t="s">
        <v>8524</v>
      </c>
      <c r="C34" s="0" t="s">
        <v>8525</v>
      </c>
      <c r="D34" s="0" t="s">
        <v>8524</v>
      </c>
      <c r="E34" s="0" t="s">
        <v>8525</v>
      </c>
      <c r="F34" s="0" t="s">
        <v>8462</v>
      </c>
      <c r="G34" s="0" t="s">
        <v>1514</v>
      </c>
    </row>
    <row customHeight="1" ht="11.25">
      <c r="A35" s="734" t="s">
        <v>14</v>
      </c>
      <c r="B35" s="0" t="s">
        <v>8524</v>
      </c>
      <c r="C35" s="0" t="s">
        <v>8525</v>
      </c>
      <c r="D35" s="0" t="s">
        <v>8526</v>
      </c>
      <c r="E35" s="0" t="s">
        <v>8527</v>
      </c>
      <c r="F35" s="0" t="s">
        <v>8465</v>
      </c>
      <c r="G35" s="0" t="s">
        <v>1519</v>
      </c>
    </row>
    <row customHeight="1" ht="11.25">
      <c r="A36" s="734" t="s">
        <v>14</v>
      </c>
      <c r="B36" s="0" t="s">
        <v>8524</v>
      </c>
      <c r="C36" s="0" t="s">
        <v>8525</v>
      </c>
      <c r="D36" s="0" t="s">
        <v>8528</v>
      </c>
      <c r="E36" s="0" t="s">
        <v>8529</v>
      </c>
      <c r="F36" s="0" t="s">
        <v>8468</v>
      </c>
      <c r="G36" s="0" t="s">
        <v>1524</v>
      </c>
    </row>
    <row customHeight="1" ht="11.25">
      <c r="A37" s="734" t="s">
        <v>14</v>
      </c>
      <c r="B37" s="0" t="s">
        <v>8524</v>
      </c>
      <c r="C37" s="0" t="s">
        <v>8525</v>
      </c>
      <c r="D37" s="0" t="s">
        <v>8530</v>
      </c>
      <c r="E37" s="0" t="s">
        <v>8531</v>
      </c>
      <c r="F37" s="0" t="s">
        <v>8471</v>
      </c>
      <c r="G37" s="0" t="s">
        <v>1527</v>
      </c>
    </row>
    <row customHeight="1" ht="11.25">
      <c r="A38" s="734" t="s">
        <v>14</v>
      </c>
      <c r="B38" s="0" t="s">
        <v>8524</v>
      </c>
      <c r="C38" s="0" t="s">
        <v>8525</v>
      </c>
      <c r="D38" s="0" t="s">
        <v>8532</v>
      </c>
      <c r="E38" s="0" t="s">
        <v>8533</v>
      </c>
      <c r="F38" s="0" t="s">
        <v>8471</v>
      </c>
      <c r="G38" s="0" t="s">
        <v>1535</v>
      </c>
    </row>
    <row customHeight="1" ht="11.25">
      <c r="A39" s="734" t="s">
        <v>14</v>
      </c>
      <c r="B39" s="0" t="s">
        <v>8524</v>
      </c>
      <c r="C39" s="0" t="s">
        <v>8525</v>
      </c>
      <c r="D39" s="0" t="s">
        <v>8534</v>
      </c>
      <c r="E39" s="0" t="s">
        <v>8535</v>
      </c>
      <c r="F39" s="0" t="s">
        <v>8471</v>
      </c>
      <c r="G39" s="0" t="s">
        <v>1541</v>
      </c>
    </row>
    <row customHeight="1" ht="11.25">
      <c r="A40" s="734" t="s">
        <v>14</v>
      </c>
      <c r="B40" s="0" t="s">
        <v>8536</v>
      </c>
      <c r="C40" s="0" t="s">
        <v>8537</v>
      </c>
      <c r="D40" s="0" t="s">
        <v>8536</v>
      </c>
      <c r="E40" s="0" t="s">
        <v>8537</v>
      </c>
      <c r="F40" s="0" t="s">
        <v>8457</v>
      </c>
      <c r="G40" s="0" t="s">
        <v>1546</v>
      </c>
    </row>
    <row customHeight="1" ht="11.25">
      <c r="A41" s="734" t="s">
        <v>14</v>
      </c>
      <c r="B41" s="0" t="s">
        <v>8538</v>
      </c>
      <c r="C41" s="0" t="s">
        <v>8539</v>
      </c>
      <c r="D41" s="0" t="s">
        <v>8538</v>
      </c>
      <c r="E41" s="0" t="s">
        <v>8539</v>
      </c>
      <c r="F41" s="0" t="s">
        <v>8462</v>
      </c>
      <c r="G41" s="0" t="s">
        <v>1550</v>
      </c>
    </row>
    <row customHeight="1" ht="11.25">
      <c r="A42" s="734" t="s">
        <v>14</v>
      </c>
      <c r="B42" s="0" t="s">
        <v>8538</v>
      </c>
      <c r="C42" s="0" t="s">
        <v>8539</v>
      </c>
      <c r="D42" s="0" t="s">
        <v>8540</v>
      </c>
      <c r="E42" s="0" t="s">
        <v>8541</v>
      </c>
      <c r="F42" s="0" t="s">
        <v>8465</v>
      </c>
      <c r="G42" s="0" t="s">
        <v>1553</v>
      </c>
    </row>
    <row customHeight="1" ht="11.25">
      <c r="A43" s="734" t="s">
        <v>14</v>
      </c>
      <c r="B43" s="0" t="s">
        <v>8538</v>
      </c>
      <c r="C43" s="0" t="s">
        <v>8539</v>
      </c>
      <c r="D43" s="0" t="s">
        <v>8542</v>
      </c>
      <c r="E43" s="0" t="s">
        <v>8543</v>
      </c>
      <c r="F43" s="0" t="s">
        <v>8471</v>
      </c>
      <c r="G43" s="0" t="s">
        <v>1560</v>
      </c>
    </row>
    <row customHeight="1" ht="11.25">
      <c r="A44" s="734" t="s">
        <v>14</v>
      </c>
      <c r="B44" s="0" t="s">
        <v>8538</v>
      </c>
      <c r="C44" s="0" t="s">
        <v>8539</v>
      </c>
      <c r="D44" s="0" t="s">
        <v>8544</v>
      </c>
      <c r="E44" s="0" t="s">
        <v>8545</v>
      </c>
      <c r="F44" s="0" t="s">
        <v>8471</v>
      </c>
      <c r="G44" s="0" t="s">
        <v>1569</v>
      </c>
    </row>
    <row customHeight="1" ht="11.25">
      <c r="A45" s="734" t="s">
        <v>14</v>
      </c>
      <c r="B45" s="0" t="s">
        <v>8538</v>
      </c>
      <c r="C45" s="0" t="s">
        <v>8539</v>
      </c>
      <c r="D45" s="0" t="s">
        <v>8546</v>
      </c>
      <c r="E45" s="0" t="s">
        <v>8547</v>
      </c>
      <c r="F45" s="0" t="s">
        <v>8471</v>
      </c>
      <c r="G45" s="0" t="s">
        <v>1574</v>
      </c>
    </row>
    <row customHeight="1" ht="11.25">
      <c r="A46" s="734" t="s">
        <v>14</v>
      </c>
      <c r="B46" s="0" t="s">
        <v>8538</v>
      </c>
      <c r="C46" s="0" t="s">
        <v>8539</v>
      </c>
      <c r="D46" s="0" t="s">
        <v>8548</v>
      </c>
      <c r="E46" s="0" t="s">
        <v>8549</v>
      </c>
      <c r="F46" s="0" t="s">
        <v>8471</v>
      </c>
      <c r="G46" s="0" t="s">
        <v>1578</v>
      </c>
    </row>
    <row customHeight="1" ht="11.25">
      <c r="A47" s="734" t="s">
        <v>14</v>
      </c>
      <c r="B47" s="0" t="s">
        <v>8550</v>
      </c>
      <c r="C47" s="0" t="s">
        <v>8551</v>
      </c>
      <c r="D47" s="0" t="s">
        <v>8550</v>
      </c>
      <c r="E47" s="0" t="s">
        <v>8551</v>
      </c>
      <c r="F47" s="0" t="s">
        <v>8457</v>
      </c>
      <c r="G47" s="0" t="s">
        <v>1584</v>
      </c>
    </row>
    <row customHeight="1" ht="11.25">
      <c r="A48" s="734" t="s">
        <v>14</v>
      </c>
      <c r="B48" s="0" t="s">
        <v>8552</v>
      </c>
      <c r="C48" s="0" t="s">
        <v>8553</v>
      </c>
      <c r="D48" s="0" t="s">
        <v>8552</v>
      </c>
      <c r="E48" s="0" t="s">
        <v>8553</v>
      </c>
      <c r="F48" s="0" t="s">
        <v>8462</v>
      </c>
      <c r="G48" s="0" t="s">
        <v>1589</v>
      </c>
    </row>
    <row customHeight="1" ht="11.25">
      <c r="A49" s="734" t="s">
        <v>14</v>
      </c>
      <c r="B49" s="0" t="s">
        <v>8552</v>
      </c>
      <c r="C49" s="0" t="s">
        <v>8553</v>
      </c>
      <c r="D49" s="0" t="s">
        <v>8554</v>
      </c>
      <c r="E49" s="0" t="s">
        <v>8555</v>
      </c>
      <c r="F49" s="0" t="s">
        <v>8465</v>
      </c>
      <c r="G49" s="0" t="s">
        <v>1592</v>
      </c>
    </row>
    <row customHeight="1" ht="11.25">
      <c r="A50" s="734" t="s">
        <v>14</v>
      </c>
      <c r="B50" s="0" t="s">
        <v>8552</v>
      </c>
      <c r="C50" s="0" t="s">
        <v>8553</v>
      </c>
      <c r="D50" s="0" t="s">
        <v>8556</v>
      </c>
      <c r="E50" s="0" t="s">
        <v>8557</v>
      </c>
      <c r="F50" s="0" t="s">
        <v>8465</v>
      </c>
      <c r="G50" s="0" t="s">
        <v>1596</v>
      </c>
    </row>
    <row customHeight="1" ht="11.25">
      <c r="A51" s="734" t="s">
        <v>14</v>
      </c>
      <c r="B51" s="0" t="s">
        <v>8552</v>
      </c>
      <c r="C51" s="0" t="s">
        <v>8553</v>
      </c>
      <c r="D51" s="0" t="s">
        <v>8558</v>
      </c>
      <c r="E51" s="0" t="s">
        <v>8559</v>
      </c>
      <c r="F51" s="0" t="s">
        <v>8468</v>
      </c>
      <c r="G51" s="0" t="s">
        <v>1600</v>
      </c>
    </row>
    <row customHeight="1" ht="11.25">
      <c r="A52" s="734" t="s">
        <v>14</v>
      </c>
      <c r="B52" s="0" t="s">
        <v>8552</v>
      </c>
      <c r="C52" s="0" t="s">
        <v>8553</v>
      </c>
      <c r="D52" s="0" t="s">
        <v>8560</v>
      </c>
      <c r="E52" s="0" t="s">
        <v>8561</v>
      </c>
      <c r="F52" s="0" t="s">
        <v>8471</v>
      </c>
      <c r="G52" s="0" t="s">
        <v>1604</v>
      </c>
    </row>
    <row customHeight="1" ht="11.25">
      <c r="A53" s="734" t="s">
        <v>14</v>
      </c>
      <c r="B53" s="0" t="s">
        <v>8552</v>
      </c>
      <c r="C53" s="0" t="s">
        <v>8553</v>
      </c>
      <c r="D53" s="0" t="s">
        <v>8562</v>
      </c>
      <c r="E53" s="0" t="s">
        <v>8563</v>
      </c>
      <c r="F53" s="0" t="s">
        <v>8471</v>
      </c>
      <c r="G53" s="0" t="s">
        <v>1606</v>
      </c>
    </row>
    <row customHeight="1" ht="11.25">
      <c r="A54" s="734" t="s">
        <v>14</v>
      </c>
      <c r="B54" s="0" t="s">
        <v>8552</v>
      </c>
      <c r="C54" s="0" t="s">
        <v>8553</v>
      </c>
      <c r="D54" s="0" t="s">
        <v>8564</v>
      </c>
      <c r="E54" s="0" t="s">
        <v>8565</v>
      </c>
      <c r="F54" s="0" t="s">
        <v>8471</v>
      </c>
      <c r="G54" s="0" t="s">
        <v>1609</v>
      </c>
    </row>
    <row customHeight="1" ht="11.25">
      <c r="A55" s="734" t="s">
        <v>14</v>
      </c>
      <c r="B55" s="0" t="s">
        <v>8552</v>
      </c>
      <c r="C55" s="0" t="s">
        <v>8553</v>
      </c>
      <c r="D55" s="0" t="s">
        <v>8566</v>
      </c>
      <c r="E55" s="0" t="s">
        <v>8567</v>
      </c>
      <c r="F55" s="0" t="s">
        <v>8471</v>
      </c>
      <c r="G55" s="0" t="s">
        <v>1613</v>
      </c>
    </row>
    <row customHeight="1" ht="11.25">
      <c r="A56" s="734" t="s">
        <v>14</v>
      </c>
      <c r="B56" s="0" t="s">
        <v>8552</v>
      </c>
      <c r="C56" s="0" t="s">
        <v>8553</v>
      </c>
      <c r="D56" s="0" t="s">
        <v>8568</v>
      </c>
      <c r="E56" s="0" t="s">
        <v>8569</v>
      </c>
      <c r="F56" s="0" t="s">
        <v>8471</v>
      </c>
      <c r="G56" s="0" t="s">
        <v>1616</v>
      </c>
    </row>
    <row customHeight="1" ht="11.25">
      <c r="A57" s="734" t="s">
        <v>14</v>
      </c>
      <c r="B57" s="0" t="s">
        <v>8552</v>
      </c>
      <c r="C57" s="0" t="s">
        <v>8553</v>
      </c>
      <c r="D57" s="0" t="s">
        <v>8570</v>
      </c>
      <c r="E57" s="0" t="s">
        <v>8571</v>
      </c>
      <c r="F57" s="0" t="s">
        <v>8471</v>
      </c>
      <c r="G57" s="0" t="s">
        <v>1619</v>
      </c>
    </row>
    <row customHeight="1" ht="11.25">
      <c r="A58" s="734" t="s">
        <v>14</v>
      </c>
      <c r="B58" s="0" t="s">
        <v>8552</v>
      </c>
      <c r="C58" s="0" t="s">
        <v>8553</v>
      </c>
      <c r="D58" s="0" t="s">
        <v>8572</v>
      </c>
      <c r="E58" s="0" t="s">
        <v>8573</v>
      </c>
      <c r="F58" s="0" t="s">
        <v>8471</v>
      </c>
      <c r="G58" s="0" t="s">
        <v>1622</v>
      </c>
    </row>
    <row customHeight="1" ht="11.25">
      <c r="A59" s="734" t="s">
        <v>14</v>
      </c>
      <c r="B59" s="0" t="s">
        <v>8552</v>
      </c>
      <c r="C59" s="0" t="s">
        <v>8553</v>
      </c>
      <c r="D59" s="0" t="s">
        <v>8574</v>
      </c>
      <c r="E59" s="0" t="s">
        <v>8575</v>
      </c>
      <c r="F59" s="0" t="s">
        <v>8471</v>
      </c>
      <c r="G59" s="0" t="s">
        <v>1626</v>
      </c>
    </row>
    <row customHeight="1" ht="11.25">
      <c r="A60" s="734" t="s">
        <v>14</v>
      </c>
      <c r="B60" s="0" t="s">
        <v>8552</v>
      </c>
      <c r="C60" s="0" t="s">
        <v>8553</v>
      </c>
      <c r="D60" s="0" t="s">
        <v>8576</v>
      </c>
      <c r="E60" s="0" t="s">
        <v>8577</v>
      </c>
      <c r="F60" s="0" t="s">
        <v>8471</v>
      </c>
      <c r="G60" s="0" t="s">
        <v>1629</v>
      </c>
    </row>
    <row customHeight="1" ht="11.25">
      <c r="A61" s="734" t="s">
        <v>14</v>
      </c>
      <c r="B61" s="0" t="s">
        <v>8552</v>
      </c>
      <c r="C61" s="0" t="s">
        <v>8553</v>
      </c>
      <c r="D61" s="0" t="s">
        <v>8578</v>
      </c>
      <c r="E61" s="0" t="s">
        <v>8579</v>
      </c>
      <c r="F61" s="0" t="s">
        <v>8471</v>
      </c>
      <c r="G61" s="0" t="s">
        <v>8580</v>
      </c>
    </row>
    <row customHeight="1" ht="11.25">
      <c r="A62" s="734" t="s">
        <v>14</v>
      </c>
      <c r="B62" s="0" t="s">
        <v>8552</v>
      </c>
      <c r="C62" s="0" t="s">
        <v>8553</v>
      </c>
      <c r="D62" s="0" t="s">
        <v>8581</v>
      </c>
      <c r="E62" s="0" t="s">
        <v>8582</v>
      </c>
      <c r="F62" s="0" t="s">
        <v>8471</v>
      </c>
      <c r="G62" s="0" t="s">
        <v>8583</v>
      </c>
    </row>
    <row customHeight="1" ht="11.25">
      <c r="A63" s="734" t="s">
        <v>14</v>
      </c>
      <c r="B63" s="0" t="s">
        <v>8584</v>
      </c>
      <c r="C63" s="0" t="s">
        <v>8585</v>
      </c>
      <c r="D63" s="0" t="s">
        <v>8584</v>
      </c>
      <c r="E63" s="0" t="s">
        <v>8585</v>
      </c>
      <c r="F63" s="0" t="s">
        <v>8462</v>
      </c>
      <c r="G63" s="0" t="s">
        <v>8586</v>
      </c>
    </row>
    <row customHeight="1" ht="11.25">
      <c r="A64" s="734" t="s">
        <v>14</v>
      </c>
      <c r="B64" s="0" t="s">
        <v>8584</v>
      </c>
      <c r="C64" s="0" t="s">
        <v>8585</v>
      </c>
      <c r="D64" s="0" t="s">
        <v>8587</v>
      </c>
      <c r="E64" s="0" t="s">
        <v>8588</v>
      </c>
      <c r="F64" s="0" t="s">
        <v>8465</v>
      </c>
      <c r="G64" s="0" t="s">
        <v>8589</v>
      </c>
    </row>
    <row customHeight="1" ht="11.25">
      <c r="A65" s="734" t="s">
        <v>14</v>
      </c>
      <c r="B65" s="0" t="s">
        <v>8584</v>
      </c>
      <c r="C65" s="0" t="s">
        <v>8585</v>
      </c>
      <c r="D65" s="0" t="s">
        <v>8590</v>
      </c>
      <c r="E65" s="0" t="s">
        <v>8591</v>
      </c>
      <c r="F65" s="0" t="s">
        <v>8465</v>
      </c>
      <c r="G65" s="0" t="s">
        <v>8592</v>
      </c>
    </row>
    <row customHeight="1" ht="11.25">
      <c r="A66" s="734" t="s">
        <v>14</v>
      </c>
      <c r="B66" s="0" t="s">
        <v>8584</v>
      </c>
      <c r="C66" s="0" t="s">
        <v>8585</v>
      </c>
      <c r="D66" s="0" t="s">
        <v>8593</v>
      </c>
      <c r="E66" s="0" t="s">
        <v>8594</v>
      </c>
      <c r="F66" s="0" t="s">
        <v>8471</v>
      </c>
      <c r="G66" s="0" t="s">
        <v>8595</v>
      </c>
    </row>
    <row customHeight="1" ht="11.25">
      <c r="A67" s="734" t="s">
        <v>14</v>
      </c>
      <c r="B67" s="0" t="s">
        <v>8584</v>
      </c>
      <c r="C67" s="0" t="s">
        <v>8585</v>
      </c>
      <c r="D67" s="0" t="s">
        <v>8596</v>
      </c>
      <c r="E67" s="0" t="s">
        <v>8597</v>
      </c>
      <c r="F67" s="0" t="s">
        <v>8471</v>
      </c>
      <c r="G67" s="0" t="s">
        <v>1948</v>
      </c>
    </row>
    <row customHeight="1" ht="11.25">
      <c r="A68" s="734" t="s">
        <v>14</v>
      </c>
      <c r="B68" s="0" t="s">
        <v>8584</v>
      </c>
      <c r="C68" s="0" t="s">
        <v>8585</v>
      </c>
      <c r="D68" s="0" t="s">
        <v>8598</v>
      </c>
      <c r="E68" s="0" t="s">
        <v>8599</v>
      </c>
      <c r="F68" s="0" t="s">
        <v>8471</v>
      </c>
      <c r="G68" s="0" t="s">
        <v>8600</v>
      </c>
    </row>
    <row customHeight="1" ht="11.25">
      <c r="A69" s="734" t="s">
        <v>14</v>
      </c>
      <c r="B69" s="0" t="s">
        <v>8584</v>
      </c>
      <c r="C69" s="0" t="s">
        <v>8585</v>
      </c>
      <c r="D69" s="0" t="s">
        <v>8601</v>
      </c>
      <c r="E69" s="0" t="s">
        <v>8602</v>
      </c>
      <c r="F69" s="0" t="s">
        <v>8471</v>
      </c>
      <c r="G69" s="0" t="s">
        <v>2159</v>
      </c>
    </row>
    <row customHeight="1" ht="11.25">
      <c r="A70" s="734" t="s">
        <v>14</v>
      </c>
      <c r="B70" s="0" t="s">
        <v>8584</v>
      </c>
      <c r="C70" s="0" t="s">
        <v>8585</v>
      </c>
      <c r="D70" s="0" t="s">
        <v>8603</v>
      </c>
      <c r="E70" s="0" t="s">
        <v>8604</v>
      </c>
      <c r="F70" s="0" t="s">
        <v>8471</v>
      </c>
      <c r="G70" s="0" t="s">
        <v>8605</v>
      </c>
    </row>
    <row customHeight="1" ht="11.25">
      <c r="A71" s="734" t="s">
        <v>14</v>
      </c>
      <c r="B71" s="0" t="s">
        <v>8606</v>
      </c>
      <c r="C71" s="0" t="s">
        <v>8607</v>
      </c>
      <c r="D71" s="0" t="s">
        <v>8606</v>
      </c>
      <c r="E71" s="0" t="s">
        <v>8607</v>
      </c>
      <c r="F71" s="0" t="s">
        <v>8457</v>
      </c>
      <c r="G71" s="0" t="s">
        <v>8608</v>
      </c>
    </row>
    <row customHeight="1" ht="11.25">
      <c r="A72" s="734" t="s">
        <v>14</v>
      </c>
      <c r="B72" s="0" t="s">
        <v>8609</v>
      </c>
      <c r="C72" s="0" t="s">
        <v>8610</v>
      </c>
      <c r="D72" s="0" t="s">
        <v>8609</v>
      </c>
      <c r="E72" s="0" t="s">
        <v>8610</v>
      </c>
      <c r="F72" s="0" t="s">
        <v>8462</v>
      </c>
      <c r="G72" s="0" t="s">
        <v>8611</v>
      </c>
    </row>
    <row customHeight="1" ht="11.25">
      <c r="A73" s="734" t="s">
        <v>14</v>
      </c>
      <c r="B73" s="0" t="s">
        <v>8609</v>
      </c>
      <c r="C73" s="0" t="s">
        <v>8610</v>
      </c>
      <c r="D73" s="0" t="s">
        <v>8612</v>
      </c>
      <c r="E73" s="0" t="s">
        <v>8613</v>
      </c>
      <c r="F73" s="0" t="s">
        <v>8465</v>
      </c>
      <c r="G73" s="0" t="s">
        <v>8614</v>
      </c>
    </row>
    <row customHeight="1" ht="11.25">
      <c r="A74" s="734" t="s">
        <v>14</v>
      </c>
      <c r="B74" s="0" t="s">
        <v>8609</v>
      </c>
      <c r="C74" s="0" t="s">
        <v>8610</v>
      </c>
      <c r="D74" s="0" t="s">
        <v>8615</v>
      </c>
      <c r="E74" s="0" t="s">
        <v>8616</v>
      </c>
      <c r="F74" s="0" t="s">
        <v>8465</v>
      </c>
      <c r="G74" s="0" t="s">
        <v>8617</v>
      </c>
    </row>
    <row customHeight="1" ht="11.25">
      <c r="A75" s="734" t="s">
        <v>14</v>
      </c>
      <c r="B75" s="0" t="s">
        <v>8609</v>
      </c>
      <c r="C75" s="0" t="s">
        <v>8610</v>
      </c>
      <c r="D75" s="0" t="s">
        <v>8618</v>
      </c>
      <c r="E75" s="0" t="s">
        <v>8619</v>
      </c>
      <c r="F75" s="0" t="s">
        <v>8468</v>
      </c>
      <c r="G75" s="0" t="s">
        <v>8620</v>
      </c>
    </row>
    <row customHeight="1" ht="11.25">
      <c r="A76" s="734" t="s">
        <v>14</v>
      </c>
      <c r="B76" s="0" t="s">
        <v>8609</v>
      </c>
      <c r="C76" s="0" t="s">
        <v>8610</v>
      </c>
      <c r="D76" s="0" t="s">
        <v>8621</v>
      </c>
      <c r="E76" s="0" t="s">
        <v>8622</v>
      </c>
      <c r="F76" s="0" t="s">
        <v>8471</v>
      </c>
      <c r="G76" s="0" t="s">
        <v>8623</v>
      </c>
    </row>
    <row customHeight="1" ht="11.25">
      <c r="A77" s="734" t="s">
        <v>14</v>
      </c>
      <c r="B77" s="0" t="s">
        <v>8609</v>
      </c>
      <c r="C77" s="0" t="s">
        <v>8610</v>
      </c>
      <c r="D77" s="0" t="s">
        <v>8624</v>
      </c>
      <c r="E77" s="0" t="s">
        <v>8625</v>
      </c>
      <c r="F77" s="0" t="s">
        <v>8471</v>
      </c>
      <c r="G77" s="0" t="s">
        <v>8626</v>
      </c>
    </row>
    <row customHeight="1" ht="11.25">
      <c r="A78" s="734" t="s">
        <v>14</v>
      </c>
      <c r="B78" s="0" t="s">
        <v>8609</v>
      </c>
      <c r="C78" s="0" t="s">
        <v>8610</v>
      </c>
      <c r="D78" s="0" t="s">
        <v>8627</v>
      </c>
      <c r="E78" s="0" t="s">
        <v>8628</v>
      </c>
      <c r="F78" s="0" t="s">
        <v>8471</v>
      </c>
      <c r="G78" s="0" t="s">
        <v>8629</v>
      </c>
    </row>
    <row customHeight="1" ht="11.25">
      <c r="A79" s="734" t="s">
        <v>14</v>
      </c>
      <c r="B79" s="0" t="s">
        <v>8609</v>
      </c>
      <c r="C79" s="0" t="s">
        <v>8610</v>
      </c>
      <c r="D79" s="0" t="s">
        <v>8630</v>
      </c>
      <c r="E79" s="0" t="s">
        <v>8631</v>
      </c>
      <c r="F79" s="0" t="s">
        <v>8471</v>
      </c>
      <c r="G79" s="0" t="s">
        <v>8632</v>
      </c>
    </row>
    <row customHeight="1" ht="11.25">
      <c r="A80" s="734" t="s">
        <v>14</v>
      </c>
      <c r="B80" s="0" t="s">
        <v>8609</v>
      </c>
      <c r="C80" s="0" t="s">
        <v>8610</v>
      </c>
      <c r="D80" s="0" t="s">
        <v>8633</v>
      </c>
      <c r="E80" s="0" t="s">
        <v>8634</v>
      </c>
      <c r="F80" s="0" t="s">
        <v>8471</v>
      </c>
      <c r="G80" s="0" t="s">
        <v>8635</v>
      </c>
    </row>
    <row customHeight="1" ht="11.25">
      <c r="A81" s="734" t="s">
        <v>14</v>
      </c>
      <c r="B81" s="0" t="s">
        <v>8636</v>
      </c>
      <c r="C81" s="0" t="s">
        <v>8637</v>
      </c>
      <c r="D81" s="0" t="s">
        <v>8636</v>
      </c>
      <c r="E81" s="0" t="s">
        <v>8637</v>
      </c>
      <c r="F81" s="0" t="s">
        <v>8462</v>
      </c>
      <c r="G81" s="0" t="s">
        <v>8638</v>
      </c>
    </row>
    <row customHeight="1" ht="11.25">
      <c r="A82" s="734" t="s">
        <v>14</v>
      </c>
      <c r="B82" s="0" t="s">
        <v>8636</v>
      </c>
      <c r="C82" s="0" t="s">
        <v>8637</v>
      </c>
      <c r="D82" s="0" t="s">
        <v>8639</v>
      </c>
      <c r="E82" s="0" t="s">
        <v>8640</v>
      </c>
      <c r="F82" s="0" t="s">
        <v>8468</v>
      </c>
      <c r="G82" s="0" t="s">
        <v>8641</v>
      </c>
    </row>
    <row customHeight="1" ht="11.25">
      <c r="A83" s="734" t="s">
        <v>14</v>
      </c>
      <c r="B83" s="0" t="s">
        <v>8636</v>
      </c>
      <c r="C83" s="0" t="s">
        <v>8637</v>
      </c>
      <c r="D83" s="0" t="s">
        <v>8642</v>
      </c>
      <c r="E83" s="0" t="s">
        <v>8643</v>
      </c>
      <c r="F83" s="0" t="s">
        <v>8471</v>
      </c>
      <c r="G83" s="0" t="s">
        <v>8644</v>
      </c>
    </row>
    <row customHeight="1" ht="11.25">
      <c r="A84" s="734" t="s">
        <v>14</v>
      </c>
      <c r="B84" s="0" t="s">
        <v>8636</v>
      </c>
      <c r="C84" s="0" t="s">
        <v>8637</v>
      </c>
      <c r="D84" s="0" t="s">
        <v>8645</v>
      </c>
      <c r="E84" s="0" t="s">
        <v>8646</v>
      </c>
      <c r="F84" s="0" t="s">
        <v>8471</v>
      </c>
      <c r="G84" s="0" t="s">
        <v>8647</v>
      </c>
    </row>
    <row customHeight="1" ht="11.25">
      <c r="A85" s="734" t="s">
        <v>14</v>
      </c>
      <c r="B85" s="0" t="s">
        <v>8636</v>
      </c>
      <c r="C85" s="0" t="s">
        <v>8637</v>
      </c>
      <c r="D85" s="0" t="s">
        <v>8648</v>
      </c>
      <c r="E85" s="0" t="s">
        <v>8649</v>
      </c>
      <c r="F85" s="0" t="s">
        <v>8471</v>
      </c>
      <c r="G85" s="0" t="s">
        <v>8650</v>
      </c>
    </row>
    <row customHeight="1" ht="11.25">
      <c r="A86" s="734" t="s">
        <v>14</v>
      </c>
      <c r="B86" s="0" t="s">
        <v>8636</v>
      </c>
      <c r="C86" s="0" t="s">
        <v>8637</v>
      </c>
      <c r="D86" s="0" t="s">
        <v>8651</v>
      </c>
      <c r="E86" s="0" t="s">
        <v>8652</v>
      </c>
      <c r="F86" s="0" t="s">
        <v>8471</v>
      </c>
      <c r="G86" s="0" t="s">
        <v>8653</v>
      </c>
    </row>
    <row customHeight="1" ht="11.25">
      <c r="A87" s="734" t="s">
        <v>14</v>
      </c>
      <c r="B87" s="0" t="s">
        <v>8636</v>
      </c>
      <c r="C87" s="0" t="s">
        <v>8637</v>
      </c>
      <c r="D87" s="0" t="s">
        <v>8654</v>
      </c>
      <c r="E87" s="0" t="s">
        <v>8655</v>
      </c>
      <c r="F87" s="0" t="s">
        <v>8471</v>
      </c>
      <c r="G87" s="0" t="s">
        <v>8656</v>
      </c>
    </row>
    <row customHeight="1" ht="11.25">
      <c r="A88" s="734" t="s">
        <v>14</v>
      </c>
      <c r="B88" s="0" t="s">
        <v>8636</v>
      </c>
      <c r="C88" s="0" t="s">
        <v>8637</v>
      </c>
      <c r="D88" s="0" t="s">
        <v>8657</v>
      </c>
      <c r="E88" s="0" t="s">
        <v>8658</v>
      </c>
      <c r="F88" s="0" t="s">
        <v>8471</v>
      </c>
      <c r="G88" s="0" t="s">
        <v>8659</v>
      </c>
    </row>
    <row customHeight="1" ht="11.25">
      <c r="A89" s="734" t="s">
        <v>14</v>
      </c>
      <c r="B89" s="0" t="s">
        <v>8636</v>
      </c>
      <c r="C89" s="0" t="s">
        <v>8637</v>
      </c>
      <c r="D89" s="0" t="s">
        <v>8660</v>
      </c>
      <c r="E89" s="0" t="s">
        <v>8661</v>
      </c>
      <c r="F89" s="0" t="s">
        <v>8471</v>
      </c>
      <c r="G89" s="0" t="s">
        <v>8662</v>
      </c>
    </row>
    <row customHeight="1" ht="11.25">
      <c r="A90" s="734" t="s">
        <v>14</v>
      </c>
      <c r="B90" s="0" t="s">
        <v>8636</v>
      </c>
      <c r="C90" s="0" t="s">
        <v>8637</v>
      </c>
      <c r="D90" s="0" t="s">
        <v>8663</v>
      </c>
      <c r="E90" s="0" t="s">
        <v>8664</v>
      </c>
      <c r="F90" s="0" t="s">
        <v>8471</v>
      </c>
      <c r="G90" s="0" t="s">
        <v>8665</v>
      </c>
    </row>
    <row customHeight="1" ht="11.25">
      <c r="A91" s="734" t="s">
        <v>14</v>
      </c>
      <c r="B91" s="0" t="s">
        <v>8666</v>
      </c>
      <c r="C91" s="0" t="s">
        <v>8667</v>
      </c>
      <c r="D91" s="0" t="s">
        <v>8666</v>
      </c>
      <c r="E91" s="0" t="s">
        <v>8667</v>
      </c>
      <c r="F91" s="0" t="s">
        <v>8457</v>
      </c>
      <c r="G91" s="0" t="s">
        <v>8668</v>
      </c>
    </row>
    <row customHeight="1" ht="11.25">
      <c r="A92" s="734" t="s">
        <v>14</v>
      </c>
      <c r="B92" s="0" t="s">
        <v>8669</v>
      </c>
      <c r="C92" s="0" t="s">
        <v>8670</v>
      </c>
      <c r="D92" s="0" t="s">
        <v>8669</v>
      </c>
      <c r="E92" s="0" t="s">
        <v>8670</v>
      </c>
      <c r="F92" s="0" t="s">
        <v>8457</v>
      </c>
      <c r="G92" s="0" t="s">
        <v>8671</v>
      </c>
    </row>
    <row customHeight="1" ht="11.25">
      <c r="A93" s="734" t="s">
        <v>14</v>
      </c>
      <c r="B93" s="0" t="s">
        <v>8672</v>
      </c>
      <c r="C93" s="0" t="s">
        <v>8673</v>
      </c>
      <c r="D93" s="0" t="s">
        <v>8672</v>
      </c>
      <c r="E93" s="0" t="s">
        <v>8673</v>
      </c>
      <c r="F93" s="0" t="s">
        <v>8462</v>
      </c>
      <c r="G93" s="0" t="s">
        <v>8674</v>
      </c>
    </row>
    <row customHeight="1" ht="11.25">
      <c r="A94" s="734" t="s">
        <v>14</v>
      </c>
      <c r="B94" s="0" t="s">
        <v>8672</v>
      </c>
      <c r="C94" s="0" t="s">
        <v>8673</v>
      </c>
      <c r="D94" s="0" t="s">
        <v>8675</v>
      </c>
      <c r="E94" s="0" t="s">
        <v>8676</v>
      </c>
      <c r="F94" s="0" t="s">
        <v>8465</v>
      </c>
      <c r="G94" s="0" t="s">
        <v>8677</v>
      </c>
    </row>
    <row customHeight="1" ht="11.25">
      <c r="A95" s="734" t="s">
        <v>14</v>
      </c>
      <c r="B95" s="0" t="s">
        <v>8672</v>
      </c>
      <c r="C95" s="0" t="s">
        <v>8673</v>
      </c>
      <c r="D95" s="0" t="s">
        <v>8678</v>
      </c>
      <c r="E95" s="0" t="s">
        <v>8679</v>
      </c>
      <c r="F95" s="0" t="s">
        <v>8468</v>
      </c>
      <c r="G95" s="0" t="s">
        <v>8680</v>
      </c>
    </row>
    <row customHeight="1" ht="11.25">
      <c r="A96" s="734" t="s">
        <v>14</v>
      </c>
      <c r="B96" s="0" t="s">
        <v>8672</v>
      </c>
      <c r="C96" s="0" t="s">
        <v>8673</v>
      </c>
      <c r="D96" s="0" t="s">
        <v>8681</v>
      </c>
      <c r="E96" s="0" t="s">
        <v>8682</v>
      </c>
      <c r="F96" s="0" t="s">
        <v>8471</v>
      </c>
      <c r="G96" s="0" t="s">
        <v>8683</v>
      </c>
    </row>
    <row customHeight="1" ht="11.25">
      <c r="A97" s="734" t="s">
        <v>14</v>
      </c>
      <c r="B97" s="0" t="s">
        <v>8672</v>
      </c>
      <c r="C97" s="0" t="s">
        <v>8673</v>
      </c>
      <c r="D97" s="0" t="s">
        <v>8684</v>
      </c>
      <c r="E97" s="0" t="s">
        <v>8685</v>
      </c>
      <c r="F97" s="0" t="s">
        <v>8471</v>
      </c>
      <c r="G97" s="0" t="s">
        <v>8686</v>
      </c>
    </row>
    <row customHeight="1" ht="11.25">
      <c r="A98" s="734" t="s">
        <v>14</v>
      </c>
      <c r="B98" s="0" t="s">
        <v>8687</v>
      </c>
      <c r="C98" s="0" t="s">
        <v>8688</v>
      </c>
      <c r="D98" s="0" t="s">
        <v>8687</v>
      </c>
      <c r="E98" s="0" t="s">
        <v>8688</v>
      </c>
      <c r="F98" s="0" t="s">
        <v>8457</v>
      </c>
      <c r="G98" s="0" t="s">
        <v>8689</v>
      </c>
    </row>
    <row customHeight="1" ht="11.25">
      <c r="A99" s="734" t="s">
        <v>14</v>
      </c>
      <c r="B99" s="0" t="s">
        <v>8690</v>
      </c>
      <c r="C99" s="0" t="s">
        <v>8691</v>
      </c>
      <c r="D99" s="0" t="s">
        <v>8690</v>
      </c>
      <c r="E99" s="0" t="s">
        <v>8691</v>
      </c>
      <c r="F99" s="0" t="s">
        <v>8462</v>
      </c>
      <c r="G99" s="0" t="s">
        <v>8692</v>
      </c>
    </row>
    <row customHeight="1" ht="11.25">
      <c r="A100" s="734" t="s">
        <v>14</v>
      </c>
      <c r="B100" s="0" t="s">
        <v>8690</v>
      </c>
      <c r="C100" s="0" t="s">
        <v>8691</v>
      </c>
      <c r="D100" s="0" t="s">
        <v>8693</v>
      </c>
      <c r="E100" s="0" t="s">
        <v>8694</v>
      </c>
      <c r="F100" s="0" t="s">
        <v>8465</v>
      </c>
      <c r="G100" s="0" t="s">
        <v>8695</v>
      </c>
    </row>
    <row customHeight="1" ht="11.25">
      <c r="A101" s="734" t="s">
        <v>14</v>
      </c>
      <c r="B101" s="0" t="s">
        <v>8690</v>
      </c>
      <c r="C101" s="0" t="s">
        <v>8691</v>
      </c>
      <c r="D101" s="0" t="s">
        <v>8696</v>
      </c>
      <c r="E101" s="0" t="s">
        <v>8697</v>
      </c>
      <c r="F101" s="0" t="s">
        <v>8468</v>
      </c>
      <c r="G101" s="0" t="s">
        <v>8698</v>
      </c>
    </row>
    <row customHeight="1" ht="11.25">
      <c r="A102" s="734" t="s">
        <v>14</v>
      </c>
      <c r="B102" s="0" t="s">
        <v>8690</v>
      </c>
      <c r="C102" s="0" t="s">
        <v>8691</v>
      </c>
      <c r="D102" s="0" t="s">
        <v>8699</v>
      </c>
      <c r="E102" s="0" t="s">
        <v>8700</v>
      </c>
      <c r="F102" s="0" t="s">
        <v>8471</v>
      </c>
      <c r="G102" s="0" t="s">
        <v>8701</v>
      </c>
    </row>
    <row customHeight="1" ht="11.25">
      <c r="A103" s="734" t="s">
        <v>14</v>
      </c>
      <c r="B103" s="0" t="s">
        <v>8690</v>
      </c>
      <c r="C103" s="0" t="s">
        <v>8691</v>
      </c>
      <c r="D103" s="0" t="s">
        <v>8702</v>
      </c>
      <c r="E103" s="0" t="s">
        <v>8703</v>
      </c>
      <c r="F103" s="0" t="s">
        <v>8471</v>
      </c>
      <c r="G103" s="0" t="s">
        <v>8704</v>
      </c>
    </row>
    <row customHeight="1" ht="11.25">
      <c r="A104" s="734" t="s">
        <v>14</v>
      </c>
      <c r="B104" s="0" t="s">
        <v>8690</v>
      </c>
      <c r="C104" s="0" t="s">
        <v>8691</v>
      </c>
      <c r="D104" s="0" t="s">
        <v>8705</v>
      </c>
      <c r="E104" s="0" t="s">
        <v>8706</v>
      </c>
      <c r="F104" s="0" t="s">
        <v>8471</v>
      </c>
      <c r="G104" s="0" t="s">
        <v>8707</v>
      </c>
    </row>
    <row customHeight="1" ht="11.25">
      <c r="A105" s="734" t="s">
        <v>14</v>
      </c>
      <c r="B105" s="0" t="s">
        <v>8690</v>
      </c>
      <c r="C105" s="0" t="s">
        <v>8691</v>
      </c>
      <c r="D105" s="0" t="s">
        <v>8708</v>
      </c>
      <c r="E105" s="0" t="s">
        <v>8709</v>
      </c>
      <c r="F105" s="0" t="s">
        <v>8471</v>
      </c>
      <c r="G105" s="0" t="s">
        <v>8710</v>
      </c>
    </row>
    <row customHeight="1" ht="11.25">
      <c r="A106" s="734" t="s">
        <v>14</v>
      </c>
      <c r="B106" s="0" t="s">
        <v>8690</v>
      </c>
      <c r="C106" s="0" t="s">
        <v>8691</v>
      </c>
      <c r="D106" s="0" t="s">
        <v>8711</v>
      </c>
      <c r="E106" s="0" t="s">
        <v>8712</v>
      </c>
      <c r="F106" s="0" t="s">
        <v>8471</v>
      </c>
      <c r="G106" s="0" t="s">
        <v>8713</v>
      </c>
    </row>
    <row customHeight="1" ht="11.25">
      <c r="A107" s="734" t="s">
        <v>14</v>
      </c>
      <c r="B107" s="0" t="s">
        <v>8714</v>
      </c>
      <c r="C107" s="0" t="s">
        <v>8715</v>
      </c>
      <c r="D107" s="0" t="s">
        <v>8714</v>
      </c>
      <c r="E107" s="0" t="s">
        <v>8715</v>
      </c>
      <c r="F107" s="0" t="s">
        <v>8457</v>
      </c>
      <c r="G107" s="0" t="s">
        <v>8716</v>
      </c>
    </row>
    <row customHeight="1" ht="11.25">
      <c r="A108" s="734" t="s">
        <v>14</v>
      </c>
      <c r="B108" s="0" t="s">
        <v>8717</v>
      </c>
      <c r="C108" s="0" t="s">
        <v>8718</v>
      </c>
      <c r="D108" s="0" t="s">
        <v>8717</v>
      </c>
      <c r="E108" s="0" t="s">
        <v>8718</v>
      </c>
      <c r="F108" s="0" t="s">
        <v>8457</v>
      </c>
      <c r="G108" s="0" t="s">
        <v>8719</v>
      </c>
    </row>
    <row customHeight="1" ht="11.25">
      <c r="A109" s="734" t="s">
        <v>14</v>
      </c>
      <c r="B109" s="0" t="s">
        <v>8720</v>
      </c>
      <c r="C109" s="0" t="s">
        <v>8721</v>
      </c>
      <c r="D109" s="0" t="s">
        <v>8720</v>
      </c>
      <c r="E109" s="0" t="s">
        <v>8721</v>
      </c>
      <c r="F109" s="0" t="s">
        <v>8462</v>
      </c>
      <c r="G109" s="0" t="s">
        <v>8722</v>
      </c>
    </row>
    <row customHeight="1" ht="11.25">
      <c r="A110" s="734" t="s">
        <v>14</v>
      </c>
      <c r="B110" s="0" t="s">
        <v>8720</v>
      </c>
      <c r="C110" s="0" t="s">
        <v>8721</v>
      </c>
      <c r="D110" s="0" t="s">
        <v>8723</v>
      </c>
      <c r="E110" s="0" t="s">
        <v>8724</v>
      </c>
      <c r="F110" s="0" t="s">
        <v>8468</v>
      </c>
      <c r="G110" s="0" t="s">
        <v>8725</v>
      </c>
    </row>
    <row customHeight="1" ht="11.25">
      <c r="A111" s="734" t="s">
        <v>14</v>
      </c>
      <c r="B111" s="0" t="s">
        <v>8720</v>
      </c>
      <c r="C111" s="0" t="s">
        <v>8721</v>
      </c>
      <c r="D111" s="0" t="s">
        <v>8726</v>
      </c>
      <c r="E111" s="0" t="s">
        <v>8727</v>
      </c>
      <c r="F111" s="0" t="s">
        <v>8471</v>
      </c>
      <c r="G111" s="0" t="s">
        <v>8728</v>
      </c>
    </row>
    <row customHeight="1" ht="11.25">
      <c r="A112" s="734" t="s">
        <v>14</v>
      </c>
      <c r="B112" s="0" t="s">
        <v>8720</v>
      </c>
      <c r="C112" s="0" t="s">
        <v>8721</v>
      </c>
      <c r="D112" s="0" t="s">
        <v>8729</v>
      </c>
      <c r="E112" s="0" t="s">
        <v>8730</v>
      </c>
      <c r="F112" s="0" t="s">
        <v>8471</v>
      </c>
      <c r="G112" s="0" t="s">
        <v>8731</v>
      </c>
    </row>
    <row customHeight="1" ht="11.25">
      <c r="A113" s="734" t="s">
        <v>14</v>
      </c>
      <c r="B113" s="0" t="s">
        <v>8732</v>
      </c>
      <c r="C113" s="0" t="s">
        <v>8733</v>
      </c>
      <c r="D113" s="0" t="s">
        <v>8732</v>
      </c>
      <c r="E113" s="0" t="s">
        <v>8733</v>
      </c>
      <c r="F113" s="0" t="s">
        <v>8462</v>
      </c>
      <c r="G113" s="0" t="s">
        <v>8734</v>
      </c>
    </row>
    <row customHeight="1" ht="11.25">
      <c r="A114" s="734" t="s">
        <v>14</v>
      </c>
      <c r="B114" s="0" t="s">
        <v>8732</v>
      </c>
      <c r="C114" s="0" t="s">
        <v>8733</v>
      </c>
      <c r="D114" s="0" t="s">
        <v>8735</v>
      </c>
      <c r="E114" s="0" t="s">
        <v>8736</v>
      </c>
      <c r="F114" s="0" t="s">
        <v>8468</v>
      </c>
      <c r="G114" s="0" t="s">
        <v>8737</v>
      </c>
    </row>
    <row customHeight="1" ht="11.25">
      <c r="A115" s="734" t="s">
        <v>14</v>
      </c>
      <c r="B115" s="0" t="s">
        <v>8732</v>
      </c>
      <c r="C115" s="0" t="s">
        <v>8733</v>
      </c>
      <c r="D115" s="0" t="s">
        <v>8738</v>
      </c>
      <c r="E115" s="0" t="s">
        <v>8739</v>
      </c>
      <c r="F115" s="0" t="s">
        <v>8465</v>
      </c>
      <c r="G115" s="0" t="s">
        <v>8740</v>
      </c>
    </row>
    <row customHeight="1" ht="11.25">
      <c r="A116" s="734" t="s">
        <v>14</v>
      </c>
      <c r="B116" s="0" t="s">
        <v>8732</v>
      </c>
      <c r="C116" s="0" t="s">
        <v>8733</v>
      </c>
      <c r="D116" s="0" t="s">
        <v>8741</v>
      </c>
      <c r="E116" s="0" t="s">
        <v>8742</v>
      </c>
      <c r="F116" s="0" t="s">
        <v>8471</v>
      </c>
      <c r="G116" s="0" t="s">
        <v>8743</v>
      </c>
    </row>
    <row customHeight="1" ht="11.25">
      <c r="A117" s="734" t="s">
        <v>14</v>
      </c>
      <c r="B117" s="0" t="s">
        <v>8732</v>
      </c>
      <c r="C117" s="0" t="s">
        <v>8733</v>
      </c>
      <c r="D117" s="0" t="s">
        <v>8744</v>
      </c>
      <c r="E117" s="0" t="s">
        <v>8745</v>
      </c>
      <c r="F117" s="0" t="s">
        <v>8471</v>
      </c>
      <c r="G117" s="0" t="s">
        <v>8746</v>
      </c>
    </row>
    <row customHeight="1" ht="11.25">
      <c r="A118" s="734" t="s">
        <v>14</v>
      </c>
      <c r="B118" s="0" t="s">
        <v>8732</v>
      </c>
      <c r="C118" s="0" t="s">
        <v>8733</v>
      </c>
      <c r="D118" s="0" t="s">
        <v>8747</v>
      </c>
      <c r="E118" s="0" t="s">
        <v>8748</v>
      </c>
      <c r="F118" s="0" t="s">
        <v>8471</v>
      </c>
      <c r="G118" s="0" t="s">
        <v>8749</v>
      </c>
    </row>
    <row customHeight="1" ht="11.25">
      <c r="A119" s="734" t="s">
        <v>14</v>
      </c>
      <c r="B119" s="0" t="s">
        <v>8732</v>
      </c>
      <c r="C119" s="0" t="s">
        <v>8733</v>
      </c>
      <c r="D119" s="0" t="s">
        <v>8750</v>
      </c>
      <c r="E119" s="0" t="s">
        <v>8751</v>
      </c>
      <c r="F119" s="0" t="s">
        <v>8471</v>
      </c>
      <c r="G119" s="0" t="s">
        <v>8752</v>
      </c>
    </row>
    <row customHeight="1" ht="11.25">
      <c r="A120" s="734" t="s">
        <v>14</v>
      </c>
      <c r="B120" s="0" t="s">
        <v>8732</v>
      </c>
      <c r="C120" s="0" t="s">
        <v>8733</v>
      </c>
      <c r="D120" s="0" t="s">
        <v>8753</v>
      </c>
      <c r="E120" s="0" t="s">
        <v>8754</v>
      </c>
      <c r="F120" s="0" t="s">
        <v>8471</v>
      </c>
      <c r="G120" s="0" t="s">
        <v>8755</v>
      </c>
    </row>
    <row customHeight="1" ht="11.25">
      <c r="A121" s="734" t="s">
        <v>14</v>
      </c>
      <c r="B121" s="0" t="s">
        <v>8732</v>
      </c>
      <c r="C121" s="0" t="s">
        <v>8733</v>
      </c>
      <c r="D121" s="0" t="s">
        <v>8756</v>
      </c>
      <c r="E121" s="0" t="s">
        <v>8757</v>
      </c>
      <c r="F121" s="0" t="s">
        <v>8471</v>
      </c>
      <c r="G121" s="0" t="s">
        <v>8758</v>
      </c>
    </row>
    <row customHeight="1" ht="11.25">
      <c r="A122" s="734" t="s">
        <v>14</v>
      </c>
      <c r="B122" s="0" t="s">
        <v>8759</v>
      </c>
      <c r="C122" s="0" t="s">
        <v>8760</v>
      </c>
      <c r="D122" s="0" t="s">
        <v>8759</v>
      </c>
      <c r="E122" s="0" t="s">
        <v>8760</v>
      </c>
      <c r="F122" s="0" t="s">
        <v>8457</v>
      </c>
      <c r="G122" s="0" t="s">
        <v>8761</v>
      </c>
    </row>
    <row customHeight="1" ht="11.25">
      <c r="A123" s="734" t="s">
        <v>14</v>
      </c>
      <c r="B123" s="0" t="s">
        <v>8762</v>
      </c>
      <c r="C123" s="0" t="s">
        <v>8763</v>
      </c>
      <c r="D123" s="0" t="s">
        <v>8762</v>
      </c>
      <c r="E123" s="0" t="s">
        <v>8763</v>
      </c>
      <c r="F123" s="0" t="s">
        <v>8462</v>
      </c>
      <c r="G123" s="0" t="s">
        <v>8764</v>
      </c>
    </row>
    <row customHeight="1" ht="11.25">
      <c r="A124" s="734" t="s">
        <v>14</v>
      </c>
      <c r="B124" s="0" t="s">
        <v>8762</v>
      </c>
      <c r="C124" s="0" t="s">
        <v>8763</v>
      </c>
      <c r="D124" s="0" t="s">
        <v>8765</v>
      </c>
      <c r="E124" s="0" t="s">
        <v>8766</v>
      </c>
      <c r="F124" s="0" t="s">
        <v>8468</v>
      </c>
      <c r="G124" s="0" t="s">
        <v>8767</v>
      </c>
    </row>
    <row customHeight="1" ht="11.25">
      <c r="A125" s="734" t="s">
        <v>14</v>
      </c>
      <c r="B125" s="0" t="s">
        <v>8762</v>
      </c>
      <c r="C125" s="0" t="s">
        <v>8763</v>
      </c>
      <c r="D125" s="0" t="s">
        <v>8768</v>
      </c>
      <c r="E125" s="0" t="s">
        <v>8769</v>
      </c>
      <c r="F125" s="0" t="s">
        <v>8465</v>
      </c>
      <c r="G125" s="0" t="s">
        <v>8770</v>
      </c>
    </row>
    <row customHeight="1" ht="11.25">
      <c r="A126" s="734" t="s">
        <v>14</v>
      </c>
      <c r="B126" s="0" t="s">
        <v>8762</v>
      </c>
      <c r="C126" s="0" t="s">
        <v>8763</v>
      </c>
      <c r="D126" s="0" t="s">
        <v>8771</v>
      </c>
      <c r="E126" s="0" t="s">
        <v>8772</v>
      </c>
      <c r="F126" s="0" t="s">
        <v>8468</v>
      </c>
      <c r="G126" s="0" t="s">
        <v>8773</v>
      </c>
    </row>
    <row customHeight="1" ht="11.25">
      <c r="A127" s="734" t="s">
        <v>14</v>
      </c>
      <c r="B127" s="0" t="s">
        <v>8762</v>
      </c>
      <c r="C127" s="0" t="s">
        <v>8763</v>
      </c>
      <c r="D127" s="0" t="s">
        <v>8774</v>
      </c>
      <c r="E127" s="0" t="s">
        <v>8775</v>
      </c>
      <c r="F127" s="0" t="s">
        <v>8468</v>
      </c>
      <c r="G127" s="0" t="s">
        <v>8776</v>
      </c>
    </row>
    <row customHeight="1" ht="11.25">
      <c r="A128" s="734" t="s">
        <v>14</v>
      </c>
      <c r="B128" s="0" t="s">
        <v>8762</v>
      </c>
      <c r="C128" s="0" t="s">
        <v>8763</v>
      </c>
      <c r="D128" s="0" t="s">
        <v>8777</v>
      </c>
      <c r="E128" s="0" t="s">
        <v>8778</v>
      </c>
      <c r="F128" s="0" t="s">
        <v>8468</v>
      </c>
      <c r="G128" s="0" t="s">
        <v>8779</v>
      </c>
    </row>
    <row customHeight="1" ht="11.25">
      <c r="A129" s="734" t="s">
        <v>14</v>
      </c>
      <c r="B129" s="0" t="s">
        <v>8780</v>
      </c>
      <c r="C129" s="0" t="s">
        <v>8781</v>
      </c>
      <c r="D129" s="0" t="s">
        <v>8780</v>
      </c>
      <c r="E129" s="0" t="s">
        <v>8781</v>
      </c>
      <c r="F129" s="0" t="s">
        <v>8457</v>
      </c>
      <c r="G129" s="0" t="s">
        <v>8782</v>
      </c>
    </row>
    <row customHeight="1" ht="11.25">
      <c r="A130" s="734" t="s">
        <v>14</v>
      </c>
      <c r="B130" s="0" t="s">
        <v>8783</v>
      </c>
      <c r="C130" s="0" t="s">
        <v>8784</v>
      </c>
      <c r="D130" s="0" t="s">
        <v>8783</v>
      </c>
      <c r="E130" s="0" t="s">
        <v>8784</v>
      </c>
      <c r="F130" s="0" t="s">
        <v>8457</v>
      </c>
      <c r="G130" s="0" t="s">
        <v>8785</v>
      </c>
    </row>
    <row customHeight="1" ht="11.25">
      <c r="A131" s="734" t="s">
        <v>14</v>
      </c>
      <c r="B131" s="0" t="s">
        <v>8786</v>
      </c>
      <c r="C131" s="0" t="s">
        <v>8787</v>
      </c>
      <c r="D131" s="0" t="s">
        <v>8786</v>
      </c>
      <c r="E131" s="0" t="s">
        <v>8787</v>
      </c>
      <c r="F131" s="0" t="s">
        <v>8462</v>
      </c>
      <c r="G131" s="0" t="s">
        <v>8788</v>
      </c>
    </row>
    <row customHeight="1" ht="11.25">
      <c r="A132" s="734" t="s">
        <v>14</v>
      </c>
      <c r="B132" s="0" t="s">
        <v>8786</v>
      </c>
      <c r="C132" s="0" t="s">
        <v>8787</v>
      </c>
      <c r="D132" s="0" t="s">
        <v>8789</v>
      </c>
      <c r="E132" s="0" t="s">
        <v>8790</v>
      </c>
      <c r="F132" s="0" t="s">
        <v>8465</v>
      </c>
      <c r="G132" s="0" t="s">
        <v>8791</v>
      </c>
    </row>
    <row customHeight="1" ht="11.25">
      <c r="A133" s="734" t="s">
        <v>14</v>
      </c>
      <c r="B133" s="0" t="s">
        <v>8786</v>
      </c>
      <c r="C133" s="0" t="s">
        <v>8787</v>
      </c>
      <c r="D133" s="0" t="s">
        <v>8792</v>
      </c>
      <c r="E133" s="0" t="s">
        <v>8793</v>
      </c>
      <c r="F133" s="0" t="s">
        <v>8468</v>
      </c>
      <c r="G133" s="0" t="s">
        <v>8794</v>
      </c>
    </row>
    <row customHeight="1" ht="11.25">
      <c r="A134" s="734" t="s">
        <v>14</v>
      </c>
      <c r="B134" s="0" t="s">
        <v>8786</v>
      </c>
      <c r="C134" s="0" t="s">
        <v>8787</v>
      </c>
      <c r="D134" s="0" t="s">
        <v>8795</v>
      </c>
      <c r="E134" s="0" t="s">
        <v>8796</v>
      </c>
      <c r="F134" s="0" t="s">
        <v>8471</v>
      </c>
      <c r="G134" s="0" t="s">
        <v>8797</v>
      </c>
    </row>
    <row customHeight="1" ht="11.25">
      <c r="A135" s="734" t="s">
        <v>14</v>
      </c>
      <c r="B135" s="0" t="s">
        <v>8786</v>
      </c>
      <c r="C135" s="0" t="s">
        <v>8787</v>
      </c>
      <c r="D135" s="0" t="s">
        <v>8798</v>
      </c>
      <c r="E135" s="0" t="s">
        <v>8799</v>
      </c>
      <c r="F135" s="0" t="s">
        <v>8471</v>
      </c>
      <c r="G135" s="0" t="s">
        <v>8800</v>
      </c>
    </row>
    <row customHeight="1" ht="11.25">
      <c r="A136" s="734" t="s">
        <v>14</v>
      </c>
      <c r="B136" s="0" t="s">
        <v>8786</v>
      </c>
      <c r="C136" s="0" t="s">
        <v>8787</v>
      </c>
      <c r="D136" s="0" t="s">
        <v>8801</v>
      </c>
      <c r="E136" s="0" t="s">
        <v>8802</v>
      </c>
      <c r="F136" s="0" t="s">
        <v>8471</v>
      </c>
      <c r="G136" s="0" t="s">
        <v>8803</v>
      </c>
    </row>
    <row customHeight="1" ht="11.25">
      <c r="A137" s="734" t="s">
        <v>14</v>
      </c>
      <c r="B137" s="0" t="s">
        <v>8786</v>
      </c>
      <c r="C137" s="0" t="s">
        <v>8787</v>
      </c>
      <c r="D137" s="0" t="s">
        <v>8804</v>
      </c>
      <c r="E137" s="0" t="s">
        <v>8805</v>
      </c>
      <c r="F137" s="0" t="s">
        <v>8471</v>
      </c>
      <c r="G137" s="0" t="s">
        <v>8806</v>
      </c>
    </row>
    <row customHeight="1" ht="11.25">
      <c r="A138" s="734" t="s">
        <v>14</v>
      </c>
      <c r="B138" s="0" t="s">
        <v>8786</v>
      </c>
      <c r="C138" s="0" t="s">
        <v>8787</v>
      </c>
      <c r="D138" s="0" t="s">
        <v>8807</v>
      </c>
      <c r="E138" s="0" t="s">
        <v>8808</v>
      </c>
      <c r="F138" s="0" t="s">
        <v>8471</v>
      </c>
      <c r="G138" s="0" t="s">
        <v>8809</v>
      </c>
    </row>
    <row customHeight="1" ht="11.25">
      <c r="A139" s="734" t="s">
        <v>14</v>
      </c>
      <c r="B139" s="0" t="s">
        <v>8786</v>
      </c>
      <c r="C139" s="0" t="s">
        <v>8787</v>
      </c>
      <c r="D139" s="0" t="s">
        <v>8810</v>
      </c>
      <c r="E139" s="0" t="s">
        <v>8811</v>
      </c>
      <c r="F139" s="0" t="s">
        <v>8471</v>
      </c>
      <c r="G139" s="0" t="s">
        <v>8812</v>
      </c>
    </row>
    <row customHeight="1" ht="11.25">
      <c r="A140" s="734" t="s">
        <v>14</v>
      </c>
      <c r="B140" s="0" t="s">
        <v>8786</v>
      </c>
      <c r="C140" s="0" t="s">
        <v>8787</v>
      </c>
      <c r="D140" s="0" t="s">
        <v>8813</v>
      </c>
      <c r="E140" s="0" t="s">
        <v>8814</v>
      </c>
      <c r="F140" s="0" t="s">
        <v>8471</v>
      </c>
      <c r="G140" s="0" t="s">
        <v>8815</v>
      </c>
    </row>
    <row customHeight="1" ht="11.25">
      <c r="A141" s="734" t="s">
        <v>14</v>
      </c>
      <c r="B141" s="0" t="s">
        <v>8786</v>
      </c>
      <c r="C141" s="0" t="s">
        <v>8787</v>
      </c>
      <c r="D141" s="0" t="s">
        <v>8816</v>
      </c>
      <c r="E141" s="0" t="s">
        <v>8817</v>
      </c>
      <c r="F141" s="0" t="s">
        <v>8471</v>
      </c>
      <c r="G141" s="0" t="s">
        <v>8818</v>
      </c>
    </row>
    <row customHeight="1" ht="11.25">
      <c r="A142" s="734" t="s">
        <v>14</v>
      </c>
      <c r="B142" s="0" t="s">
        <v>8786</v>
      </c>
      <c r="C142" s="0" t="s">
        <v>8787</v>
      </c>
      <c r="D142" s="0" t="s">
        <v>8819</v>
      </c>
      <c r="E142" s="0" t="s">
        <v>8820</v>
      </c>
      <c r="F142" s="0" t="s">
        <v>8471</v>
      </c>
      <c r="G142" s="0" t="s">
        <v>8821</v>
      </c>
    </row>
    <row customHeight="1" ht="11.25">
      <c r="A143" s="734" t="s">
        <v>14</v>
      </c>
      <c r="B143" s="0" t="s">
        <v>8822</v>
      </c>
      <c r="C143" s="0" t="s">
        <v>8823</v>
      </c>
      <c r="D143" s="0" t="s">
        <v>8822</v>
      </c>
      <c r="E143" s="0" t="s">
        <v>8823</v>
      </c>
      <c r="F143" s="0" t="s">
        <v>8462</v>
      </c>
      <c r="G143" s="0" t="s">
        <v>8824</v>
      </c>
    </row>
    <row customHeight="1" ht="11.25">
      <c r="A144" s="734" t="s">
        <v>14</v>
      </c>
      <c r="B144" s="0" t="s">
        <v>8822</v>
      </c>
      <c r="C144" s="0" t="s">
        <v>8823</v>
      </c>
      <c r="D144" s="0" t="s">
        <v>8825</v>
      </c>
      <c r="E144" s="0" t="s">
        <v>8826</v>
      </c>
      <c r="F144" s="0" t="s">
        <v>8465</v>
      </c>
      <c r="G144" s="0" t="s">
        <v>8827</v>
      </c>
    </row>
    <row customHeight="1" ht="11.25">
      <c r="A145" s="734" t="s">
        <v>14</v>
      </c>
      <c r="B145" s="0" t="s">
        <v>8822</v>
      </c>
      <c r="C145" s="0" t="s">
        <v>8823</v>
      </c>
      <c r="D145" s="0" t="s">
        <v>8828</v>
      </c>
      <c r="E145" s="0" t="s">
        <v>8829</v>
      </c>
      <c r="F145" s="0" t="s">
        <v>8468</v>
      </c>
      <c r="G145" s="0" t="s">
        <v>8830</v>
      </c>
    </row>
    <row customHeight="1" ht="11.25">
      <c r="A146" s="734" t="s">
        <v>14</v>
      </c>
      <c r="B146" s="0" t="s">
        <v>8822</v>
      </c>
      <c r="C146" s="0" t="s">
        <v>8823</v>
      </c>
      <c r="D146" s="0" t="s">
        <v>8831</v>
      </c>
      <c r="E146" s="0" t="s">
        <v>8832</v>
      </c>
      <c r="F146" s="0" t="s">
        <v>8471</v>
      </c>
      <c r="G146" s="0" t="s">
        <v>8833</v>
      </c>
    </row>
    <row customHeight="1" ht="11.25">
      <c r="A147" s="734" t="s">
        <v>14</v>
      </c>
      <c r="B147" s="0" t="s">
        <v>8834</v>
      </c>
      <c r="C147" s="0" t="s">
        <v>8835</v>
      </c>
      <c r="D147" s="0" t="s">
        <v>8834</v>
      </c>
      <c r="E147" s="0" t="s">
        <v>8835</v>
      </c>
      <c r="F147" s="0" t="s">
        <v>8457</v>
      </c>
      <c r="G147" s="0" t="s">
        <v>8836</v>
      </c>
    </row>
    <row customHeight="1" ht="11.25">
      <c r="A148" s="734" t="s">
        <v>14</v>
      </c>
      <c r="B148" s="0" t="s">
        <v>8837</v>
      </c>
      <c r="C148" s="0" t="s">
        <v>8838</v>
      </c>
      <c r="D148" s="0" t="s">
        <v>8839</v>
      </c>
      <c r="E148" s="0" t="s">
        <v>8840</v>
      </c>
      <c r="F148" s="0" t="s">
        <v>8465</v>
      </c>
      <c r="G148" s="0" t="s">
        <v>8841</v>
      </c>
    </row>
    <row customHeight="1" ht="11.25">
      <c r="A149" s="734" t="s">
        <v>14</v>
      </c>
      <c r="B149" s="0" t="s">
        <v>8837</v>
      </c>
      <c r="C149" s="0" t="s">
        <v>8838</v>
      </c>
      <c r="D149" s="0" t="s">
        <v>8837</v>
      </c>
      <c r="E149" s="0" t="s">
        <v>8838</v>
      </c>
      <c r="F149" s="0" t="s">
        <v>8462</v>
      </c>
      <c r="G149" s="0" t="s">
        <v>8842</v>
      </c>
    </row>
    <row customHeight="1" ht="11.25">
      <c r="A150" s="734" t="s">
        <v>14</v>
      </c>
      <c r="B150" s="0" t="s">
        <v>8837</v>
      </c>
      <c r="C150" s="0" t="s">
        <v>8838</v>
      </c>
      <c r="D150" s="0" t="s">
        <v>8843</v>
      </c>
      <c r="E150" s="0" t="s">
        <v>8844</v>
      </c>
      <c r="F150" s="0" t="s">
        <v>8465</v>
      </c>
      <c r="G150" s="0" t="s">
        <v>8845</v>
      </c>
    </row>
    <row customHeight="1" ht="11.25">
      <c r="A151" s="734" t="s">
        <v>14</v>
      </c>
      <c r="B151" s="0" t="s">
        <v>8837</v>
      </c>
      <c r="C151" s="0" t="s">
        <v>8838</v>
      </c>
      <c r="D151" s="0" t="s">
        <v>8846</v>
      </c>
      <c r="E151" s="0" t="s">
        <v>8847</v>
      </c>
      <c r="F151" s="0" t="s">
        <v>8465</v>
      </c>
      <c r="G151" s="0" t="s">
        <v>8848</v>
      </c>
    </row>
    <row customHeight="1" ht="11.25">
      <c r="A152" s="734" t="s">
        <v>14</v>
      </c>
      <c r="B152" s="0" t="s">
        <v>8837</v>
      </c>
      <c r="C152" s="0" t="s">
        <v>8838</v>
      </c>
      <c r="D152" s="0" t="s">
        <v>8849</v>
      </c>
      <c r="E152" s="0" t="s">
        <v>8850</v>
      </c>
      <c r="F152" s="0" t="s">
        <v>8468</v>
      </c>
      <c r="G152" s="0" t="s">
        <v>8851</v>
      </c>
    </row>
    <row customHeight="1" ht="11.25">
      <c r="A153" s="734" t="s">
        <v>14</v>
      </c>
      <c r="B153" s="0" t="s">
        <v>8837</v>
      </c>
      <c r="C153" s="0" t="s">
        <v>8838</v>
      </c>
      <c r="D153" s="0" t="s">
        <v>8852</v>
      </c>
      <c r="E153" s="0" t="s">
        <v>8853</v>
      </c>
      <c r="F153" s="0" t="s">
        <v>8468</v>
      </c>
      <c r="G153" s="0" t="s">
        <v>8854</v>
      </c>
    </row>
    <row customHeight="1" ht="11.25">
      <c r="A154" s="734" t="s">
        <v>14</v>
      </c>
      <c r="B154" s="0" t="s">
        <v>8837</v>
      </c>
      <c r="C154" s="0" t="s">
        <v>8838</v>
      </c>
      <c r="D154" s="0" t="s">
        <v>8855</v>
      </c>
      <c r="E154" s="0" t="s">
        <v>8856</v>
      </c>
      <c r="F154" s="0" t="s">
        <v>8471</v>
      </c>
      <c r="G154" s="0" t="s">
        <v>8857</v>
      </c>
    </row>
    <row customHeight="1" ht="11.25">
      <c r="A155" s="734" t="s">
        <v>14</v>
      </c>
      <c r="B155" s="0" t="s">
        <v>8837</v>
      </c>
      <c r="C155" s="0" t="s">
        <v>8838</v>
      </c>
      <c r="D155" s="0" t="s">
        <v>8858</v>
      </c>
      <c r="E155" s="0" t="s">
        <v>8859</v>
      </c>
      <c r="F155" s="0" t="s">
        <v>8471</v>
      </c>
      <c r="G155" s="0" t="s">
        <v>8860</v>
      </c>
    </row>
    <row customHeight="1" ht="11.25">
      <c r="A156" s="734" t="s">
        <v>14</v>
      </c>
      <c r="B156" s="0" t="s">
        <v>8837</v>
      </c>
      <c r="C156" s="0" t="s">
        <v>8838</v>
      </c>
      <c r="D156" s="0" t="s">
        <v>8861</v>
      </c>
      <c r="E156" s="0" t="s">
        <v>8862</v>
      </c>
      <c r="F156" s="0" t="s">
        <v>8471</v>
      </c>
      <c r="G156" s="0" t="s">
        <v>8863</v>
      </c>
    </row>
    <row customHeight="1" ht="11.25">
      <c r="A157" s="734" t="s">
        <v>14</v>
      </c>
      <c r="B157" s="0" t="s">
        <v>8837</v>
      </c>
      <c r="C157" s="0" t="s">
        <v>8838</v>
      </c>
      <c r="D157" s="0" t="s">
        <v>8864</v>
      </c>
      <c r="E157" s="0" t="s">
        <v>8865</v>
      </c>
      <c r="F157" s="0" t="s">
        <v>8471</v>
      </c>
      <c r="G157" s="0" t="s">
        <v>8866</v>
      </c>
    </row>
    <row customHeight="1" ht="11.25">
      <c r="A158" s="734" t="s">
        <v>14</v>
      </c>
      <c r="B158" s="0" t="s">
        <v>8867</v>
      </c>
      <c r="C158" s="0" t="s">
        <v>8868</v>
      </c>
      <c r="D158" s="0" t="s">
        <v>8867</v>
      </c>
      <c r="E158" s="0" t="s">
        <v>8868</v>
      </c>
      <c r="F158" s="0" t="s">
        <v>8462</v>
      </c>
      <c r="G158" s="0" t="s">
        <v>8869</v>
      </c>
    </row>
    <row customHeight="1" ht="11.25">
      <c r="A159" s="734" t="s">
        <v>14</v>
      </c>
      <c r="B159" s="0" t="s">
        <v>8867</v>
      </c>
      <c r="C159" s="0" t="s">
        <v>8868</v>
      </c>
      <c r="D159" s="0" t="s">
        <v>8870</v>
      </c>
      <c r="E159" s="0" t="s">
        <v>8871</v>
      </c>
      <c r="F159" s="0" t="s">
        <v>8465</v>
      </c>
      <c r="G159" s="0" t="s">
        <v>8872</v>
      </c>
    </row>
    <row customHeight="1" ht="11.25">
      <c r="A160" s="734" t="s">
        <v>14</v>
      </c>
      <c r="B160" s="0" t="s">
        <v>8867</v>
      </c>
      <c r="C160" s="0" t="s">
        <v>8868</v>
      </c>
      <c r="D160" s="0" t="s">
        <v>8873</v>
      </c>
      <c r="E160" s="0" t="s">
        <v>8874</v>
      </c>
      <c r="F160" s="0" t="s">
        <v>8468</v>
      </c>
      <c r="G160" s="0" t="s">
        <v>8875</v>
      </c>
    </row>
    <row customHeight="1" ht="11.25">
      <c r="A161" s="734" t="s">
        <v>14</v>
      </c>
      <c r="B161" s="0" t="s">
        <v>8867</v>
      </c>
      <c r="C161" s="0" t="s">
        <v>8868</v>
      </c>
      <c r="D161" s="0" t="s">
        <v>8876</v>
      </c>
      <c r="E161" s="0" t="s">
        <v>8877</v>
      </c>
      <c r="F161" s="0" t="s">
        <v>8465</v>
      </c>
      <c r="G161" s="0" t="s">
        <v>8878</v>
      </c>
    </row>
    <row customHeight="1" ht="11.25">
      <c r="A162" s="734" t="s">
        <v>14</v>
      </c>
      <c r="B162" s="0" t="s">
        <v>8867</v>
      </c>
      <c r="C162" s="0" t="s">
        <v>8868</v>
      </c>
      <c r="D162" s="0" t="s">
        <v>8879</v>
      </c>
      <c r="E162" s="0" t="s">
        <v>8880</v>
      </c>
      <c r="F162" s="0" t="s">
        <v>8465</v>
      </c>
      <c r="G162" s="0" t="s">
        <v>8881</v>
      </c>
    </row>
    <row customHeight="1" ht="11.25">
      <c r="A163" s="734" t="s">
        <v>14</v>
      </c>
      <c r="B163" s="0" t="s">
        <v>8867</v>
      </c>
      <c r="C163" s="0" t="s">
        <v>8868</v>
      </c>
      <c r="D163" s="0" t="s">
        <v>8882</v>
      </c>
      <c r="E163" s="0" t="s">
        <v>8883</v>
      </c>
      <c r="F163" s="0" t="s">
        <v>8468</v>
      </c>
      <c r="G163" s="0" t="s">
        <v>8884</v>
      </c>
    </row>
    <row customHeight="1" ht="11.25">
      <c r="A164" s="734" t="s">
        <v>14</v>
      </c>
      <c r="B164" s="0" t="s">
        <v>8867</v>
      </c>
      <c r="C164" s="0" t="s">
        <v>8868</v>
      </c>
      <c r="D164" s="0" t="s">
        <v>8885</v>
      </c>
      <c r="E164" s="0" t="s">
        <v>8886</v>
      </c>
      <c r="F164" s="0" t="s">
        <v>8471</v>
      </c>
      <c r="G164" s="0" t="s">
        <v>8887</v>
      </c>
    </row>
    <row customHeight="1" ht="11.25">
      <c r="A165" s="734" t="s">
        <v>14</v>
      </c>
      <c r="B165" s="0" t="s">
        <v>8867</v>
      </c>
      <c r="C165" s="0" t="s">
        <v>8868</v>
      </c>
      <c r="D165" s="0" t="s">
        <v>8888</v>
      </c>
      <c r="E165" s="0" t="s">
        <v>8889</v>
      </c>
      <c r="F165" s="0" t="s">
        <v>8471</v>
      </c>
      <c r="G165" s="0" t="s">
        <v>8890</v>
      </c>
    </row>
    <row customHeight="1" ht="11.25">
      <c r="A166" s="734" t="s">
        <v>14</v>
      </c>
      <c r="B166" s="0" t="s">
        <v>8867</v>
      </c>
      <c r="C166" s="0" t="s">
        <v>8868</v>
      </c>
      <c r="D166" s="0" t="s">
        <v>8891</v>
      </c>
      <c r="E166" s="0" t="s">
        <v>8892</v>
      </c>
      <c r="F166" s="0" t="s">
        <v>8471</v>
      </c>
      <c r="G166" s="0" t="s">
        <v>8893</v>
      </c>
    </row>
    <row customHeight="1" ht="11.25">
      <c r="A167" s="734" t="s">
        <v>14</v>
      </c>
      <c r="B167" s="0" t="s">
        <v>8867</v>
      </c>
      <c r="C167" s="0" t="s">
        <v>8868</v>
      </c>
      <c r="D167" s="0" t="s">
        <v>8894</v>
      </c>
      <c r="E167" s="0" t="s">
        <v>8895</v>
      </c>
      <c r="F167" s="0" t="s">
        <v>8471</v>
      </c>
      <c r="G167" s="0" t="s">
        <v>8896</v>
      </c>
    </row>
    <row customHeight="1" ht="11.25">
      <c r="A168" s="734" t="s">
        <v>14</v>
      </c>
      <c r="B168" s="0" t="s">
        <v>8867</v>
      </c>
      <c r="C168" s="0" t="s">
        <v>8868</v>
      </c>
      <c r="D168" s="0" t="s">
        <v>8897</v>
      </c>
      <c r="E168" s="0" t="s">
        <v>8898</v>
      </c>
      <c r="F168" s="0" t="s">
        <v>8471</v>
      </c>
      <c r="G168" s="0" t="s">
        <v>8899</v>
      </c>
    </row>
    <row customHeight="1" ht="11.25">
      <c r="A169" s="734" t="s">
        <v>14</v>
      </c>
      <c r="B169" s="0" t="s">
        <v>8900</v>
      </c>
      <c r="C169" s="0" t="s">
        <v>8901</v>
      </c>
      <c r="D169" s="0" t="s">
        <v>8900</v>
      </c>
      <c r="E169" s="0" t="s">
        <v>8901</v>
      </c>
      <c r="F169" s="0" t="s">
        <v>8457</v>
      </c>
      <c r="G169" s="0" t="s">
        <v>8902</v>
      </c>
    </row>
    <row customHeight="1" ht="11.25">
      <c r="A170" s="734" t="s">
        <v>14</v>
      </c>
      <c r="B170" s="0" t="s">
        <v>8903</v>
      </c>
      <c r="C170" s="0" t="s">
        <v>8904</v>
      </c>
      <c r="D170" s="0" t="s">
        <v>8903</v>
      </c>
      <c r="E170" s="0" t="s">
        <v>8904</v>
      </c>
      <c r="F170" s="0" t="s">
        <v>8462</v>
      </c>
      <c r="G170" s="0" t="s">
        <v>8905</v>
      </c>
    </row>
    <row customHeight="1" ht="11.25">
      <c r="A171" s="734" t="s">
        <v>14</v>
      </c>
      <c r="B171" s="0" t="s">
        <v>8903</v>
      </c>
      <c r="C171" s="0" t="s">
        <v>8904</v>
      </c>
      <c r="D171" s="0" t="s">
        <v>8906</v>
      </c>
      <c r="E171" s="0" t="s">
        <v>8907</v>
      </c>
      <c r="F171" s="0" t="s">
        <v>8468</v>
      </c>
      <c r="G171" s="0" t="s">
        <v>8908</v>
      </c>
    </row>
    <row customHeight="1" ht="11.25">
      <c r="A172" s="734" t="s">
        <v>14</v>
      </c>
      <c r="B172" s="0" t="s">
        <v>8903</v>
      </c>
      <c r="C172" s="0" t="s">
        <v>8904</v>
      </c>
      <c r="D172" s="0" t="s">
        <v>8909</v>
      </c>
      <c r="E172" s="0" t="s">
        <v>8910</v>
      </c>
      <c r="F172" s="0" t="s">
        <v>8465</v>
      </c>
      <c r="G172" s="0" t="s">
        <v>8911</v>
      </c>
    </row>
    <row customHeight="1" ht="11.25">
      <c r="A173" s="734" t="s">
        <v>14</v>
      </c>
      <c r="B173" s="0" t="s">
        <v>8903</v>
      </c>
      <c r="C173" s="0" t="s">
        <v>8904</v>
      </c>
      <c r="D173" s="0" t="s">
        <v>8912</v>
      </c>
      <c r="E173" s="0" t="s">
        <v>8913</v>
      </c>
      <c r="F173" s="0" t="s">
        <v>8468</v>
      </c>
      <c r="G173" s="0" t="s">
        <v>8914</v>
      </c>
    </row>
    <row customHeight="1" ht="11.25">
      <c r="A174" s="734" t="s">
        <v>14</v>
      </c>
      <c r="B174" s="0" t="s">
        <v>8903</v>
      </c>
      <c r="C174" s="0" t="s">
        <v>8904</v>
      </c>
      <c r="D174" s="0" t="s">
        <v>8915</v>
      </c>
      <c r="E174" s="0" t="s">
        <v>8916</v>
      </c>
      <c r="F174" s="0" t="s">
        <v>8465</v>
      </c>
      <c r="G174" s="0" t="s">
        <v>8917</v>
      </c>
    </row>
    <row customHeight="1" ht="11.25">
      <c r="A175" s="734" t="s">
        <v>14</v>
      </c>
      <c r="B175" s="0" t="s">
        <v>8903</v>
      </c>
      <c r="C175" s="0" t="s">
        <v>8904</v>
      </c>
      <c r="D175" s="0" t="s">
        <v>8918</v>
      </c>
      <c r="E175" s="0" t="s">
        <v>8919</v>
      </c>
      <c r="F175" s="0" t="s">
        <v>8468</v>
      </c>
      <c r="G175" s="0" t="s">
        <v>8920</v>
      </c>
    </row>
    <row customHeight="1" ht="11.25">
      <c r="A176" s="734" t="s">
        <v>14</v>
      </c>
      <c r="B176" s="0" t="s">
        <v>8903</v>
      </c>
      <c r="C176" s="0" t="s">
        <v>8904</v>
      </c>
      <c r="D176" s="0" t="s">
        <v>8921</v>
      </c>
      <c r="E176" s="0" t="s">
        <v>8922</v>
      </c>
      <c r="F176" s="0" t="s">
        <v>8468</v>
      </c>
      <c r="G176" s="0" t="s">
        <v>8923</v>
      </c>
    </row>
    <row customHeight="1" ht="11.25">
      <c r="A177" s="734" t="s">
        <v>14</v>
      </c>
      <c r="B177" s="0" t="s">
        <v>8903</v>
      </c>
      <c r="C177" s="0" t="s">
        <v>8904</v>
      </c>
      <c r="D177" s="0" t="s">
        <v>8924</v>
      </c>
      <c r="E177" s="0" t="s">
        <v>8925</v>
      </c>
      <c r="F177" s="0" t="s">
        <v>8465</v>
      </c>
      <c r="G177" s="0" t="s">
        <v>8926</v>
      </c>
    </row>
    <row customHeight="1" ht="11.25">
      <c r="A178" s="734" t="s">
        <v>14</v>
      </c>
      <c r="B178" s="0" t="s">
        <v>8903</v>
      </c>
      <c r="C178" s="0" t="s">
        <v>8904</v>
      </c>
      <c r="D178" s="0" t="s">
        <v>8927</v>
      </c>
      <c r="E178" s="0" t="s">
        <v>8928</v>
      </c>
      <c r="F178" s="0" t="s">
        <v>8471</v>
      </c>
      <c r="G178" s="0" t="s">
        <v>8929</v>
      </c>
    </row>
    <row customHeight="1" ht="11.25">
      <c r="A179" s="734" t="s">
        <v>14</v>
      </c>
      <c r="B179" s="0" t="s">
        <v>8903</v>
      </c>
      <c r="C179" s="0" t="s">
        <v>8904</v>
      </c>
      <c r="D179" s="0" t="s">
        <v>8930</v>
      </c>
      <c r="E179" s="0" t="s">
        <v>8931</v>
      </c>
      <c r="F179" s="0" t="s">
        <v>8471</v>
      </c>
      <c r="G179" s="0" t="s">
        <v>8932</v>
      </c>
    </row>
    <row customHeight="1" ht="11.25">
      <c r="A180" s="734" t="s">
        <v>14</v>
      </c>
      <c r="B180" s="0" t="s">
        <v>8903</v>
      </c>
      <c r="C180" s="0" t="s">
        <v>8904</v>
      </c>
      <c r="D180" s="0" t="s">
        <v>8933</v>
      </c>
      <c r="E180" s="0" t="s">
        <v>8934</v>
      </c>
      <c r="F180" s="0" t="s">
        <v>8471</v>
      </c>
      <c r="G180" s="0" t="s">
        <v>8935</v>
      </c>
    </row>
    <row customHeight="1" ht="11.25">
      <c r="A181" s="734" t="s">
        <v>14</v>
      </c>
      <c r="B181" s="0" t="s">
        <v>8903</v>
      </c>
      <c r="C181" s="0" t="s">
        <v>8904</v>
      </c>
      <c r="D181" s="0" t="s">
        <v>8936</v>
      </c>
      <c r="E181" s="0" t="s">
        <v>8937</v>
      </c>
      <c r="F181" s="0" t="s">
        <v>8471</v>
      </c>
      <c r="G181" s="0" t="s">
        <v>8938</v>
      </c>
    </row>
    <row customHeight="1" ht="11.25">
      <c r="A182" s="734" t="s">
        <v>14</v>
      </c>
      <c r="B182" s="0" t="s">
        <v>8903</v>
      </c>
      <c r="C182" s="0" t="s">
        <v>8904</v>
      </c>
      <c r="D182" s="0" t="s">
        <v>8939</v>
      </c>
      <c r="E182" s="0" t="s">
        <v>8940</v>
      </c>
      <c r="F182" s="0" t="s">
        <v>8471</v>
      </c>
      <c r="G182" s="0" t="s">
        <v>8941</v>
      </c>
    </row>
    <row customHeight="1" ht="11.25">
      <c r="A183" s="734" t="s">
        <v>14</v>
      </c>
      <c r="B183" s="0" t="s">
        <v>8903</v>
      </c>
      <c r="C183" s="0" t="s">
        <v>8904</v>
      </c>
      <c r="D183" s="0" t="s">
        <v>8942</v>
      </c>
      <c r="E183" s="0" t="s">
        <v>8943</v>
      </c>
      <c r="F183" s="0" t="s">
        <v>8471</v>
      </c>
      <c r="G183" s="0" t="s">
        <v>8944</v>
      </c>
    </row>
    <row customHeight="1" ht="11.25">
      <c r="A184" s="734" t="s">
        <v>14</v>
      </c>
      <c r="B184" s="0" t="s">
        <v>8903</v>
      </c>
      <c r="C184" s="0" t="s">
        <v>8904</v>
      </c>
      <c r="D184" s="0" t="s">
        <v>8945</v>
      </c>
      <c r="E184" s="0" t="s">
        <v>8946</v>
      </c>
      <c r="F184" s="0" t="s">
        <v>8471</v>
      </c>
      <c r="G184" s="0" t="s">
        <v>8947</v>
      </c>
    </row>
    <row customHeight="1" ht="11.25">
      <c r="A185" s="734" t="s">
        <v>14</v>
      </c>
      <c r="B185" s="0" t="s">
        <v>8903</v>
      </c>
      <c r="C185" s="0" t="s">
        <v>8904</v>
      </c>
      <c r="D185" s="0" t="s">
        <v>8948</v>
      </c>
      <c r="E185" s="0" t="s">
        <v>8949</v>
      </c>
      <c r="F185" s="0" t="s">
        <v>8471</v>
      </c>
      <c r="G185" s="0" t="s">
        <v>8950</v>
      </c>
    </row>
    <row customHeight="1" ht="11.25">
      <c r="A186" s="734" t="s">
        <v>14</v>
      </c>
      <c r="B186" s="0" t="s">
        <v>8903</v>
      </c>
      <c r="C186" s="0" t="s">
        <v>8904</v>
      </c>
      <c r="D186" s="0" t="s">
        <v>8951</v>
      </c>
      <c r="E186" s="0" t="s">
        <v>8952</v>
      </c>
      <c r="F186" s="0" t="s">
        <v>8471</v>
      </c>
      <c r="G186" s="0" t="s">
        <v>8953</v>
      </c>
    </row>
    <row customHeight="1" ht="11.25">
      <c r="A187" s="734" t="s">
        <v>14</v>
      </c>
      <c r="B187" s="0" t="s">
        <v>8954</v>
      </c>
      <c r="C187" s="0" t="s">
        <v>8955</v>
      </c>
      <c r="D187" s="0" t="s">
        <v>8954</v>
      </c>
      <c r="E187" s="0" t="s">
        <v>8955</v>
      </c>
      <c r="F187" s="0" t="s">
        <v>8462</v>
      </c>
      <c r="G187" s="0" t="s">
        <v>8956</v>
      </c>
    </row>
    <row customHeight="1" ht="11.25">
      <c r="A188" s="734" t="s">
        <v>14</v>
      </c>
      <c r="B188" s="0" t="s">
        <v>8954</v>
      </c>
      <c r="C188" s="0" t="s">
        <v>8955</v>
      </c>
      <c r="D188" s="0" t="s">
        <v>8957</v>
      </c>
      <c r="E188" s="0" t="s">
        <v>8958</v>
      </c>
      <c r="F188" s="0" t="s">
        <v>8465</v>
      </c>
      <c r="G188" s="0" t="s">
        <v>8959</v>
      </c>
    </row>
    <row customHeight="1" ht="11.25">
      <c r="A189" s="734" t="s">
        <v>14</v>
      </c>
      <c r="B189" s="0" t="s">
        <v>8954</v>
      </c>
      <c r="C189" s="0" t="s">
        <v>8955</v>
      </c>
      <c r="D189" s="0" t="s">
        <v>8960</v>
      </c>
      <c r="E189" s="0" t="s">
        <v>8961</v>
      </c>
      <c r="F189" s="0" t="s">
        <v>8471</v>
      </c>
      <c r="G189" s="0" t="s">
        <v>8962</v>
      </c>
    </row>
    <row customHeight="1" ht="11.25">
      <c r="A190" s="734" t="s">
        <v>14</v>
      </c>
      <c r="B190" s="0" t="s">
        <v>8954</v>
      </c>
      <c r="C190" s="0" t="s">
        <v>8955</v>
      </c>
      <c r="D190" s="0" t="s">
        <v>8963</v>
      </c>
      <c r="E190" s="0" t="s">
        <v>8964</v>
      </c>
      <c r="F190" s="0" t="s">
        <v>8471</v>
      </c>
      <c r="G190" s="0" t="s">
        <v>8965</v>
      </c>
    </row>
    <row customHeight="1" ht="11.25">
      <c r="A191" s="734" t="s">
        <v>14</v>
      </c>
      <c r="B191" s="0" t="s">
        <v>8966</v>
      </c>
      <c r="C191" s="0" t="s">
        <v>8967</v>
      </c>
      <c r="D191" s="0" t="s">
        <v>8966</v>
      </c>
      <c r="E191" s="0" t="s">
        <v>8967</v>
      </c>
      <c r="F191" s="0" t="s">
        <v>8457</v>
      </c>
      <c r="G191" s="0" t="s">
        <v>8968</v>
      </c>
    </row>
    <row customHeight="1" ht="11.25">
      <c r="A192" s="734" t="s">
        <v>14</v>
      </c>
      <c r="B192" s="0" t="s">
        <v>8969</v>
      </c>
      <c r="C192" s="0" t="s">
        <v>8970</v>
      </c>
      <c r="D192" s="0" t="s">
        <v>8969</v>
      </c>
      <c r="E192" s="0" t="s">
        <v>8970</v>
      </c>
      <c r="F192" s="0" t="s">
        <v>8462</v>
      </c>
      <c r="G192" s="0" t="s">
        <v>8971</v>
      </c>
    </row>
    <row customHeight="1" ht="11.25">
      <c r="A193" s="734" t="s">
        <v>14</v>
      </c>
      <c r="B193" s="0" t="s">
        <v>8969</v>
      </c>
      <c r="C193" s="0" t="s">
        <v>8970</v>
      </c>
      <c r="D193" s="0" t="s">
        <v>8972</v>
      </c>
      <c r="E193" s="0" t="s">
        <v>8973</v>
      </c>
      <c r="F193" s="0" t="s">
        <v>8465</v>
      </c>
      <c r="G193" s="0" t="s">
        <v>8974</v>
      </c>
    </row>
    <row customHeight="1" ht="11.25">
      <c r="A194" s="734" t="s">
        <v>14</v>
      </c>
      <c r="B194" s="0" t="s">
        <v>8969</v>
      </c>
      <c r="C194" s="0" t="s">
        <v>8970</v>
      </c>
      <c r="D194" s="0" t="s">
        <v>8975</v>
      </c>
      <c r="E194" s="0" t="s">
        <v>8976</v>
      </c>
      <c r="F194" s="0" t="s">
        <v>8465</v>
      </c>
      <c r="G194" s="0" t="s">
        <v>8977</v>
      </c>
    </row>
    <row customHeight="1" ht="11.25">
      <c r="A195" s="734" t="s">
        <v>14</v>
      </c>
      <c r="B195" s="0" t="s">
        <v>8969</v>
      </c>
      <c r="C195" s="0" t="s">
        <v>8970</v>
      </c>
      <c r="D195" s="0" t="s">
        <v>8978</v>
      </c>
      <c r="E195" s="0" t="s">
        <v>8979</v>
      </c>
      <c r="F195" s="0" t="s">
        <v>8465</v>
      </c>
      <c r="G195" s="0" t="s">
        <v>8980</v>
      </c>
    </row>
    <row customHeight="1" ht="11.25">
      <c r="A196" s="734" t="s">
        <v>14</v>
      </c>
      <c r="B196" s="0" t="s">
        <v>8969</v>
      </c>
      <c r="C196" s="0" t="s">
        <v>8970</v>
      </c>
      <c r="D196" s="0" t="s">
        <v>8981</v>
      </c>
      <c r="E196" s="0" t="s">
        <v>8982</v>
      </c>
      <c r="F196" s="0" t="s">
        <v>8471</v>
      </c>
      <c r="G196" s="0" t="s">
        <v>8983</v>
      </c>
    </row>
    <row customHeight="1" ht="11.25">
      <c r="A197" s="734" t="s">
        <v>14</v>
      </c>
      <c r="B197" s="0" t="s">
        <v>8969</v>
      </c>
      <c r="C197" s="0" t="s">
        <v>8970</v>
      </c>
      <c r="D197" s="0" t="s">
        <v>8984</v>
      </c>
      <c r="E197" s="0" t="s">
        <v>8985</v>
      </c>
      <c r="F197" s="0" t="s">
        <v>8471</v>
      </c>
      <c r="G197" s="0" t="s">
        <v>8986</v>
      </c>
    </row>
    <row customHeight="1" ht="11.25">
      <c r="A198" s="734" t="s">
        <v>14</v>
      </c>
      <c r="B198" s="0" t="s">
        <v>8969</v>
      </c>
      <c r="C198" s="0" t="s">
        <v>8970</v>
      </c>
      <c r="D198" s="0" t="s">
        <v>8930</v>
      </c>
      <c r="E198" s="0" t="s">
        <v>8987</v>
      </c>
      <c r="F198" s="0" t="s">
        <v>8471</v>
      </c>
      <c r="G198" s="0" t="s">
        <v>8988</v>
      </c>
    </row>
    <row customHeight="1" ht="11.25">
      <c r="A199" s="734" t="s">
        <v>14</v>
      </c>
      <c r="B199" s="0" t="s">
        <v>8969</v>
      </c>
      <c r="C199" s="0" t="s">
        <v>8970</v>
      </c>
      <c r="D199" s="0" t="s">
        <v>8989</v>
      </c>
      <c r="E199" s="0" t="s">
        <v>8990</v>
      </c>
      <c r="F199" s="0" t="s">
        <v>8471</v>
      </c>
      <c r="G199" s="0" t="s">
        <v>8991</v>
      </c>
    </row>
    <row customHeight="1" ht="11.25">
      <c r="A200" s="734" t="s">
        <v>14</v>
      </c>
      <c r="B200" s="0" t="s">
        <v>8969</v>
      </c>
      <c r="C200" s="0" t="s">
        <v>8970</v>
      </c>
      <c r="D200" s="0" t="s">
        <v>8992</v>
      </c>
      <c r="E200" s="0" t="s">
        <v>8993</v>
      </c>
      <c r="F200" s="0" t="s">
        <v>8471</v>
      </c>
      <c r="G200" s="0" t="s">
        <v>8994</v>
      </c>
    </row>
    <row customHeight="1" ht="11.25">
      <c r="A201" s="734" t="s">
        <v>14</v>
      </c>
      <c r="B201" s="0" t="s">
        <v>8969</v>
      </c>
      <c r="C201" s="0" t="s">
        <v>8970</v>
      </c>
      <c r="D201" s="0" t="s">
        <v>8995</v>
      </c>
      <c r="E201" s="0" t="s">
        <v>8996</v>
      </c>
      <c r="F201" s="0" t="s">
        <v>8471</v>
      </c>
      <c r="G201" s="0" t="s">
        <v>8997</v>
      </c>
    </row>
    <row customHeight="1" ht="11.25">
      <c r="A202" s="734" t="s">
        <v>14</v>
      </c>
      <c r="B202" s="0" t="s">
        <v>8969</v>
      </c>
      <c r="C202" s="0" t="s">
        <v>8970</v>
      </c>
      <c r="D202" s="0" t="s">
        <v>8681</v>
      </c>
      <c r="E202" s="0" t="s">
        <v>8998</v>
      </c>
      <c r="F202" s="0" t="s">
        <v>8471</v>
      </c>
      <c r="G202" s="0" t="s">
        <v>8999</v>
      </c>
    </row>
    <row customHeight="1" ht="11.25">
      <c r="A203" s="734" t="s">
        <v>14</v>
      </c>
      <c r="B203" s="0" t="s">
        <v>8969</v>
      </c>
      <c r="C203" s="0" t="s">
        <v>8970</v>
      </c>
      <c r="D203" s="0" t="s">
        <v>9000</v>
      </c>
      <c r="E203" s="0" t="s">
        <v>9001</v>
      </c>
      <c r="F203" s="0" t="s">
        <v>8471</v>
      </c>
      <c r="G203" s="0" t="s">
        <v>9002</v>
      </c>
    </row>
    <row customHeight="1" ht="11.25">
      <c r="A204" s="734" t="s">
        <v>14</v>
      </c>
      <c r="B204" s="0" t="s">
        <v>8969</v>
      </c>
      <c r="C204" s="0" t="s">
        <v>8970</v>
      </c>
      <c r="D204" s="0" t="s">
        <v>9003</v>
      </c>
      <c r="E204" s="0" t="s">
        <v>9004</v>
      </c>
      <c r="F204" s="0" t="s">
        <v>8471</v>
      </c>
      <c r="G204" s="0" t="s">
        <v>9005</v>
      </c>
    </row>
    <row customHeight="1" ht="11.25">
      <c r="A205" s="734" t="s">
        <v>14</v>
      </c>
      <c r="B205" s="0" t="s">
        <v>8969</v>
      </c>
      <c r="C205" s="0" t="s">
        <v>8970</v>
      </c>
      <c r="D205" s="0" t="s">
        <v>9006</v>
      </c>
      <c r="E205" s="0" t="s">
        <v>9007</v>
      </c>
      <c r="F205" s="0" t="s">
        <v>8471</v>
      </c>
      <c r="G205" s="0" t="s">
        <v>9008</v>
      </c>
    </row>
    <row customHeight="1" ht="11.25">
      <c r="A206" s="734" t="s">
        <v>14</v>
      </c>
      <c r="B206" s="0" t="s">
        <v>9009</v>
      </c>
      <c r="C206" s="0" t="s">
        <v>9010</v>
      </c>
      <c r="D206" s="0" t="s">
        <v>9009</v>
      </c>
      <c r="E206" s="0" t="s">
        <v>9010</v>
      </c>
      <c r="F206" s="0" t="s">
        <v>8457</v>
      </c>
      <c r="G206" s="0" t="s">
        <v>9011</v>
      </c>
    </row>
    <row customHeight="1" ht="11.25">
      <c r="A207" s="734" t="s">
        <v>14</v>
      </c>
      <c r="B207" s="0" t="s">
        <v>9012</v>
      </c>
      <c r="C207" s="0" t="s">
        <v>9013</v>
      </c>
      <c r="D207" s="0" t="s">
        <v>9012</v>
      </c>
      <c r="E207" s="0" t="s">
        <v>9013</v>
      </c>
      <c r="F207" s="0" t="s">
        <v>8462</v>
      </c>
      <c r="G207" s="0" t="s">
        <v>9014</v>
      </c>
    </row>
    <row customHeight="1" ht="11.25">
      <c r="A208" s="734" t="s">
        <v>14</v>
      </c>
      <c r="B208" s="0" t="s">
        <v>9012</v>
      </c>
      <c r="C208" s="0" t="s">
        <v>9013</v>
      </c>
      <c r="D208" s="0" t="s">
        <v>9015</v>
      </c>
      <c r="E208" s="0" t="s">
        <v>9016</v>
      </c>
      <c r="F208" s="0" t="s">
        <v>8468</v>
      </c>
      <c r="G208" s="0" t="s">
        <v>9017</v>
      </c>
    </row>
    <row customHeight="1" ht="11.25">
      <c r="A209" s="734" t="s">
        <v>14</v>
      </c>
      <c r="B209" s="0" t="s">
        <v>9012</v>
      </c>
      <c r="C209" s="0" t="s">
        <v>9013</v>
      </c>
      <c r="D209" s="0" t="s">
        <v>9018</v>
      </c>
      <c r="E209" s="0" t="s">
        <v>9019</v>
      </c>
      <c r="F209" s="0" t="s">
        <v>8465</v>
      </c>
      <c r="G209" s="0" t="s">
        <v>9020</v>
      </c>
    </row>
    <row customHeight="1" ht="11.25">
      <c r="A210" s="734" t="s">
        <v>14</v>
      </c>
      <c r="B210" s="0" t="s">
        <v>9012</v>
      </c>
      <c r="C210" s="0" t="s">
        <v>9013</v>
      </c>
      <c r="D210" s="0" t="s">
        <v>9021</v>
      </c>
      <c r="E210" s="0" t="s">
        <v>9022</v>
      </c>
      <c r="F210" s="0" t="s">
        <v>8471</v>
      </c>
      <c r="G210" s="0" t="s">
        <v>9023</v>
      </c>
    </row>
    <row customHeight="1" ht="11.25">
      <c r="A211" s="734" t="s">
        <v>14</v>
      </c>
      <c r="B211" s="0" t="s">
        <v>9012</v>
      </c>
      <c r="C211" s="0" t="s">
        <v>9013</v>
      </c>
      <c r="D211" s="0" t="s">
        <v>9024</v>
      </c>
      <c r="E211" s="0" t="s">
        <v>9025</v>
      </c>
      <c r="F211" s="0" t="s">
        <v>8471</v>
      </c>
      <c r="G211" s="0" t="s">
        <v>9026</v>
      </c>
    </row>
    <row customHeight="1" ht="11.25">
      <c r="A212" s="734" t="s">
        <v>14</v>
      </c>
      <c r="B212" s="0" t="s">
        <v>9012</v>
      </c>
      <c r="C212" s="0" t="s">
        <v>9013</v>
      </c>
      <c r="D212" s="0" t="s">
        <v>9027</v>
      </c>
      <c r="E212" s="0" t="s">
        <v>9028</v>
      </c>
      <c r="F212" s="0" t="s">
        <v>8471</v>
      </c>
      <c r="G212" s="0" t="s">
        <v>9029</v>
      </c>
    </row>
    <row customHeight="1" ht="11.25">
      <c r="A213" s="734" t="s">
        <v>14</v>
      </c>
      <c r="B213" s="0" t="s">
        <v>9012</v>
      </c>
      <c r="C213" s="0" t="s">
        <v>9013</v>
      </c>
      <c r="D213" s="0" t="s">
        <v>9030</v>
      </c>
      <c r="E213" s="0" t="s">
        <v>9031</v>
      </c>
      <c r="F213" s="0" t="s">
        <v>8471</v>
      </c>
      <c r="G213" s="0" t="s">
        <v>9032</v>
      </c>
    </row>
    <row customHeight="1" ht="11.25">
      <c r="A214" s="734" t="s">
        <v>14</v>
      </c>
      <c r="B214" s="0" t="s">
        <v>9033</v>
      </c>
      <c r="C214" s="0" t="s">
        <v>9034</v>
      </c>
      <c r="D214" s="0" t="s">
        <v>9035</v>
      </c>
      <c r="E214" s="0" t="s">
        <v>9034</v>
      </c>
      <c r="F214" s="0" t="s">
        <v>8462</v>
      </c>
      <c r="G214" s="0" t="s">
        <v>9036</v>
      </c>
    </row>
    <row customHeight="1" ht="11.25">
      <c r="A215" s="734" t="s">
        <v>14</v>
      </c>
      <c r="B215" s="0" t="s">
        <v>9033</v>
      </c>
      <c r="C215" s="0" t="s">
        <v>9034</v>
      </c>
      <c r="D215" s="0" t="s">
        <v>9033</v>
      </c>
      <c r="E215" s="0" t="s">
        <v>9034</v>
      </c>
      <c r="F215" s="0" t="s">
        <v>8462</v>
      </c>
      <c r="G215" s="0" t="s">
        <v>9037</v>
      </c>
    </row>
    <row customHeight="1" ht="11.25">
      <c r="A216" s="734" t="s">
        <v>14</v>
      </c>
      <c r="B216" s="0" t="s">
        <v>9033</v>
      </c>
      <c r="C216" s="0" t="s">
        <v>9034</v>
      </c>
      <c r="D216" s="0" t="s">
        <v>9038</v>
      </c>
      <c r="E216" s="0" t="s">
        <v>9039</v>
      </c>
      <c r="F216" s="0" t="s">
        <v>8468</v>
      </c>
      <c r="G216" s="0" t="s">
        <v>9040</v>
      </c>
    </row>
    <row customHeight="1" ht="11.25">
      <c r="A217" s="734" t="s">
        <v>14</v>
      </c>
      <c r="B217" s="0" t="s">
        <v>9033</v>
      </c>
      <c r="C217" s="0" t="s">
        <v>9034</v>
      </c>
      <c r="D217" s="0" t="s">
        <v>9041</v>
      </c>
      <c r="E217" s="0" t="s">
        <v>9042</v>
      </c>
      <c r="F217" s="0" t="s">
        <v>8471</v>
      </c>
      <c r="G217" s="0" t="s">
        <v>9043</v>
      </c>
    </row>
    <row customHeight="1" ht="11.25">
      <c r="A218" s="734" t="s">
        <v>14</v>
      </c>
      <c r="B218" s="0" t="s">
        <v>9033</v>
      </c>
      <c r="C218" s="0" t="s">
        <v>9034</v>
      </c>
      <c r="D218" s="0" t="s">
        <v>9044</v>
      </c>
      <c r="E218" s="0" t="s">
        <v>9045</v>
      </c>
      <c r="F218" s="0" t="s">
        <v>8471</v>
      </c>
      <c r="G218" s="0" t="s">
        <v>9046</v>
      </c>
    </row>
    <row customHeight="1" ht="11.25">
      <c r="A219" s="734" t="s">
        <v>14</v>
      </c>
      <c r="B219" s="0" t="s">
        <v>9033</v>
      </c>
      <c r="C219" s="0" t="s">
        <v>9034</v>
      </c>
      <c r="D219" s="0" t="s">
        <v>9047</v>
      </c>
      <c r="E219" s="0" t="s">
        <v>9048</v>
      </c>
      <c r="F219" s="0" t="s">
        <v>8471</v>
      </c>
      <c r="G219" s="0" t="s">
        <v>9049</v>
      </c>
    </row>
    <row customHeight="1" ht="11.25">
      <c r="A220" s="734" t="s">
        <v>14</v>
      </c>
      <c r="B220" s="0" t="s">
        <v>9050</v>
      </c>
      <c r="C220" s="0" t="s">
        <v>9051</v>
      </c>
      <c r="D220" s="0" t="s">
        <v>9050</v>
      </c>
      <c r="E220" s="0" t="s">
        <v>9051</v>
      </c>
      <c r="F220" s="0" t="s">
        <v>8457</v>
      </c>
      <c r="G220" s="0" t="s">
        <v>9052</v>
      </c>
    </row>
    <row customHeight="1" ht="11.25">
      <c r="A221" s="734" t="s">
        <v>14</v>
      </c>
      <c r="B221" s="0" t="s">
        <v>9053</v>
      </c>
      <c r="C221" s="0" t="s">
        <v>9054</v>
      </c>
      <c r="D221" s="0" t="s">
        <v>9053</v>
      </c>
      <c r="E221" s="0" t="s">
        <v>9054</v>
      </c>
      <c r="F221" s="0" t="s">
        <v>8462</v>
      </c>
      <c r="G221" s="0" t="s">
        <v>9055</v>
      </c>
    </row>
    <row customHeight="1" ht="11.25">
      <c r="A222" s="734" t="s">
        <v>14</v>
      </c>
      <c r="B222" s="0" t="s">
        <v>9053</v>
      </c>
      <c r="C222" s="0" t="s">
        <v>9054</v>
      </c>
      <c r="D222" s="0" t="s">
        <v>9056</v>
      </c>
      <c r="E222" s="0" t="s">
        <v>9057</v>
      </c>
      <c r="F222" s="0" t="s">
        <v>8468</v>
      </c>
      <c r="G222" s="0" t="s">
        <v>9058</v>
      </c>
    </row>
    <row customHeight="1" ht="11.25">
      <c r="A223" s="734" t="s">
        <v>14</v>
      </c>
      <c r="B223" s="0" t="s">
        <v>9053</v>
      </c>
      <c r="C223" s="0" t="s">
        <v>9054</v>
      </c>
      <c r="D223" s="0" t="s">
        <v>9059</v>
      </c>
      <c r="E223" s="0" t="s">
        <v>9060</v>
      </c>
      <c r="F223" s="0" t="s">
        <v>8468</v>
      </c>
      <c r="G223" s="0" t="s">
        <v>9061</v>
      </c>
    </row>
    <row customHeight="1" ht="11.25">
      <c r="A224" s="734" t="s">
        <v>14</v>
      </c>
      <c r="B224" s="0" t="s">
        <v>9053</v>
      </c>
      <c r="C224" s="0" t="s">
        <v>9054</v>
      </c>
      <c r="D224" s="0" t="s">
        <v>9062</v>
      </c>
      <c r="E224" s="0" t="s">
        <v>9063</v>
      </c>
      <c r="F224" s="0" t="s">
        <v>8468</v>
      </c>
      <c r="G224" s="0" t="s">
        <v>9064</v>
      </c>
    </row>
    <row customHeight="1" ht="11.25">
      <c r="A225" s="734" t="s">
        <v>14</v>
      </c>
      <c r="B225" s="0" t="s">
        <v>9053</v>
      </c>
      <c r="C225" s="0" t="s">
        <v>9054</v>
      </c>
      <c r="D225" s="0" t="s">
        <v>9065</v>
      </c>
      <c r="E225" s="0" t="s">
        <v>9066</v>
      </c>
      <c r="F225" s="0" t="s">
        <v>8468</v>
      </c>
      <c r="G225" s="0" t="s">
        <v>9067</v>
      </c>
    </row>
    <row customHeight="1" ht="11.25">
      <c r="A226" s="734" t="s">
        <v>14</v>
      </c>
      <c r="B226" s="0" t="s">
        <v>9053</v>
      </c>
      <c r="C226" s="0" t="s">
        <v>9054</v>
      </c>
      <c r="D226" s="0" t="s">
        <v>9068</v>
      </c>
      <c r="E226" s="0" t="s">
        <v>9069</v>
      </c>
      <c r="F226" s="0" t="s">
        <v>8465</v>
      </c>
      <c r="G226" s="0" t="s">
        <v>9070</v>
      </c>
    </row>
    <row customHeight="1" ht="11.25">
      <c r="A227" s="734" t="s">
        <v>14</v>
      </c>
      <c r="B227" s="0" t="s">
        <v>9053</v>
      </c>
      <c r="C227" s="0" t="s">
        <v>9054</v>
      </c>
      <c r="D227" s="0" t="s">
        <v>9071</v>
      </c>
      <c r="E227" s="0" t="s">
        <v>9072</v>
      </c>
      <c r="F227" s="0" t="s">
        <v>8468</v>
      </c>
      <c r="G227" s="0" t="s">
        <v>9073</v>
      </c>
    </row>
    <row customHeight="1" ht="11.25">
      <c r="A228" s="734" t="s">
        <v>14</v>
      </c>
      <c r="B228" s="0" t="s">
        <v>9053</v>
      </c>
      <c r="C228" s="0" t="s">
        <v>9054</v>
      </c>
      <c r="D228" s="0" t="s">
        <v>9074</v>
      </c>
      <c r="E228" s="0" t="s">
        <v>9075</v>
      </c>
      <c r="F228" s="0" t="s">
        <v>8468</v>
      </c>
      <c r="G228" s="0" t="s">
        <v>9076</v>
      </c>
    </row>
    <row customHeight="1" ht="11.25">
      <c r="A229" s="734" t="s">
        <v>14</v>
      </c>
      <c r="B229" s="0" t="s">
        <v>9053</v>
      </c>
      <c r="C229" s="0" t="s">
        <v>9054</v>
      </c>
      <c r="D229" s="0" t="s">
        <v>9077</v>
      </c>
      <c r="E229" s="0" t="s">
        <v>9078</v>
      </c>
      <c r="F229" s="0" t="s">
        <v>8471</v>
      </c>
      <c r="G229" s="0" t="s">
        <v>9079</v>
      </c>
    </row>
    <row customHeight="1" ht="11.25">
      <c r="A230" s="734" t="s">
        <v>14</v>
      </c>
      <c r="B230" s="0" t="s">
        <v>9053</v>
      </c>
      <c r="C230" s="0" t="s">
        <v>9054</v>
      </c>
      <c r="D230" s="0" t="s">
        <v>9080</v>
      </c>
      <c r="E230" s="0" t="s">
        <v>9081</v>
      </c>
      <c r="F230" s="0" t="s">
        <v>8471</v>
      </c>
      <c r="G230" s="0" t="s">
        <v>9082</v>
      </c>
    </row>
    <row customHeight="1" ht="11.25">
      <c r="A231" s="734" t="s">
        <v>14</v>
      </c>
      <c r="B231" s="0" t="s">
        <v>9053</v>
      </c>
      <c r="C231" s="0" t="s">
        <v>9054</v>
      </c>
      <c r="D231" s="0" t="s">
        <v>9083</v>
      </c>
      <c r="E231" s="0" t="s">
        <v>9084</v>
      </c>
      <c r="F231" s="0" t="s">
        <v>8471</v>
      </c>
      <c r="G231" s="0" t="s">
        <v>9085</v>
      </c>
    </row>
    <row customHeight="1" ht="11.25">
      <c r="A232" s="734" t="s">
        <v>14</v>
      </c>
      <c r="B232" s="0" t="s">
        <v>9086</v>
      </c>
      <c r="C232" s="0" t="s">
        <v>9087</v>
      </c>
      <c r="D232" s="0" t="s">
        <v>9086</v>
      </c>
      <c r="E232" s="0" t="s">
        <v>9087</v>
      </c>
      <c r="F232" s="0" t="s">
        <v>8457</v>
      </c>
      <c r="G232" s="0" t="s">
        <v>9088</v>
      </c>
    </row>
    <row customHeight="1" ht="11.25">
      <c r="A233" s="734" t="s">
        <v>14</v>
      </c>
      <c r="B233" s="0" t="s">
        <v>9089</v>
      </c>
      <c r="C233" s="0" t="s">
        <v>9090</v>
      </c>
      <c r="D233" s="0" t="s">
        <v>9089</v>
      </c>
      <c r="E233" s="0" t="s">
        <v>9090</v>
      </c>
      <c r="F233" s="0" t="s">
        <v>8462</v>
      </c>
      <c r="G233" s="0" t="s">
        <v>9091</v>
      </c>
    </row>
    <row customHeight="1" ht="11.25">
      <c r="A234" s="734" t="s">
        <v>14</v>
      </c>
      <c r="B234" s="0" t="s">
        <v>9089</v>
      </c>
      <c r="C234" s="0" t="s">
        <v>9090</v>
      </c>
      <c r="D234" s="0" t="s">
        <v>9092</v>
      </c>
      <c r="E234" s="0" t="s">
        <v>9093</v>
      </c>
      <c r="F234" s="0" t="s">
        <v>8468</v>
      </c>
      <c r="G234" s="0" t="s">
        <v>9094</v>
      </c>
    </row>
    <row customHeight="1" ht="11.25">
      <c r="A235" s="734" t="s">
        <v>14</v>
      </c>
      <c r="B235" s="0" t="s">
        <v>9089</v>
      </c>
      <c r="C235" s="0" t="s">
        <v>9090</v>
      </c>
      <c r="D235" s="0" t="s">
        <v>9095</v>
      </c>
      <c r="E235" s="0" t="s">
        <v>9096</v>
      </c>
      <c r="F235" s="0" t="s">
        <v>8468</v>
      </c>
      <c r="G235" s="0" t="s">
        <v>9097</v>
      </c>
    </row>
    <row customHeight="1" ht="11.25">
      <c r="A236" s="734" t="s">
        <v>14</v>
      </c>
      <c r="B236" s="0" t="s">
        <v>9089</v>
      </c>
      <c r="C236" s="0" t="s">
        <v>9090</v>
      </c>
      <c r="D236" s="0" t="s">
        <v>9098</v>
      </c>
      <c r="E236" s="0" t="s">
        <v>9099</v>
      </c>
      <c r="F236" s="0" t="s">
        <v>8468</v>
      </c>
      <c r="G236" s="0" t="s">
        <v>9100</v>
      </c>
    </row>
    <row customHeight="1" ht="11.25">
      <c r="A237" s="734" t="s">
        <v>14</v>
      </c>
      <c r="B237" s="0" t="s">
        <v>9089</v>
      </c>
      <c r="C237" s="0" t="s">
        <v>9090</v>
      </c>
      <c r="D237" s="0" t="s">
        <v>9101</v>
      </c>
      <c r="E237" s="0" t="s">
        <v>9102</v>
      </c>
      <c r="F237" s="0" t="s">
        <v>8465</v>
      </c>
      <c r="G237" s="0" t="s">
        <v>9103</v>
      </c>
    </row>
    <row customHeight="1" ht="11.25">
      <c r="A238" s="734" t="s">
        <v>14</v>
      </c>
      <c r="B238" s="0" t="s">
        <v>9089</v>
      </c>
      <c r="C238" s="0" t="s">
        <v>9090</v>
      </c>
      <c r="D238" s="0" t="s">
        <v>9104</v>
      </c>
      <c r="E238" s="0" t="s">
        <v>9105</v>
      </c>
      <c r="F238" s="0" t="s">
        <v>8468</v>
      </c>
      <c r="G238" s="0" t="s">
        <v>9106</v>
      </c>
    </row>
    <row customHeight="1" ht="11.25">
      <c r="A239" s="734" t="s">
        <v>14</v>
      </c>
      <c r="B239" s="0" t="s">
        <v>9089</v>
      </c>
      <c r="C239" s="0" t="s">
        <v>9090</v>
      </c>
      <c r="D239" s="0" t="s">
        <v>9107</v>
      </c>
      <c r="E239" s="0" t="s">
        <v>9108</v>
      </c>
      <c r="F239" s="0" t="s">
        <v>8468</v>
      </c>
      <c r="G239" s="0" t="s">
        <v>9109</v>
      </c>
    </row>
    <row customHeight="1" ht="11.25">
      <c r="A240" s="734" t="s">
        <v>14</v>
      </c>
      <c r="B240" s="0" t="s">
        <v>9089</v>
      </c>
      <c r="C240" s="0" t="s">
        <v>9090</v>
      </c>
      <c r="D240" s="0" t="s">
        <v>8984</v>
      </c>
      <c r="E240" s="0" t="s">
        <v>9110</v>
      </c>
      <c r="F240" s="0" t="s">
        <v>8471</v>
      </c>
      <c r="G240" s="0" t="s">
        <v>9111</v>
      </c>
    </row>
    <row customHeight="1" ht="11.25">
      <c r="A241" s="734" t="s">
        <v>14</v>
      </c>
      <c r="B241" s="0" t="s">
        <v>9089</v>
      </c>
      <c r="C241" s="0" t="s">
        <v>9090</v>
      </c>
      <c r="D241" s="0" t="s">
        <v>9112</v>
      </c>
      <c r="E241" s="0" t="s">
        <v>9113</v>
      </c>
      <c r="F241" s="0" t="s">
        <v>8471</v>
      </c>
      <c r="G241" s="0" t="s">
        <v>9114</v>
      </c>
    </row>
    <row customHeight="1" ht="11.25">
      <c r="A242" s="734" t="s">
        <v>14</v>
      </c>
      <c r="B242" s="0" t="s">
        <v>9089</v>
      </c>
      <c r="C242" s="0" t="s">
        <v>9090</v>
      </c>
      <c r="D242" s="0" t="s">
        <v>9115</v>
      </c>
      <c r="E242" s="0" t="s">
        <v>9116</v>
      </c>
      <c r="F242" s="0" t="s">
        <v>8471</v>
      </c>
      <c r="G242" s="0" t="s">
        <v>9117</v>
      </c>
    </row>
    <row customHeight="1" ht="11.25">
      <c r="A243" s="734" t="s">
        <v>14</v>
      </c>
      <c r="B243" s="0" t="s">
        <v>9089</v>
      </c>
      <c r="C243" s="0" t="s">
        <v>9090</v>
      </c>
      <c r="D243" s="0" t="s">
        <v>9118</v>
      </c>
      <c r="E243" s="0" t="s">
        <v>9119</v>
      </c>
      <c r="F243" s="0" t="s">
        <v>8471</v>
      </c>
      <c r="G243" s="0" t="s">
        <v>9120</v>
      </c>
    </row>
    <row customHeight="1" ht="11.25">
      <c r="A244" s="734" t="s">
        <v>14</v>
      </c>
      <c r="B244" s="0" t="s">
        <v>9089</v>
      </c>
      <c r="C244" s="0" t="s">
        <v>9090</v>
      </c>
      <c r="D244" s="0" t="s">
        <v>9121</v>
      </c>
      <c r="E244" s="0" t="s">
        <v>9122</v>
      </c>
      <c r="F244" s="0" t="s">
        <v>8471</v>
      </c>
      <c r="G244" s="0" t="s">
        <v>9123</v>
      </c>
    </row>
    <row customHeight="1" ht="11.25">
      <c r="A245" s="734" t="s">
        <v>14</v>
      </c>
      <c r="B245" s="0" t="s">
        <v>9089</v>
      </c>
      <c r="C245" s="0" t="s">
        <v>9090</v>
      </c>
      <c r="D245" s="0" t="s">
        <v>9124</v>
      </c>
      <c r="E245" s="0" t="s">
        <v>9125</v>
      </c>
      <c r="F245" s="0" t="s">
        <v>8471</v>
      </c>
      <c r="G245" s="0" t="s">
        <v>9126</v>
      </c>
    </row>
    <row customHeight="1" ht="11.25">
      <c r="A246" s="734" t="s">
        <v>14</v>
      </c>
      <c r="B246" s="0" t="s">
        <v>9089</v>
      </c>
      <c r="C246" s="0" t="s">
        <v>9090</v>
      </c>
      <c r="D246" s="0" t="s">
        <v>9024</v>
      </c>
      <c r="E246" s="0" t="s">
        <v>9127</v>
      </c>
      <c r="F246" s="0" t="s">
        <v>8471</v>
      </c>
      <c r="G246" s="0" t="s">
        <v>9128</v>
      </c>
    </row>
    <row customHeight="1" ht="11.25">
      <c r="A247" s="734" t="s">
        <v>14</v>
      </c>
      <c r="B247" s="0" t="s">
        <v>9089</v>
      </c>
      <c r="C247" s="0" t="s">
        <v>9090</v>
      </c>
      <c r="D247" s="0" t="s">
        <v>9129</v>
      </c>
      <c r="E247" s="0" t="s">
        <v>9130</v>
      </c>
      <c r="F247" s="0" t="s">
        <v>8471</v>
      </c>
      <c r="G247" s="0" t="s">
        <v>9131</v>
      </c>
    </row>
    <row customHeight="1" ht="11.25">
      <c r="A248" s="734" t="s">
        <v>14</v>
      </c>
      <c r="B248" s="0" t="s">
        <v>9089</v>
      </c>
      <c r="C248" s="0" t="s">
        <v>9090</v>
      </c>
      <c r="D248" s="0" t="s">
        <v>9132</v>
      </c>
      <c r="E248" s="0" t="s">
        <v>9133</v>
      </c>
      <c r="F248" s="0" t="s">
        <v>8471</v>
      </c>
      <c r="G248" s="0" t="s">
        <v>9134</v>
      </c>
    </row>
    <row customHeight="1" ht="11.25">
      <c r="A249" s="734" t="s">
        <v>14</v>
      </c>
      <c r="B249" s="0" t="s">
        <v>9089</v>
      </c>
      <c r="C249" s="0" t="s">
        <v>9090</v>
      </c>
      <c r="D249" s="0" t="s">
        <v>9135</v>
      </c>
      <c r="E249" s="0" t="s">
        <v>9136</v>
      </c>
      <c r="F249" s="0" t="s">
        <v>8471</v>
      </c>
      <c r="G249" s="0" t="s">
        <v>9137</v>
      </c>
    </row>
    <row customHeight="1" ht="11.25">
      <c r="A250" s="734" t="s">
        <v>14</v>
      </c>
      <c r="B250" s="0" t="s">
        <v>9089</v>
      </c>
      <c r="C250" s="0" t="s">
        <v>9090</v>
      </c>
      <c r="D250" s="0" t="s">
        <v>9138</v>
      </c>
      <c r="E250" s="0" t="s">
        <v>9139</v>
      </c>
      <c r="F250" s="0" t="s">
        <v>8471</v>
      </c>
      <c r="G250" s="0" t="s">
        <v>9140</v>
      </c>
    </row>
    <row customHeight="1" ht="11.25">
      <c r="A251" s="734" t="s">
        <v>14</v>
      </c>
      <c r="B251" s="0" t="s">
        <v>9089</v>
      </c>
      <c r="C251" s="0" t="s">
        <v>9090</v>
      </c>
      <c r="D251" s="0" t="s">
        <v>9141</v>
      </c>
      <c r="E251" s="0" t="s">
        <v>9142</v>
      </c>
      <c r="F251" s="0" t="s">
        <v>8471</v>
      </c>
      <c r="G251" s="0" t="s">
        <v>9143</v>
      </c>
    </row>
    <row customHeight="1" ht="11.25">
      <c r="A252" s="734" t="s">
        <v>14</v>
      </c>
      <c r="B252" s="0" t="s">
        <v>9089</v>
      </c>
      <c r="C252" s="0" t="s">
        <v>9090</v>
      </c>
      <c r="D252" s="0" t="s">
        <v>9144</v>
      </c>
      <c r="E252" s="0" t="s">
        <v>9145</v>
      </c>
      <c r="F252" s="0" t="s">
        <v>8471</v>
      </c>
      <c r="G252" s="0" t="s">
        <v>9146</v>
      </c>
    </row>
    <row customHeight="1" ht="11.25">
      <c r="A253" s="734" t="s">
        <v>14</v>
      </c>
      <c r="B253" s="0" t="s">
        <v>9089</v>
      </c>
      <c r="C253" s="0" t="s">
        <v>9090</v>
      </c>
      <c r="D253" s="0" t="s">
        <v>9147</v>
      </c>
      <c r="E253" s="0" t="s">
        <v>9148</v>
      </c>
      <c r="F253" s="0" t="s">
        <v>8471</v>
      </c>
      <c r="G253" s="0" t="s">
        <v>9149</v>
      </c>
    </row>
    <row customHeight="1" ht="11.25">
      <c r="A254" s="734" t="s">
        <v>14</v>
      </c>
      <c r="B254" s="0" t="s">
        <v>9089</v>
      </c>
      <c r="C254" s="0" t="s">
        <v>9090</v>
      </c>
      <c r="D254" s="0" t="s">
        <v>9150</v>
      </c>
      <c r="E254" s="0" t="s">
        <v>9151</v>
      </c>
      <c r="F254" s="0" t="s">
        <v>8471</v>
      </c>
      <c r="G254" s="0" t="s">
        <v>9152</v>
      </c>
    </row>
    <row customHeight="1" ht="11.25">
      <c r="A255" s="734" t="s">
        <v>14</v>
      </c>
      <c r="B255" s="0" t="s">
        <v>9153</v>
      </c>
      <c r="C255" s="0" t="s">
        <v>9154</v>
      </c>
      <c r="D255" s="0" t="s">
        <v>9153</v>
      </c>
      <c r="E255" s="0" t="s">
        <v>9154</v>
      </c>
      <c r="F255" s="0" t="s">
        <v>8457</v>
      </c>
      <c r="G255" s="0" t="s">
        <v>9155</v>
      </c>
    </row>
    <row customHeight="1" ht="11.25">
      <c r="A256" s="734" t="s">
        <v>14</v>
      </c>
      <c r="B256" s="0" t="s">
        <v>9156</v>
      </c>
      <c r="C256" s="0" t="s">
        <v>9157</v>
      </c>
      <c r="D256" s="0" t="s">
        <v>9156</v>
      </c>
      <c r="E256" s="0" t="s">
        <v>9157</v>
      </c>
      <c r="F256" s="0" t="s">
        <v>8462</v>
      </c>
      <c r="G256" s="0" t="s">
        <v>9158</v>
      </c>
    </row>
    <row customHeight="1" ht="11.25">
      <c r="A257" s="734" t="s">
        <v>14</v>
      </c>
      <c r="B257" s="0" t="s">
        <v>9156</v>
      </c>
      <c r="C257" s="0" t="s">
        <v>9157</v>
      </c>
      <c r="D257" s="0" t="s">
        <v>9159</v>
      </c>
      <c r="E257" s="0" t="s">
        <v>9160</v>
      </c>
      <c r="F257" s="0" t="s">
        <v>8465</v>
      </c>
      <c r="G257" s="0" t="s">
        <v>9161</v>
      </c>
    </row>
    <row customHeight="1" ht="11.25">
      <c r="A258" s="734" t="s">
        <v>14</v>
      </c>
      <c r="B258" s="0" t="s">
        <v>9156</v>
      </c>
      <c r="C258" s="0" t="s">
        <v>9157</v>
      </c>
      <c r="D258" s="0" t="s">
        <v>9162</v>
      </c>
      <c r="E258" s="0" t="s">
        <v>9163</v>
      </c>
      <c r="F258" s="0" t="s">
        <v>8468</v>
      </c>
      <c r="G258" s="0" t="s">
        <v>9164</v>
      </c>
    </row>
    <row customHeight="1" ht="11.25">
      <c r="A259" s="734" t="s">
        <v>14</v>
      </c>
      <c r="B259" s="0" t="s">
        <v>9156</v>
      </c>
      <c r="C259" s="0" t="s">
        <v>9157</v>
      </c>
      <c r="D259" s="0" t="s">
        <v>9165</v>
      </c>
      <c r="E259" s="0" t="s">
        <v>9166</v>
      </c>
      <c r="F259" s="0" t="s">
        <v>8471</v>
      </c>
      <c r="G259" s="0" t="s">
        <v>9167</v>
      </c>
    </row>
    <row customHeight="1" ht="11.25">
      <c r="A260" s="734" t="s">
        <v>14</v>
      </c>
      <c r="B260" s="0" t="s">
        <v>9156</v>
      </c>
      <c r="C260" s="0" t="s">
        <v>9157</v>
      </c>
      <c r="D260" s="0" t="s">
        <v>8995</v>
      </c>
      <c r="E260" s="0" t="s">
        <v>9168</v>
      </c>
      <c r="F260" s="0" t="s">
        <v>8471</v>
      </c>
      <c r="G260" s="0" t="s">
        <v>9169</v>
      </c>
    </row>
    <row customHeight="1" ht="11.25">
      <c r="A261" s="734" t="s">
        <v>14</v>
      </c>
      <c r="B261" s="0" t="s">
        <v>9156</v>
      </c>
      <c r="C261" s="0" t="s">
        <v>9157</v>
      </c>
      <c r="D261" s="0" t="s">
        <v>8566</v>
      </c>
      <c r="E261" s="0" t="s">
        <v>9170</v>
      </c>
      <c r="F261" s="0" t="s">
        <v>8471</v>
      </c>
      <c r="G261" s="0" t="s">
        <v>9171</v>
      </c>
    </row>
    <row customHeight="1" ht="11.25">
      <c r="A262" s="734" t="s">
        <v>14</v>
      </c>
      <c r="B262" s="0" t="s">
        <v>9156</v>
      </c>
      <c r="C262" s="0" t="s">
        <v>9157</v>
      </c>
      <c r="D262" s="0" t="s">
        <v>9172</v>
      </c>
      <c r="E262" s="0" t="s">
        <v>9173</v>
      </c>
      <c r="F262" s="0" t="s">
        <v>8471</v>
      </c>
      <c r="G262" s="0" t="s">
        <v>9174</v>
      </c>
    </row>
    <row customHeight="1" ht="11.25">
      <c r="A263" s="734" t="s">
        <v>14</v>
      </c>
      <c r="B263" s="0" t="s">
        <v>9156</v>
      </c>
      <c r="C263" s="0" t="s">
        <v>9157</v>
      </c>
      <c r="D263" s="0" t="s">
        <v>9175</v>
      </c>
      <c r="E263" s="0" t="s">
        <v>9176</v>
      </c>
      <c r="F263" s="0" t="s">
        <v>8471</v>
      </c>
      <c r="G263" s="0" t="s">
        <v>9177</v>
      </c>
    </row>
    <row customHeight="1" ht="11.25">
      <c r="A264" s="734" t="s">
        <v>14</v>
      </c>
      <c r="B264" s="0" t="s">
        <v>9178</v>
      </c>
      <c r="C264" s="0" t="s">
        <v>9179</v>
      </c>
      <c r="D264" s="0" t="s">
        <v>9178</v>
      </c>
      <c r="E264" s="0" t="s">
        <v>9179</v>
      </c>
      <c r="F264" s="0" t="s">
        <v>8457</v>
      </c>
      <c r="G264" s="0" t="s">
        <v>9180</v>
      </c>
    </row>
    <row customHeight="1" ht="11.25">
      <c r="A265" s="734" t="s">
        <v>14</v>
      </c>
      <c r="B265" s="0" t="s">
        <v>9181</v>
      </c>
      <c r="C265" s="0" t="s">
        <v>9182</v>
      </c>
      <c r="D265" s="0" t="s">
        <v>9183</v>
      </c>
      <c r="E265" s="0" t="s">
        <v>9184</v>
      </c>
      <c r="F265" s="0" t="s">
        <v>8465</v>
      </c>
      <c r="G265" s="0" t="s">
        <v>9185</v>
      </c>
    </row>
    <row customHeight="1" ht="11.25">
      <c r="A266" s="734" t="s">
        <v>14</v>
      </c>
      <c r="B266" s="0" t="s">
        <v>9181</v>
      </c>
      <c r="C266" s="0" t="s">
        <v>9182</v>
      </c>
      <c r="D266" s="0" t="s">
        <v>9181</v>
      </c>
      <c r="E266" s="0" t="s">
        <v>9182</v>
      </c>
      <c r="F266" s="0" t="s">
        <v>8462</v>
      </c>
      <c r="G266" s="0" t="s">
        <v>9186</v>
      </c>
    </row>
    <row customHeight="1" ht="11.25">
      <c r="A267" s="734" t="s">
        <v>14</v>
      </c>
      <c r="B267" s="0" t="s">
        <v>9181</v>
      </c>
      <c r="C267" s="0" t="s">
        <v>9182</v>
      </c>
      <c r="D267" s="0" t="s">
        <v>9187</v>
      </c>
      <c r="E267" s="0" t="s">
        <v>9188</v>
      </c>
      <c r="F267" s="0" t="s">
        <v>8468</v>
      </c>
      <c r="G267" s="0" t="s">
        <v>9189</v>
      </c>
    </row>
    <row customHeight="1" ht="11.25">
      <c r="A268" s="734" t="s">
        <v>14</v>
      </c>
      <c r="B268" s="0" t="s">
        <v>9181</v>
      </c>
      <c r="C268" s="0" t="s">
        <v>9182</v>
      </c>
      <c r="D268" s="0" t="s">
        <v>9190</v>
      </c>
      <c r="E268" s="0" t="s">
        <v>9191</v>
      </c>
      <c r="F268" s="0" t="s">
        <v>8465</v>
      </c>
      <c r="G268" s="0" t="s">
        <v>9192</v>
      </c>
    </row>
    <row customHeight="1" ht="11.25">
      <c r="A269" s="734" t="s">
        <v>14</v>
      </c>
      <c r="B269" s="0" t="s">
        <v>9181</v>
      </c>
      <c r="C269" s="0" t="s">
        <v>9182</v>
      </c>
      <c r="D269" s="0" t="s">
        <v>9193</v>
      </c>
      <c r="E269" s="0" t="s">
        <v>9194</v>
      </c>
      <c r="F269" s="0" t="s">
        <v>8465</v>
      </c>
      <c r="G269" s="0" t="s">
        <v>9195</v>
      </c>
    </row>
    <row customHeight="1" ht="11.25">
      <c r="A270" s="734" t="s">
        <v>14</v>
      </c>
      <c r="B270" s="0" t="s">
        <v>9181</v>
      </c>
      <c r="C270" s="0" t="s">
        <v>9182</v>
      </c>
      <c r="D270" s="0" t="s">
        <v>9196</v>
      </c>
      <c r="E270" s="0" t="s">
        <v>9197</v>
      </c>
      <c r="F270" s="0" t="s">
        <v>8468</v>
      </c>
      <c r="G270" s="0" t="s">
        <v>9198</v>
      </c>
    </row>
    <row customHeight="1" ht="11.25">
      <c r="A271" s="734" t="s">
        <v>14</v>
      </c>
      <c r="B271" s="0" t="s">
        <v>9181</v>
      </c>
      <c r="C271" s="0" t="s">
        <v>9182</v>
      </c>
      <c r="D271" s="0" t="s">
        <v>9199</v>
      </c>
      <c r="E271" s="0" t="s">
        <v>9200</v>
      </c>
      <c r="F271" s="0" t="s">
        <v>8465</v>
      </c>
      <c r="G271" s="0" t="s">
        <v>9201</v>
      </c>
    </row>
    <row customHeight="1" ht="11.25">
      <c r="A272" s="734" t="s">
        <v>14</v>
      </c>
      <c r="B272" s="0" t="s">
        <v>9181</v>
      </c>
      <c r="C272" s="0" t="s">
        <v>9182</v>
      </c>
      <c r="D272" s="0" t="s">
        <v>9202</v>
      </c>
      <c r="E272" s="0" t="s">
        <v>9203</v>
      </c>
      <c r="F272" s="0" t="s">
        <v>8471</v>
      </c>
      <c r="G272" s="0" t="s">
        <v>9204</v>
      </c>
    </row>
    <row customHeight="1" ht="11.25">
      <c r="A273" s="734" t="s">
        <v>14</v>
      </c>
      <c r="B273" s="0" t="s">
        <v>9181</v>
      </c>
      <c r="C273" s="0" t="s">
        <v>9182</v>
      </c>
      <c r="D273" s="0" t="s">
        <v>9205</v>
      </c>
      <c r="E273" s="0" t="s">
        <v>9206</v>
      </c>
      <c r="F273" s="0" t="s">
        <v>8471</v>
      </c>
      <c r="G273" s="0" t="s">
        <v>9207</v>
      </c>
    </row>
    <row customHeight="1" ht="11.25">
      <c r="A274" s="734" t="s">
        <v>14</v>
      </c>
      <c r="B274" s="0" t="s">
        <v>9181</v>
      </c>
      <c r="C274" s="0" t="s">
        <v>9182</v>
      </c>
      <c r="D274" s="0" t="s">
        <v>9208</v>
      </c>
      <c r="E274" s="0" t="s">
        <v>9209</v>
      </c>
      <c r="F274" s="0" t="s">
        <v>8471</v>
      </c>
      <c r="G274" s="0" t="s">
        <v>9210</v>
      </c>
    </row>
    <row customHeight="1" ht="11.25">
      <c r="A275" s="734" t="s">
        <v>14</v>
      </c>
      <c r="B275" s="0" t="s">
        <v>9181</v>
      </c>
      <c r="C275" s="0" t="s">
        <v>9182</v>
      </c>
      <c r="D275" s="0" t="s">
        <v>9211</v>
      </c>
      <c r="E275" s="0" t="s">
        <v>9212</v>
      </c>
      <c r="F275" s="0" t="s">
        <v>8471</v>
      </c>
      <c r="G275" s="0" t="s">
        <v>9213</v>
      </c>
    </row>
    <row customHeight="1" ht="11.25">
      <c r="A276" s="734" t="s">
        <v>14</v>
      </c>
      <c r="B276" s="0" t="s">
        <v>9181</v>
      </c>
      <c r="C276" s="0" t="s">
        <v>9182</v>
      </c>
      <c r="D276" s="0" t="s">
        <v>9214</v>
      </c>
      <c r="E276" s="0" t="s">
        <v>9215</v>
      </c>
      <c r="F276" s="0" t="s">
        <v>8471</v>
      </c>
      <c r="G276" s="0" t="s">
        <v>9216</v>
      </c>
    </row>
    <row customHeight="1" ht="11.25">
      <c r="A277" s="734" t="s">
        <v>14</v>
      </c>
      <c r="B277" s="0" t="s">
        <v>9181</v>
      </c>
      <c r="C277" s="0" t="s">
        <v>9182</v>
      </c>
      <c r="D277" s="0" t="s">
        <v>9217</v>
      </c>
      <c r="E277" s="0" t="s">
        <v>9218</v>
      </c>
      <c r="F277" s="0" t="s">
        <v>8471</v>
      </c>
      <c r="G277" s="0" t="s">
        <v>9219</v>
      </c>
    </row>
    <row customHeight="1" ht="11.25">
      <c r="A278" s="734" t="s">
        <v>14</v>
      </c>
      <c r="B278" s="0" t="s">
        <v>9220</v>
      </c>
      <c r="C278" s="0" t="s">
        <v>9221</v>
      </c>
      <c r="D278" s="0" t="s">
        <v>9220</v>
      </c>
      <c r="E278" s="0" t="s">
        <v>9221</v>
      </c>
      <c r="F278" s="0" t="s">
        <v>8462</v>
      </c>
      <c r="G278" s="0" t="s">
        <v>9222</v>
      </c>
    </row>
    <row customHeight="1" ht="11.25">
      <c r="A279" s="734" t="s">
        <v>14</v>
      </c>
      <c r="B279" s="0" t="s">
        <v>9220</v>
      </c>
      <c r="C279" s="0" t="s">
        <v>9221</v>
      </c>
      <c r="D279" s="0" t="s">
        <v>9223</v>
      </c>
      <c r="E279" s="0" t="s">
        <v>9224</v>
      </c>
      <c r="F279" s="0" t="s">
        <v>8468</v>
      </c>
      <c r="G279" s="0" t="s">
        <v>9225</v>
      </c>
    </row>
    <row customHeight="1" ht="11.25">
      <c r="A280" s="734" t="s">
        <v>14</v>
      </c>
      <c r="B280" s="0" t="s">
        <v>9220</v>
      </c>
      <c r="C280" s="0" t="s">
        <v>9221</v>
      </c>
      <c r="D280" s="0" t="s">
        <v>9226</v>
      </c>
      <c r="E280" s="0" t="s">
        <v>9227</v>
      </c>
      <c r="F280" s="0" t="s">
        <v>8471</v>
      </c>
      <c r="G280" s="0" t="s">
        <v>9228</v>
      </c>
    </row>
    <row customHeight="1" ht="11.25">
      <c r="A281" s="734" t="s">
        <v>14</v>
      </c>
      <c r="B281" s="0" t="s">
        <v>9220</v>
      </c>
      <c r="C281" s="0" t="s">
        <v>9221</v>
      </c>
      <c r="D281" s="0" t="s">
        <v>9229</v>
      </c>
      <c r="E281" s="0" t="s">
        <v>9230</v>
      </c>
      <c r="F281" s="0" t="s">
        <v>8471</v>
      </c>
      <c r="G281" s="0" t="s">
        <v>9231</v>
      </c>
    </row>
    <row customHeight="1" ht="11.25">
      <c r="A282" s="734" t="s">
        <v>14</v>
      </c>
      <c r="B282" s="0" t="s">
        <v>9220</v>
      </c>
      <c r="C282" s="0" t="s">
        <v>9221</v>
      </c>
      <c r="D282" s="0" t="s">
        <v>8948</v>
      </c>
      <c r="E282" s="0" t="s">
        <v>9232</v>
      </c>
      <c r="F282" s="0" t="s">
        <v>8471</v>
      </c>
      <c r="G282" s="0" t="s">
        <v>9233</v>
      </c>
    </row>
    <row customHeight="1" ht="11.25">
      <c r="A283" s="734" t="s">
        <v>14</v>
      </c>
      <c r="B283" s="0" t="s">
        <v>9234</v>
      </c>
      <c r="C283" s="0" t="s">
        <v>9235</v>
      </c>
      <c r="D283" s="0" t="s">
        <v>9234</v>
      </c>
      <c r="E283" s="0" t="s">
        <v>9235</v>
      </c>
      <c r="F283" s="0" t="s">
        <v>8462</v>
      </c>
      <c r="G283" s="0" t="s">
        <v>9236</v>
      </c>
    </row>
    <row customHeight="1" ht="11.25">
      <c r="A284" s="734" t="s">
        <v>14</v>
      </c>
      <c r="B284" s="0" t="s">
        <v>9234</v>
      </c>
      <c r="C284" s="0" t="s">
        <v>9235</v>
      </c>
      <c r="D284" s="0" t="s">
        <v>9237</v>
      </c>
      <c r="E284" s="0" t="s">
        <v>9238</v>
      </c>
      <c r="F284" s="0" t="s">
        <v>8468</v>
      </c>
      <c r="G284" s="0" t="s">
        <v>9239</v>
      </c>
    </row>
    <row customHeight="1" ht="11.25">
      <c r="A285" s="734" t="s">
        <v>14</v>
      </c>
      <c r="B285" s="0" t="s">
        <v>9234</v>
      </c>
      <c r="C285" s="0" t="s">
        <v>9235</v>
      </c>
      <c r="D285" s="0" t="s">
        <v>9240</v>
      </c>
      <c r="E285" s="0" t="s">
        <v>9241</v>
      </c>
      <c r="F285" s="0" t="s">
        <v>8468</v>
      </c>
      <c r="G285" s="0" t="s">
        <v>9242</v>
      </c>
    </row>
    <row customHeight="1" ht="11.25">
      <c r="A286" s="734" t="s">
        <v>14</v>
      </c>
      <c r="B286" s="0" t="s">
        <v>9234</v>
      </c>
      <c r="C286" s="0" t="s">
        <v>9235</v>
      </c>
      <c r="D286" s="0" t="s">
        <v>9205</v>
      </c>
      <c r="E286" s="0" t="s">
        <v>9243</v>
      </c>
      <c r="F286" s="0" t="s">
        <v>8471</v>
      </c>
      <c r="G286" s="0" t="s">
        <v>9244</v>
      </c>
    </row>
    <row customHeight="1" ht="11.25">
      <c r="A287" s="734" t="s">
        <v>14</v>
      </c>
      <c r="B287" s="0" t="s">
        <v>9234</v>
      </c>
      <c r="C287" s="0" t="s">
        <v>9235</v>
      </c>
      <c r="D287" s="0" t="s">
        <v>9245</v>
      </c>
      <c r="E287" s="0" t="s">
        <v>9246</v>
      </c>
      <c r="F287" s="0" t="s">
        <v>8471</v>
      </c>
      <c r="G287" s="0" t="s">
        <v>9247</v>
      </c>
    </row>
    <row customHeight="1" ht="11.25">
      <c r="A288" s="734" t="s">
        <v>14</v>
      </c>
      <c r="B288" s="0" t="s">
        <v>9234</v>
      </c>
      <c r="C288" s="0" t="s">
        <v>9235</v>
      </c>
      <c r="D288" s="0" t="s">
        <v>9248</v>
      </c>
      <c r="E288" s="0" t="s">
        <v>9249</v>
      </c>
      <c r="F288" s="0" t="s">
        <v>8471</v>
      </c>
      <c r="G288" s="0" t="s">
        <v>9250</v>
      </c>
    </row>
    <row customHeight="1" ht="11.25">
      <c r="A289" s="734" t="s">
        <v>14</v>
      </c>
      <c r="B289" s="0" t="s">
        <v>9234</v>
      </c>
      <c r="C289" s="0" t="s">
        <v>9235</v>
      </c>
      <c r="D289" s="0" t="s">
        <v>9251</v>
      </c>
      <c r="E289" s="0" t="s">
        <v>9252</v>
      </c>
      <c r="F289" s="0" t="s">
        <v>8471</v>
      </c>
      <c r="G289" s="0" t="s">
        <v>9253</v>
      </c>
    </row>
    <row customHeight="1" ht="11.25">
      <c r="A290" s="734" t="s">
        <v>14</v>
      </c>
      <c r="B290" s="0" t="s">
        <v>9234</v>
      </c>
      <c r="C290" s="0" t="s">
        <v>9235</v>
      </c>
      <c r="D290" s="0" t="s">
        <v>9254</v>
      </c>
      <c r="E290" s="0" t="s">
        <v>9255</v>
      </c>
      <c r="F290" s="0" t="s">
        <v>8471</v>
      </c>
      <c r="G290" s="0" t="s">
        <v>9256</v>
      </c>
    </row>
    <row customHeight="1" ht="11.25">
      <c r="A291" s="734" t="s">
        <v>14</v>
      </c>
      <c r="B291" s="0" t="s">
        <v>9257</v>
      </c>
      <c r="C291" s="0" t="s">
        <v>9258</v>
      </c>
      <c r="D291" s="0" t="s">
        <v>9257</v>
      </c>
      <c r="E291" s="0" t="s">
        <v>9258</v>
      </c>
      <c r="F291" s="0" t="s">
        <v>8457</v>
      </c>
      <c r="G291" s="0" t="s">
        <v>9259</v>
      </c>
    </row>
    <row customHeight="1" ht="11.25">
      <c r="A292" s="734" t="s">
        <v>14</v>
      </c>
      <c r="B292" s="0" t="s">
        <v>9260</v>
      </c>
      <c r="C292" s="0" t="s">
        <v>9261</v>
      </c>
      <c r="D292" s="0" t="s">
        <v>9260</v>
      </c>
      <c r="E292" s="0" t="s">
        <v>9261</v>
      </c>
      <c r="F292" s="0" t="s">
        <v>8462</v>
      </c>
      <c r="G292" s="0" t="s">
        <v>9262</v>
      </c>
    </row>
    <row customHeight="1" ht="11.25">
      <c r="A293" s="734" t="s">
        <v>14</v>
      </c>
      <c r="B293" s="0" t="s">
        <v>9260</v>
      </c>
      <c r="C293" s="0" t="s">
        <v>9261</v>
      </c>
      <c r="D293" s="0" t="s">
        <v>9263</v>
      </c>
      <c r="E293" s="0" t="s">
        <v>9264</v>
      </c>
      <c r="F293" s="0" t="s">
        <v>8468</v>
      </c>
      <c r="G293" s="0" t="s">
        <v>9265</v>
      </c>
    </row>
    <row customHeight="1" ht="11.25">
      <c r="A294" s="734" t="s">
        <v>14</v>
      </c>
      <c r="B294" s="0" t="s">
        <v>9260</v>
      </c>
      <c r="C294" s="0" t="s">
        <v>9261</v>
      </c>
      <c r="D294" s="0" t="s">
        <v>9266</v>
      </c>
      <c r="E294" s="0" t="s">
        <v>9267</v>
      </c>
      <c r="F294" s="0" t="s">
        <v>8468</v>
      </c>
      <c r="G294" s="0" t="s">
        <v>9268</v>
      </c>
    </row>
    <row customHeight="1" ht="11.25">
      <c r="A295" s="734" t="s">
        <v>14</v>
      </c>
      <c r="B295" s="0" t="s">
        <v>9260</v>
      </c>
      <c r="C295" s="0" t="s">
        <v>9261</v>
      </c>
      <c r="D295" s="0" t="s">
        <v>9269</v>
      </c>
      <c r="E295" s="0" t="s">
        <v>9270</v>
      </c>
      <c r="F295" s="0" t="s">
        <v>8468</v>
      </c>
      <c r="G295" s="0" t="s">
        <v>9271</v>
      </c>
    </row>
    <row customHeight="1" ht="11.25">
      <c r="A296" s="734" t="s">
        <v>14</v>
      </c>
      <c r="B296" s="0" t="s">
        <v>9260</v>
      </c>
      <c r="C296" s="0" t="s">
        <v>9261</v>
      </c>
      <c r="D296" s="0" t="s">
        <v>9272</v>
      </c>
      <c r="E296" s="0" t="s">
        <v>9273</v>
      </c>
      <c r="F296" s="0" t="s">
        <v>8468</v>
      </c>
      <c r="G296" s="0" t="s">
        <v>9274</v>
      </c>
    </row>
    <row customHeight="1" ht="11.25">
      <c r="A297" s="734" t="s">
        <v>14</v>
      </c>
      <c r="B297" s="0" t="s">
        <v>9260</v>
      </c>
      <c r="C297" s="0" t="s">
        <v>9261</v>
      </c>
      <c r="D297" s="0" t="s">
        <v>9275</v>
      </c>
      <c r="E297" s="0" t="s">
        <v>9276</v>
      </c>
      <c r="F297" s="0" t="s">
        <v>8465</v>
      </c>
      <c r="G297" s="0" t="s">
        <v>9277</v>
      </c>
    </row>
    <row customHeight="1" ht="11.25">
      <c r="A298" s="734" t="s">
        <v>14</v>
      </c>
      <c r="B298" s="0" t="s">
        <v>9260</v>
      </c>
      <c r="C298" s="0" t="s">
        <v>9261</v>
      </c>
      <c r="D298" s="0" t="s">
        <v>9278</v>
      </c>
      <c r="E298" s="0" t="s">
        <v>9279</v>
      </c>
      <c r="F298" s="0" t="s">
        <v>8471</v>
      </c>
      <c r="G298" s="0" t="s">
        <v>9280</v>
      </c>
    </row>
    <row customHeight="1" ht="11.25">
      <c r="A299" s="734" t="s">
        <v>14</v>
      </c>
      <c r="B299" s="0" t="s">
        <v>9260</v>
      </c>
      <c r="C299" s="0" t="s">
        <v>9261</v>
      </c>
      <c r="D299" s="0" t="s">
        <v>9281</v>
      </c>
      <c r="E299" s="0" t="s">
        <v>9282</v>
      </c>
      <c r="F299" s="0" t="s">
        <v>8471</v>
      </c>
      <c r="G299" s="0" t="s">
        <v>9283</v>
      </c>
    </row>
    <row customHeight="1" ht="11.25">
      <c r="A300" s="734" t="s">
        <v>14</v>
      </c>
      <c r="B300" s="0" t="s">
        <v>9260</v>
      </c>
      <c r="C300" s="0" t="s">
        <v>9261</v>
      </c>
      <c r="D300" s="0" t="s">
        <v>9284</v>
      </c>
      <c r="E300" s="0" t="s">
        <v>9285</v>
      </c>
      <c r="F300" s="0" t="s">
        <v>8471</v>
      </c>
      <c r="G300" s="0" t="s">
        <v>9286</v>
      </c>
    </row>
    <row customHeight="1" ht="11.25">
      <c r="A301" s="734" t="s">
        <v>14</v>
      </c>
      <c r="B301" s="0" t="s">
        <v>9260</v>
      </c>
      <c r="C301" s="0" t="s">
        <v>9261</v>
      </c>
      <c r="D301" s="0" t="s">
        <v>9287</v>
      </c>
      <c r="E301" s="0" t="s">
        <v>9288</v>
      </c>
      <c r="F301" s="0" t="s">
        <v>8471</v>
      </c>
      <c r="G301" s="0" t="s">
        <v>9289</v>
      </c>
    </row>
    <row customHeight="1" ht="11.25">
      <c r="A302" s="734" t="s">
        <v>14</v>
      </c>
      <c r="B302" s="0" t="s">
        <v>9260</v>
      </c>
      <c r="C302" s="0" t="s">
        <v>9261</v>
      </c>
      <c r="D302" s="0" t="s">
        <v>9290</v>
      </c>
      <c r="E302" s="0" t="s">
        <v>9291</v>
      </c>
      <c r="F302" s="0" t="s">
        <v>8471</v>
      </c>
      <c r="G302" s="0" t="s">
        <v>9292</v>
      </c>
    </row>
    <row customHeight="1" ht="11.25">
      <c r="A303" s="734" t="s">
        <v>14</v>
      </c>
      <c r="B303" s="0" t="s">
        <v>9260</v>
      </c>
      <c r="C303" s="0" t="s">
        <v>9261</v>
      </c>
      <c r="D303" s="0" t="s">
        <v>9293</v>
      </c>
      <c r="E303" s="0" t="s">
        <v>9294</v>
      </c>
      <c r="F303" s="0" t="s">
        <v>8471</v>
      </c>
      <c r="G303" s="0" t="s">
        <v>9295</v>
      </c>
    </row>
    <row customHeight="1" ht="11.25">
      <c r="A304" s="734" t="s">
        <v>14</v>
      </c>
      <c r="B304" s="0" t="s">
        <v>9296</v>
      </c>
      <c r="C304" s="0" t="s">
        <v>9297</v>
      </c>
      <c r="D304" s="0" t="s">
        <v>9296</v>
      </c>
      <c r="E304" s="0" t="s">
        <v>9297</v>
      </c>
      <c r="F304" s="0" t="s">
        <v>8457</v>
      </c>
      <c r="G304" s="0" t="s">
        <v>9298</v>
      </c>
    </row>
    <row customHeight="1" ht="11.25">
      <c r="A305" s="734" t="s">
        <v>14</v>
      </c>
      <c r="B305" s="0" t="s">
        <v>9299</v>
      </c>
      <c r="C305" s="0" t="s">
        <v>9300</v>
      </c>
      <c r="D305" s="0" t="s">
        <v>9299</v>
      </c>
      <c r="E305" s="0" t="s">
        <v>9300</v>
      </c>
      <c r="F305" s="0" t="s">
        <v>8462</v>
      </c>
      <c r="G305" s="0" t="s">
        <v>9301</v>
      </c>
    </row>
    <row customHeight="1" ht="11.25">
      <c r="A306" s="734" t="s">
        <v>14</v>
      </c>
      <c r="B306" s="0" t="s">
        <v>9299</v>
      </c>
      <c r="C306" s="0" t="s">
        <v>9300</v>
      </c>
      <c r="D306" s="0" t="s">
        <v>9302</v>
      </c>
      <c r="E306" s="0" t="s">
        <v>9303</v>
      </c>
      <c r="F306" s="0" t="s">
        <v>8468</v>
      </c>
      <c r="G306" s="0" t="s">
        <v>9304</v>
      </c>
    </row>
    <row customHeight="1" ht="11.25">
      <c r="A307" s="734" t="s">
        <v>14</v>
      </c>
      <c r="B307" s="0" t="s">
        <v>9299</v>
      </c>
      <c r="C307" s="0" t="s">
        <v>9300</v>
      </c>
      <c r="D307" s="0" t="s">
        <v>9305</v>
      </c>
      <c r="E307" s="0" t="s">
        <v>9306</v>
      </c>
      <c r="F307" s="0" t="s">
        <v>8468</v>
      </c>
      <c r="G307" s="0" t="s">
        <v>9307</v>
      </c>
    </row>
    <row customHeight="1" ht="11.25">
      <c r="A308" s="734" t="s">
        <v>14</v>
      </c>
      <c r="B308" s="0" t="s">
        <v>9299</v>
      </c>
      <c r="C308" s="0" t="s">
        <v>9300</v>
      </c>
      <c r="D308" s="0" t="s">
        <v>9308</v>
      </c>
      <c r="E308" s="0" t="s">
        <v>9309</v>
      </c>
      <c r="F308" s="0" t="s">
        <v>8468</v>
      </c>
      <c r="G308" s="0" t="s">
        <v>9310</v>
      </c>
    </row>
    <row customHeight="1" ht="11.25">
      <c r="A309" s="734" t="s">
        <v>14</v>
      </c>
      <c r="B309" s="0" t="s">
        <v>9299</v>
      </c>
      <c r="C309" s="0" t="s">
        <v>9300</v>
      </c>
      <c r="D309" s="0" t="s">
        <v>9311</v>
      </c>
      <c r="E309" s="0" t="s">
        <v>9312</v>
      </c>
      <c r="F309" s="0" t="s">
        <v>8465</v>
      </c>
      <c r="G309" s="0" t="s">
        <v>9313</v>
      </c>
    </row>
    <row customHeight="1" ht="11.25">
      <c r="A310" s="734" t="s">
        <v>14</v>
      </c>
      <c r="B310" s="0" t="s">
        <v>9299</v>
      </c>
      <c r="C310" s="0" t="s">
        <v>9300</v>
      </c>
      <c r="D310" s="0" t="s">
        <v>9314</v>
      </c>
      <c r="E310" s="0" t="s">
        <v>9315</v>
      </c>
      <c r="F310" s="0" t="s">
        <v>8471</v>
      </c>
      <c r="G310" s="0" t="s">
        <v>9316</v>
      </c>
    </row>
    <row customHeight="1" ht="11.25">
      <c r="A311" s="734" t="s">
        <v>14</v>
      </c>
      <c r="B311" s="0" t="s">
        <v>9299</v>
      </c>
      <c r="C311" s="0" t="s">
        <v>9300</v>
      </c>
      <c r="D311" s="0" t="s">
        <v>9317</v>
      </c>
      <c r="E311" s="0" t="s">
        <v>9318</v>
      </c>
      <c r="F311" s="0" t="s">
        <v>8471</v>
      </c>
      <c r="G311" s="0" t="s">
        <v>9319</v>
      </c>
    </row>
    <row customHeight="1" ht="11.25">
      <c r="A312" s="734" t="s">
        <v>14</v>
      </c>
      <c r="B312" s="0" t="s">
        <v>9299</v>
      </c>
      <c r="C312" s="0" t="s">
        <v>9300</v>
      </c>
      <c r="D312" s="0" t="s">
        <v>9320</v>
      </c>
      <c r="E312" s="0" t="s">
        <v>9321</v>
      </c>
      <c r="F312" s="0" t="s">
        <v>8471</v>
      </c>
      <c r="G312" s="0" t="s">
        <v>9322</v>
      </c>
    </row>
    <row customHeight="1" ht="11.25">
      <c r="A313" s="734" t="s">
        <v>14</v>
      </c>
      <c r="B313" s="0" t="s">
        <v>9323</v>
      </c>
      <c r="C313" s="0" t="s">
        <v>9324</v>
      </c>
      <c r="D313" s="0" t="s">
        <v>9323</v>
      </c>
      <c r="E313" s="0" t="s">
        <v>9324</v>
      </c>
      <c r="F313" s="0" t="s">
        <v>8457</v>
      </c>
      <c r="G313" s="0" t="s">
        <v>9325</v>
      </c>
    </row>
    <row customHeight="1" ht="11.25">
      <c r="A314" s="734" t="s">
        <v>14</v>
      </c>
      <c r="B314" s="0" t="s">
        <v>9326</v>
      </c>
      <c r="C314" s="0" t="s">
        <v>9327</v>
      </c>
      <c r="D314" s="0" t="s">
        <v>9328</v>
      </c>
      <c r="E314" s="0" t="s">
        <v>9329</v>
      </c>
      <c r="F314" s="0" t="s">
        <v>8471</v>
      </c>
      <c r="G314" s="0" t="s">
        <v>9330</v>
      </c>
    </row>
    <row customHeight="1" ht="11.25">
      <c r="A315" s="734" t="s">
        <v>14</v>
      </c>
      <c r="B315" s="0" t="s">
        <v>9326</v>
      </c>
      <c r="C315" s="0" t="s">
        <v>9327</v>
      </c>
      <c r="D315" s="0" t="s">
        <v>9326</v>
      </c>
      <c r="E315" s="0" t="s">
        <v>9327</v>
      </c>
      <c r="F315" s="0" t="s">
        <v>8462</v>
      </c>
      <c r="G315" s="0" t="s">
        <v>9331</v>
      </c>
    </row>
    <row customHeight="1" ht="11.25">
      <c r="A316" s="734" t="s">
        <v>14</v>
      </c>
      <c r="B316" s="0" t="s">
        <v>9326</v>
      </c>
      <c r="C316" s="0" t="s">
        <v>9327</v>
      </c>
      <c r="D316" s="0" t="s">
        <v>9332</v>
      </c>
      <c r="E316" s="0" t="s">
        <v>9333</v>
      </c>
      <c r="F316" s="0" t="s">
        <v>8468</v>
      </c>
      <c r="G316" s="0" t="s">
        <v>9334</v>
      </c>
    </row>
    <row customHeight="1" ht="11.25">
      <c r="A317" s="734" t="s">
        <v>14</v>
      </c>
      <c r="B317" s="0" t="s">
        <v>9326</v>
      </c>
      <c r="C317" s="0" t="s">
        <v>9327</v>
      </c>
      <c r="D317" s="0" t="s">
        <v>9335</v>
      </c>
      <c r="E317" s="0" t="s">
        <v>9336</v>
      </c>
      <c r="F317" s="0" t="s">
        <v>8468</v>
      </c>
      <c r="G317" s="0" t="s">
        <v>9337</v>
      </c>
    </row>
    <row customHeight="1" ht="11.25">
      <c r="A318" s="734" t="s">
        <v>14</v>
      </c>
      <c r="B318" s="0" t="s">
        <v>9326</v>
      </c>
      <c r="C318" s="0" t="s">
        <v>9327</v>
      </c>
      <c r="D318" s="0" t="s">
        <v>9338</v>
      </c>
      <c r="E318" s="0" t="s">
        <v>9339</v>
      </c>
      <c r="F318" s="0" t="s">
        <v>8468</v>
      </c>
      <c r="G318" s="0" t="s">
        <v>9340</v>
      </c>
    </row>
    <row customHeight="1" ht="11.25">
      <c r="A319" s="734" t="s">
        <v>14</v>
      </c>
      <c r="B319" s="0" t="s">
        <v>9326</v>
      </c>
      <c r="C319" s="0" t="s">
        <v>9327</v>
      </c>
      <c r="D319" s="0" t="s">
        <v>9341</v>
      </c>
      <c r="E319" s="0" t="s">
        <v>9342</v>
      </c>
      <c r="F319" s="0" t="s">
        <v>8465</v>
      </c>
      <c r="G319" s="0" t="s">
        <v>9343</v>
      </c>
    </row>
    <row customHeight="1" ht="11.25">
      <c r="A320" s="734" t="s">
        <v>14</v>
      </c>
      <c r="B320" s="0" t="s">
        <v>9326</v>
      </c>
      <c r="C320" s="0" t="s">
        <v>9327</v>
      </c>
      <c r="D320" s="0" t="s">
        <v>9344</v>
      </c>
      <c r="E320" s="0" t="s">
        <v>9345</v>
      </c>
      <c r="F320" s="0" t="s">
        <v>8471</v>
      </c>
      <c r="G320" s="0" t="s">
        <v>9346</v>
      </c>
    </row>
    <row customHeight="1" ht="11.25">
      <c r="A321" s="734" t="s">
        <v>14</v>
      </c>
      <c r="B321" s="0" t="s">
        <v>9326</v>
      </c>
      <c r="C321" s="0" t="s">
        <v>9327</v>
      </c>
      <c r="D321" s="0" t="s">
        <v>8564</v>
      </c>
      <c r="E321" s="0" t="s">
        <v>9347</v>
      </c>
      <c r="F321" s="0" t="s">
        <v>8471</v>
      </c>
      <c r="G321" s="0" t="s">
        <v>9348</v>
      </c>
    </row>
    <row customHeight="1" ht="11.25">
      <c r="A322" s="734" t="s">
        <v>14</v>
      </c>
      <c r="B322" s="0" t="s">
        <v>9326</v>
      </c>
      <c r="C322" s="0" t="s">
        <v>9327</v>
      </c>
      <c r="D322" s="0" t="s">
        <v>9349</v>
      </c>
      <c r="E322" s="0" t="s">
        <v>9350</v>
      </c>
      <c r="F322" s="0" t="s">
        <v>8471</v>
      </c>
      <c r="G322" s="0" t="s">
        <v>9351</v>
      </c>
    </row>
    <row customHeight="1" ht="11.25">
      <c r="A323" s="734" t="s">
        <v>14</v>
      </c>
      <c r="B323" s="0" t="s">
        <v>9352</v>
      </c>
      <c r="C323" s="0" t="s">
        <v>9353</v>
      </c>
      <c r="D323" s="0" t="s">
        <v>9352</v>
      </c>
      <c r="E323" s="0" t="s">
        <v>9353</v>
      </c>
      <c r="F323" s="0" t="s">
        <v>8457</v>
      </c>
      <c r="G323" s="0" t="s">
        <v>9354</v>
      </c>
    </row>
    <row customHeight="1" ht="11.25">
      <c r="A324" s="734" t="s">
        <v>14</v>
      </c>
      <c r="B324" s="0" t="s">
        <v>9355</v>
      </c>
      <c r="C324" s="0" t="s">
        <v>9356</v>
      </c>
      <c r="D324" s="0" t="s">
        <v>9355</v>
      </c>
      <c r="E324" s="0" t="s">
        <v>9356</v>
      </c>
      <c r="F324" s="0" t="s">
        <v>8462</v>
      </c>
      <c r="G324" s="0" t="s">
        <v>9357</v>
      </c>
    </row>
    <row customHeight="1" ht="11.25">
      <c r="A325" s="734" t="s">
        <v>14</v>
      </c>
      <c r="B325" s="0" t="s">
        <v>9355</v>
      </c>
      <c r="C325" s="0" t="s">
        <v>9356</v>
      </c>
      <c r="D325" s="0" t="s">
        <v>9358</v>
      </c>
      <c r="E325" s="0" t="s">
        <v>9359</v>
      </c>
      <c r="F325" s="0" t="s">
        <v>8468</v>
      </c>
      <c r="G325" s="0" t="s">
        <v>9360</v>
      </c>
    </row>
    <row customHeight="1" ht="11.25">
      <c r="A326" s="734" t="s">
        <v>14</v>
      </c>
      <c r="B326" s="0" t="s">
        <v>9355</v>
      </c>
      <c r="C326" s="0" t="s">
        <v>9356</v>
      </c>
      <c r="D326" s="0" t="s">
        <v>9361</v>
      </c>
      <c r="E326" s="0" t="s">
        <v>9362</v>
      </c>
      <c r="F326" s="0" t="s">
        <v>8465</v>
      </c>
      <c r="G326" s="0" t="s">
        <v>9363</v>
      </c>
    </row>
    <row customHeight="1" ht="11.25">
      <c r="A327" s="734" t="s">
        <v>14</v>
      </c>
      <c r="B327" s="0" t="s">
        <v>9355</v>
      </c>
      <c r="C327" s="0" t="s">
        <v>9356</v>
      </c>
      <c r="D327" s="0" t="s">
        <v>9364</v>
      </c>
      <c r="E327" s="0" t="s">
        <v>9365</v>
      </c>
      <c r="F327" s="0" t="s">
        <v>8471</v>
      </c>
      <c r="G327" s="0" t="s">
        <v>9366</v>
      </c>
    </row>
    <row customHeight="1" ht="11.25">
      <c r="A328" s="734" t="s">
        <v>14</v>
      </c>
      <c r="B328" s="0" t="s">
        <v>9355</v>
      </c>
      <c r="C328" s="0" t="s">
        <v>9356</v>
      </c>
      <c r="D328" s="0" t="s">
        <v>9367</v>
      </c>
      <c r="E328" s="0" t="s">
        <v>9368</v>
      </c>
      <c r="F328" s="0" t="s">
        <v>8471</v>
      </c>
      <c r="G328" s="0" t="s">
        <v>9369</v>
      </c>
    </row>
    <row customHeight="1" ht="11.25">
      <c r="A329" s="734" t="s">
        <v>14</v>
      </c>
      <c r="B329" s="0" t="s">
        <v>9355</v>
      </c>
      <c r="C329" s="0" t="s">
        <v>9356</v>
      </c>
      <c r="D329" s="0" t="s">
        <v>9370</v>
      </c>
      <c r="E329" s="0" t="s">
        <v>9371</v>
      </c>
      <c r="F329" s="0" t="s">
        <v>8471</v>
      </c>
      <c r="G329" s="0" t="s">
        <v>9372</v>
      </c>
    </row>
    <row customHeight="1" ht="11.25">
      <c r="A330" s="734" t="s">
        <v>14</v>
      </c>
      <c r="B330" s="0" t="s">
        <v>97</v>
      </c>
      <c r="C330" s="0" t="s">
        <v>98</v>
      </c>
      <c r="D330" s="0" t="s">
        <v>97</v>
      </c>
      <c r="E330" s="0" t="s">
        <v>98</v>
      </c>
      <c r="F330" s="0" t="s">
        <v>8457</v>
      </c>
      <c r="G330" s="0" t="s">
        <v>96</v>
      </c>
    </row>
    <row customHeight="1" ht="11.25">
      <c r="A331" s="734" t="s">
        <v>14</v>
      </c>
      <c r="B331" s="0" t="s">
        <v>9373</v>
      </c>
      <c r="C331" s="0" t="s">
        <v>9374</v>
      </c>
      <c r="D331" s="0" t="s">
        <v>9373</v>
      </c>
      <c r="E331" s="0" t="s">
        <v>9374</v>
      </c>
      <c r="F331" s="0" t="s">
        <v>8462</v>
      </c>
      <c r="G331" s="0" t="s">
        <v>9375</v>
      </c>
    </row>
    <row customHeight="1" ht="11.25">
      <c r="A332" s="734" t="s">
        <v>14</v>
      </c>
      <c r="B332" s="0" t="s">
        <v>9373</v>
      </c>
      <c r="C332" s="0" t="s">
        <v>9374</v>
      </c>
      <c r="D332" s="0" t="s">
        <v>9376</v>
      </c>
      <c r="E332" s="0" t="s">
        <v>9377</v>
      </c>
      <c r="F332" s="0" t="s">
        <v>8468</v>
      </c>
      <c r="G332" s="0" t="s">
        <v>9378</v>
      </c>
    </row>
    <row customHeight="1" ht="11.25">
      <c r="A333" s="734" t="s">
        <v>14</v>
      </c>
      <c r="B333" s="0" t="s">
        <v>9373</v>
      </c>
      <c r="C333" s="0" t="s">
        <v>9374</v>
      </c>
      <c r="D333" s="0" t="s">
        <v>9379</v>
      </c>
      <c r="E333" s="0" t="s">
        <v>9380</v>
      </c>
      <c r="F333" s="0" t="s">
        <v>8468</v>
      </c>
      <c r="G333" s="0" t="s">
        <v>9381</v>
      </c>
    </row>
    <row customHeight="1" ht="11.25">
      <c r="A334" s="734" t="s">
        <v>14</v>
      </c>
      <c r="B334" s="0" t="s">
        <v>9373</v>
      </c>
      <c r="C334" s="0" t="s">
        <v>9374</v>
      </c>
      <c r="D334" s="0" t="s">
        <v>9382</v>
      </c>
      <c r="E334" s="0" t="s">
        <v>9383</v>
      </c>
      <c r="F334" s="0" t="s">
        <v>8465</v>
      </c>
      <c r="G334" s="0" t="s">
        <v>9384</v>
      </c>
    </row>
    <row customHeight="1" ht="11.25">
      <c r="A335" s="734" t="s">
        <v>14</v>
      </c>
      <c r="B335" s="0" t="s">
        <v>9373</v>
      </c>
      <c r="C335" s="0" t="s">
        <v>9374</v>
      </c>
      <c r="D335" s="0" t="s">
        <v>9385</v>
      </c>
      <c r="E335" s="0" t="s">
        <v>9386</v>
      </c>
      <c r="F335" s="0" t="s">
        <v>8471</v>
      </c>
      <c r="G335" s="0" t="s">
        <v>9387</v>
      </c>
    </row>
    <row customHeight="1" ht="11.25">
      <c r="A336" s="734" t="s">
        <v>14</v>
      </c>
      <c r="B336" s="0" t="s">
        <v>9373</v>
      </c>
      <c r="C336" s="0" t="s">
        <v>9374</v>
      </c>
      <c r="D336" s="0" t="s">
        <v>9388</v>
      </c>
      <c r="E336" s="0" t="s">
        <v>9389</v>
      </c>
      <c r="F336" s="0" t="s">
        <v>8471</v>
      </c>
      <c r="G336" s="0" t="s">
        <v>9390</v>
      </c>
    </row>
    <row customHeight="1" ht="11.25">
      <c r="A337" s="734" t="s">
        <v>14</v>
      </c>
      <c r="B337" s="0" t="s">
        <v>9373</v>
      </c>
      <c r="C337" s="0" t="s">
        <v>9374</v>
      </c>
      <c r="D337" s="0" t="s">
        <v>9391</v>
      </c>
      <c r="E337" s="0" t="s">
        <v>9392</v>
      </c>
      <c r="F337" s="0" t="s">
        <v>8471</v>
      </c>
      <c r="G337" s="0" t="s">
        <v>9393</v>
      </c>
    </row>
    <row customHeight="1" ht="11.25">
      <c r="A338" s="734" t="s">
        <v>14</v>
      </c>
      <c r="B338" s="0" t="s">
        <v>9373</v>
      </c>
      <c r="C338" s="0" t="s">
        <v>9374</v>
      </c>
      <c r="D338" s="0" t="s">
        <v>9394</v>
      </c>
      <c r="E338" s="0" t="s">
        <v>9395</v>
      </c>
      <c r="F338" s="0" t="s">
        <v>8471</v>
      </c>
      <c r="G338" s="0" t="s">
        <v>9396</v>
      </c>
    </row>
    <row customHeight="1" ht="11.25">
      <c r="A339" s="734" t="s">
        <v>14</v>
      </c>
      <c r="B339" s="0" t="s">
        <v>9397</v>
      </c>
      <c r="C339" s="0" t="s">
        <v>9398</v>
      </c>
      <c r="D339" s="0" t="s">
        <v>9397</v>
      </c>
      <c r="E339" s="0" t="s">
        <v>9398</v>
      </c>
      <c r="F339" s="0" t="s">
        <v>8462</v>
      </c>
      <c r="G339" s="0" t="s">
        <v>9399</v>
      </c>
    </row>
    <row customHeight="1" ht="11.25">
      <c r="A340" s="734" t="s">
        <v>14</v>
      </c>
      <c r="B340" s="0" t="s">
        <v>9397</v>
      </c>
      <c r="C340" s="0" t="s">
        <v>9398</v>
      </c>
      <c r="D340" s="0" t="s">
        <v>9400</v>
      </c>
      <c r="E340" s="0" t="s">
        <v>9401</v>
      </c>
      <c r="F340" s="0" t="s">
        <v>8468</v>
      </c>
      <c r="G340" s="0" t="s">
        <v>9402</v>
      </c>
    </row>
    <row customHeight="1" ht="11.25">
      <c r="A341" s="734" t="s">
        <v>14</v>
      </c>
      <c r="B341" s="0" t="s">
        <v>9397</v>
      </c>
      <c r="C341" s="0" t="s">
        <v>9398</v>
      </c>
      <c r="D341" s="0" t="s">
        <v>8530</v>
      </c>
      <c r="E341" s="0" t="s">
        <v>9403</v>
      </c>
      <c r="F341" s="0" t="s">
        <v>8471</v>
      </c>
      <c r="G341" s="0" t="s">
        <v>9404</v>
      </c>
    </row>
    <row customHeight="1" ht="11.25">
      <c r="A342" s="734" t="s">
        <v>14</v>
      </c>
      <c r="B342" s="0" t="s">
        <v>9397</v>
      </c>
      <c r="C342" s="0" t="s">
        <v>9398</v>
      </c>
      <c r="D342" s="0" t="s">
        <v>9405</v>
      </c>
      <c r="E342" s="0" t="s">
        <v>9406</v>
      </c>
      <c r="F342" s="0" t="s">
        <v>8471</v>
      </c>
      <c r="G342" s="0" t="s">
        <v>9407</v>
      </c>
    </row>
    <row customHeight="1" ht="11.25">
      <c r="A343" s="734" t="s">
        <v>14</v>
      </c>
      <c r="B343" s="0" t="s">
        <v>9397</v>
      </c>
      <c r="C343" s="0" t="s">
        <v>9398</v>
      </c>
      <c r="D343" s="0" t="s">
        <v>9408</v>
      </c>
      <c r="E343" s="0" t="s">
        <v>9409</v>
      </c>
      <c r="F343" s="0" t="s">
        <v>8471</v>
      </c>
      <c r="G343" s="0" t="s">
        <v>9410</v>
      </c>
    </row>
    <row customHeight="1" ht="11.25">
      <c r="A344" s="734" t="s">
        <v>14</v>
      </c>
      <c r="B344" s="0" t="s">
        <v>9411</v>
      </c>
      <c r="C344" s="0" t="s">
        <v>9412</v>
      </c>
      <c r="D344" s="0" t="s">
        <v>9411</v>
      </c>
      <c r="E344" s="0" t="s">
        <v>9412</v>
      </c>
      <c r="F344" s="0" t="s">
        <v>8457</v>
      </c>
      <c r="G344" s="0" t="s">
        <v>9413</v>
      </c>
    </row>
    <row customHeight="1" ht="11.25">
      <c r="A345" s="734" t="s">
        <v>14</v>
      </c>
      <c r="B345" s="0" t="s">
        <v>9414</v>
      </c>
      <c r="C345" s="0" t="s">
        <v>9415</v>
      </c>
      <c r="D345" s="0" t="s">
        <v>9414</v>
      </c>
      <c r="E345" s="0" t="s">
        <v>9415</v>
      </c>
      <c r="F345" s="0" t="s">
        <v>8462</v>
      </c>
      <c r="G345" s="0" t="s">
        <v>9416</v>
      </c>
    </row>
    <row customHeight="1" ht="11.25">
      <c r="A346" s="734" t="s">
        <v>14</v>
      </c>
      <c r="B346" s="0" t="s">
        <v>9414</v>
      </c>
      <c r="C346" s="0" t="s">
        <v>9415</v>
      </c>
      <c r="D346" s="0" t="s">
        <v>9417</v>
      </c>
      <c r="E346" s="0" t="s">
        <v>9418</v>
      </c>
      <c r="F346" s="0" t="s">
        <v>8468</v>
      </c>
      <c r="G346" s="0" t="s">
        <v>9419</v>
      </c>
    </row>
    <row customHeight="1" ht="11.25">
      <c r="A347" s="734" t="s">
        <v>14</v>
      </c>
      <c r="B347" s="0" t="s">
        <v>9414</v>
      </c>
      <c r="C347" s="0" t="s">
        <v>9415</v>
      </c>
      <c r="D347" s="0" t="s">
        <v>9420</v>
      </c>
      <c r="E347" s="0" t="s">
        <v>9421</v>
      </c>
      <c r="F347" s="0" t="s">
        <v>8468</v>
      </c>
      <c r="G347" s="0" t="s">
        <v>9422</v>
      </c>
    </row>
    <row customHeight="1" ht="11.25">
      <c r="A348" s="734" t="s">
        <v>14</v>
      </c>
      <c r="B348" s="0" t="s">
        <v>9414</v>
      </c>
      <c r="C348" s="0" t="s">
        <v>9415</v>
      </c>
      <c r="D348" s="0" t="s">
        <v>9423</v>
      </c>
      <c r="E348" s="0" t="s">
        <v>9424</v>
      </c>
      <c r="F348" s="0" t="s">
        <v>8468</v>
      </c>
      <c r="G348" s="0" t="s">
        <v>9425</v>
      </c>
    </row>
    <row customHeight="1" ht="11.25">
      <c r="A349" s="734" t="s">
        <v>14</v>
      </c>
      <c r="B349" s="0" t="s">
        <v>9414</v>
      </c>
      <c r="C349" s="0" t="s">
        <v>9415</v>
      </c>
      <c r="D349" s="0" t="s">
        <v>9426</v>
      </c>
      <c r="E349" s="0" t="s">
        <v>9427</v>
      </c>
      <c r="F349" s="0" t="s">
        <v>8468</v>
      </c>
      <c r="G349" s="0" t="s">
        <v>9428</v>
      </c>
    </row>
    <row customHeight="1" ht="11.25">
      <c r="A350" s="734" t="s">
        <v>14</v>
      </c>
      <c r="B350" s="0" t="s">
        <v>9414</v>
      </c>
      <c r="C350" s="0" t="s">
        <v>9415</v>
      </c>
      <c r="D350" s="0" t="s">
        <v>9429</v>
      </c>
      <c r="E350" s="0" t="s">
        <v>9430</v>
      </c>
      <c r="F350" s="0" t="s">
        <v>8465</v>
      </c>
      <c r="G350" s="0" t="s">
        <v>9431</v>
      </c>
    </row>
    <row customHeight="1" ht="11.25">
      <c r="A351" s="734" t="s">
        <v>14</v>
      </c>
      <c r="B351" s="0" t="s">
        <v>9414</v>
      </c>
      <c r="C351" s="0" t="s">
        <v>9415</v>
      </c>
      <c r="D351" s="0" t="s">
        <v>9432</v>
      </c>
      <c r="E351" s="0" t="s">
        <v>9433</v>
      </c>
      <c r="F351" s="0" t="s">
        <v>8471</v>
      </c>
      <c r="G351" s="0" t="s">
        <v>9434</v>
      </c>
    </row>
    <row customHeight="1" ht="11.25">
      <c r="A352" s="734" t="s">
        <v>14</v>
      </c>
      <c r="B352" s="0" t="s">
        <v>9414</v>
      </c>
      <c r="C352" s="0" t="s">
        <v>9415</v>
      </c>
      <c r="D352" s="0" t="s">
        <v>9435</v>
      </c>
      <c r="E352" s="0" t="s">
        <v>9436</v>
      </c>
      <c r="F352" s="0" t="s">
        <v>8471</v>
      </c>
      <c r="G352" s="0" t="s">
        <v>9437</v>
      </c>
    </row>
    <row customHeight="1" ht="11.25">
      <c r="A353" s="734" t="s">
        <v>14</v>
      </c>
      <c r="B353" s="0" t="s">
        <v>9414</v>
      </c>
      <c r="C353" s="0" t="s">
        <v>9415</v>
      </c>
      <c r="D353" s="0" t="s">
        <v>9438</v>
      </c>
      <c r="E353" s="0" t="s">
        <v>9439</v>
      </c>
      <c r="F353" s="0" t="s">
        <v>8471</v>
      </c>
      <c r="G353" s="0" t="s">
        <v>9440</v>
      </c>
    </row>
    <row customHeight="1" ht="11.25">
      <c r="A354" s="734" t="s">
        <v>14</v>
      </c>
      <c r="B354" s="0" t="s">
        <v>9414</v>
      </c>
      <c r="C354" s="0" t="s">
        <v>9415</v>
      </c>
      <c r="D354" s="0" t="s">
        <v>9441</v>
      </c>
      <c r="E354" s="0" t="s">
        <v>9442</v>
      </c>
      <c r="F354" s="0" t="s">
        <v>8471</v>
      </c>
      <c r="G354" s="0" t="s">
        <v>9443</v>
      </c>
    </row>
    <row customHeight="1" ht="11.25">
      <c r="A355" s="734" t="s">
        <v>14</v>
      </c>
      <c r="B355" s="0" t="s">
        <v>9414</v>
      </c>
      <c r="C355" s="0" t="s">
        <v>9415</v>
      </c>
      <c r="D355" s="0" t="s">
        <v>9444</v>
      </c>
      <c r="E355" s="0" t="s">
        <v>9445</v>
      </c>
      <c r="F355" s="0" t="s">
        <v>8471</v>
      </c>
      <c r="G355" s="0" t="s">
        <v>9446</v>
      </c>
    </row>
    <row customHeight="1" ht="11.25">
      <c r="A356" s="734" t="s">
        <v>14</v>
      </c>
      <c r="B356" s="0" t="s">
        <v>9447</v>
      </c>
      <c r="C356" s="0" t="s">
        <v>9448</v>
      </c>
      <c r="D356" s="0" t="s">
        <v>9447</v>
      </c>
      <c r="E356" s="0" t="s">
        <v>9448</v>
      </c>
      <c r="F356" s="0" t="s">
        <v>8457</v>
      </c>
      <c r="G356" s="0" t="s">
        <v>9449</v>
      </c>
    </row>
    <row customHeight="1" ht="11.25">
      <c r="A357" s="734" t="s">
        <v>14</v>
      </c>
      <c r="B357" s="0" t="s">
        <v>9450</v>
      </c>
      <c r="C357" s="0" t="s">
        <v>9451</v>
      </c>
      <c r="D357" s="0" t="s">
        <v>9450</v>
      </c>
      <c r="E357" s="0" t="s">
        <v>9451</v>
      </c>
      <c r="F357" s="0" t="s">
        <v>8457</v>
      </c>
      <c r="G357" s="0" t="s">
        <v>9452</v>
      </c>
    </row>
    <row customHeight="1" ht="11.25">
      <c r="A358" s="734" t="s">
        <v>14</v>
      </c>
      <c r="B358" s="0" t="s">
        <v>9453</v>
      </c>
      <c r="C358" s="0" t="s">
        <v>9454</v>
      </c>
      <c r="D358" s="0" t="s">
        <v>9453</v>
      </c>
      <c r="E358" s="0" t="s">
        <v>9454</v>
      </c>
      <c r="F358" s="0" t="s">
        <v>8457</v>
      </c>
      <c r="G358" s="0" t="s">
        <v>9455</v>
      </c>
    </row>
    <row customHeight="1" ht="11.25">
      <c r="A359" s="734" t="s">
        <v>14</v>
      </c>
      <c r="B359" s="0" t="s">
        <v>9456</v>
      </c>
      <c r="C359" s="0" t="s">
        <v>9457</v>
      </c>
      <c r="D359" s="0" t="s">
        <v>9456</v>
      </c>
      <c r="E359" s="0" t="s">
        <v>9457</v>
      </c>
      <c r="F359" s="0" t="s">
        <v>8457</v>
      </c>
      <c r="G359" s="0" t="s">
        <v>9458</v>
      </c>
    </row>
    <row customHeight="1" ht="11.25">
      <c r="A360" s="734" t="s">
        <v>14</v>
      </c>
      <c r="B360" s="0" t="s">
        <v>9459</v>
      </c>
      <c r="C360" s="0" t="s">
        <v>9460</v>
      </c>
      <c r="D360" s="0" t="s">
        <v>9459</v>
      </c>
      <c r="E360" s="0" t="s">
        <v>9460</v>
      </c>
      <c r="F360" s="0" t="s">
        <v>8457</v>
      </c>
      <c r="G360" s="0" t="s">
        <v>9461</v>
      </c>
    </row>
    <row customHeight="1" ht="11.25">
      <c r="A361" s="734" t="s">
        <v>14</v>
      </c>
      <c r="B361" s="0" t="s">
        <v>9462</v>
      </c>
      <c r="C361" s="0" t="s">
        <v>9463</v>
      </c>
      <c r="D361" s="0" t="s">
        <v>9462</v>
      </c>
      <c r="E361" s="0" t="s">
        <v>9463</v>
      </c>
      <c r="F361" s="0" t="s">
        <v>8457</v>
      </c>
      <c r="G361" s="0" t="s">
        <v>9464</v>
      </c>
    </row>
    <row customHeight="1" ht="11.25">
      <c r="A362" s="734" t="s">
        <v>14</v>
      </c>
      <c r="B362" s="0" t="s">
        <v>9465</v>
      </c>
      <c r="C362" s="0" t="s">
        <v>9466</v>
      </c>
      <c r="D362" s="0" t="s">
        <v>9465</v>
      </c>
      <c r="E362" s="0" t="s">
        <v>9466</v>
      </c>
      <c r="F362" s="0" t="s">
        <v>8457</v>
      </c>
      <c r="G362" s="0" t="s">
        <v>9467</v>
      </c>
    </row>
    <row customHeight="1" ht="11.25">
      <c r="A363" s="734" t="s">
        <v>14</v>
      </c>
      <c r="B363" s="0" t="s">
        <v>9468</v>
      </c>
      <c r="C363" s="0" t="s">
        <v>9469</v>
      </c>
      <c r="D363" s="0" t="s">
        <v>9468</v>
      </c>
      <c r="E363" s="0" t="s">
        <v>9469</v>
      </c>
      <c r="F363" s="0" t="s">
        <v>8457</v>
      </c>
      <c r="G363" s="0" t="s">
        <v>9470</v>
      </c>
    </row>
    <row customHeight="1" ht="11.25">
      <c r="A364" s="734" t="s">
        <v>14</v>
      </c>
      <c r="B364" s="0" t="s">
        <v>9471</v>
      </c>
      <c r="C364" s="0" t="s">
        <v>9472</v>
      </c>
      <c r="D364" s="0" t="s">
        <v>9471</v>
      </c>
      <c r="E364" s="0" t="s">
        <v>9472</v>
      </c>
      <c r="F364" s="0" t="s">
        <v>8457</v>
      </c>
      <c r="G364" s="0" t="s">
        <v>9473</v>
      </c>
    </row>
    <row customHeight="1" ht="11.25">
      <c r="A365" s="734" t="s">
        <v>14</v>
      </c>
      <c r="B365" s="0" t="s">
        <v>9474</v>
      </c>
      <c r="C365" s="0" t="s">
        <v>9475</v>
      </c>
      <c r="D365" s="0" t="s">
        <v>9474</v>
      </c>
      <c r="E365" s="0" t="s">
        <v>9475</v>
      </c>
      <c r="F365" s="0" t="s">
        <v>8457</v>
      </c>
      <c r="G365" s="0" t="s">
        <v>9476</v>
      </c>
    </row>
    <row customHeight="1" ht="11.25">
      <c r="A366" s="734" t="s">
        <v>14</v>
      </c>
      <c r="B366" s="0" t="s">
        <v>9477</v>
      </c>
      <c r="C366" s="0" t="s">
        <v>9478</v>
      </c>
      <c r="D366" s="0" t="s">
        <v>9477</v>
      </c>
      <c r="E366" s="0" t="s">
        <v>9478</v>
      </c>
      <c r="F366" s="0" t="s">
        <v>8457</v>
      </c>
      <c r="G366" s="0" t="s">
        <v>9479</v>
      </c>
    </row>
    <row customHeight="1" ht="11.25">
      <c r="A367" s="734" t="s">
        <v>14</v>
      </c>
      <c r="B367" s="0" t="s">
        <v>9480</v>
      </c>
      <c r="C367" s="0" t="s">
        <v>9481</v>
      </c>
      <c r="D367" s="0" t="s">
        <v>9480</v>
      </c>
      <c r="E367" s="0" t="s">
        <v>9481</v>
      </c>
      <c r="F367" s="0" t="s">
        <v>8457</v>
      </c>
      <c r="G367" s="0" t="s">
        <v>9482</v>
      </c>
    </row>
    <row customHeight="1" ht="11.25">
      <c r="A368" s="734" t="s">
        <v>14</v>
      </c>
      <c r="B368" s="0" t="s">
        <v>9483</v>
      </c>
      <c r="C368" s="0" t="s">
        <v>9484</v>
      </c>
      <c r="D368" s="0" t="s">
        <v>9483</v>
      </c>
      <c r="E368" s="0" t="s">
        <v>9484</v>
      </c>
      <c r="F368" s="0" t="s">
        <v>8457</v>
      </c>
      <c r="G368" s="0" t="s">
        <v>9485</v>
      </c>
    </row>
    <row customHeight="1" ht="11.25">
      <c r="A369" s="734" t="s">
        <v>14</v>
      </c>
      <c r="B369" s="0" t="s">
        <v>9486</v>
      </c>
      <c r="C369" s="0" t="s">
        <v>9487</v>
      </c>
      <c r="D369" s="0" t="s">
        <v>9486</v>
      </c>
      <c r="E369" s="0" t="s">
        <v>9487</v>
      </c>
      <c r="F369" s="0" t="s">
        <v>8457</v>
      </c>
      <c r="G369" s="0" t="s">
        <v>9488</v>
      </c>
    </row>
    <row customHeight="1" ht="11.25">
      <c r="A370" s="734" t="s">
        <v>14</v>
      </c>
      <c r="B370" s="0" t="s">
        <v>9489</v>
      </c>
      <c r="C370" s="0" t="s">
        <v>9490</v>
      </c>
      <c r="D370" s="0" t="s">
        <v>9489</v>
      </c>
      <c r="E370" s="0" t="s">
        <v>9490</v>
      </c>
      <c r="F370" s="0" t="s">
        <v>8457</v>
      </c>
      <c r="G370" s="0" t="s">
        <v>9491</v>
      </c>
    </row>
    <row customHeight="1" ht="11.25">
      <c r="A371" s="734" t="s">
        <v>14</v>
      </c>
      <c r="B371" s="0" t="s">
        <v>9492</v>
      </c>
      <c r="C371" s="0" t="s">
        <v>9493</v>
      </c>
      <c r="D371" s="0" t="s">
        <v>9492</v>
      </c>
      <c r="E371" s="0" t="s">
        <v>9493</v>
      </c>
      <c r="F371" s="0" t="s">
        <v>8457</v>
      </c>
      <c r="G371" s="0" t="s">
        <v>9494</v>
      </c>
    </row>
    <row customHeight="1" ht="11.25">
      <c r="A372" s="734" t="s">
        <v>14</v>
      </c>
      <c r="B372" s="0" t="s">
        <v>9495</v>
      </c>
      <c r="C372" s="0" t="s">
        <v>9496</v>
      </c>
      <c r="D372" s="0" t="s">
        <v>9495</v>
      </c>
      <c r="E372" s="0" t="s">
        <v>9496</v>
      </c>
      <c r="F372" s="0" t="s">
        <v>8457</v>
      </c>
      <c r="G372" s="0" t="s">
        <v>9497</v>
      </c>
    </row>
    <row customHeight="1" ht="11.25">
      <c r="A373" s="734" t="s">
        <v>14</v>
      </c>
      <c r="B373" s="0" t="s">
        <v>9498</v>
      </c>
      <c r="C373" s="0" t="s">
        <v>9499</v>
      </c>
      <c r="D373" s="0" t="s">
        <v>9498</v>
      </c>
      <c r="E373" s="0" t="s">
        <v>9499</v>
      </c>
      <c r="F373" s="0" t="s">
        <v>8457</v>
      </c>
      <c r="G373" s="0" t="s">
        <v>9500</v>
      </c>
    </row>
    <row customHeight="1" ht="11.25">
      <c r="A374" s="734" t="s">
        <v>14</v>
      </c>
      <c r="B374" s="0" t="s">
        <v>9501</v>
      </c>
      <c r="C374" s="0" t="s">
        <v>9502</v>
      </c>
      <c r="D374" s="0" t="s">
        <v>9501</v>
      </c>
      <c r="E374" s="0" t="s">
        <v>9502</v>
      </c>
      <c r="F374" s="0" t="s">
        <v>8457</v>
      </c>
      <c r="G374" s="0" t="s">
        <v>9503</v>
      </c>
    </row>
    <row customHeight="1" ht="11.25">
      <c r="A375" s="734" t="s">
        <v>14</v>
      </c>
      <c r="B375" s="0" t="s">
        <v>9504</v>
      </c>
      <c r="C375" s="0" t="s">
        <v>9505</v>
      </c>
      <c r="D375" s="0" t="s">
        <v>9504</v>
      </c>
      <c r="E375" s="0" t="s">
        <v>9505</v>
      </c>
      <c r="F375" s="0" t="s">
        <v>8457</v>
      </c>
      <c r="G375" s="0" t="s">
        <v>9506</v>
      </c>
    </row>
    <row customHeight="1" ht="11.25">
      <c r="A376" s="734" t="s">
        <v>14</v>
      </c>
      <c r="B376" s="0" t="s">
        <v>9507</v>
      </c>
      <c r="C376" s="0" t="s">
        <v>9508</v>
      </c>
      <c r="D376" s="0" t="s">
        <v>9507</v>
      </c>
      <c r="E376" s="0" t="s">
        <v>9508</v>
      </c>
      <c r="F376" s="0" t="s">
        <v>8457</v>
      </c>
      <c r="G376" s="0" t="s">
        <v>9509</v>
      </c>
    </row>
    <row customHeight="1" ht="11.25">
      <c r="A377" s="734" t="s">
        <v>14</v>
      </c>
      <c r="B377" s="0" t="s">
        <v>9510</v>
      </c>
      <c r="C377" s="0" t="s">
        <v>9511</v>
      </c>
      <c r="D377" s="0" t="s">
        <v>9510</v>
      </c>
      <c r="E377" s="0" t="s">
        <v>9511</v>
      </c>
      <c r="F377" s="0" t="s">
        <v>8457</v>
      </c>
      <c r="G377" s="0" t="s">
        <v>9512</v>
      </c>
    </row>
    <row customHeight="1" ht="11.25">
      <c r="A378" s="734" t="s">
        <v>14</v>
      </c>
      <c r="B378" s="0" t="s">
        <v>9513</v>
      </c>
      <c r="C378" s="0" t="s">
        <v>9514</v>
      </c>
      <c r="D378" s="0" t="s">
        <v>9513</v>
      </c>
      <c r="E378" s="0" t="s">
        <v>9514</v>
      </c>
      <c r="F378" s="0" t="s">
        <v>8457</v>
      </c>
      <c r="G378" s="0" t="s">
        <v>9515</v>
      </c>
    </row>
    <row customHeight="1" ht="11.25">
      <c r="A379" s="734" t="s">
        <v>14</v>
      </c>
      <c r="B379" s="0" t="s">
        <v>9516</v>
      </c>
      <c r="C379" s="0" t="s">
        <v>9517</v>
      </c>
      <c r="D379" s="0" t="s">
        <v>9516</v>
      </c>
      <c r="E379" s="0" t="s">
        <v>9517</v>
      </c>
      <c r="F379" s="0" t="s">
        <v>8457</v>
      </c>
      <c r="G379" s="0" t="s">
        <v>9518</v>
      </c>
    </row>
    <row customHeight="1" ht="11.25">
      <c r="A380" s="734" t="s">
        <v>14</v>
      </c>
      <c r="B380" s="0" t="s">
        <v>9519</v>
      </c>
      <c r="C380" s="0" t="s">
        <v>9520</v>
      </c>
      <c r="D380" s="0" t="s">
        <v>9519</v>
      </c>
      <c r="E380" s="0" t="s">
        <v>9520</v>
      </c>
      <c r="F380" s="0" t="s">
        <v>8457</v>
      </c>
      <c r="G380" s="0" t="s">
        <v>9521</v>
      </c>
    </row>
    <row customHeight="1" ht="11.25">
      <c r="A381" s="734" t="s">
        <v>14</v>
      </c>
      <c r="B381" s="0" t="s">
        <v>9522</v>
      </c>
      <c r="C381" s="0" t="s">
        <v>9523</v>
      </c>
      <c r="D381" s="0" t="s">
        <v>9522</v>
      </c>
      <c r="E381" s="0" t="s">
        <v>9523</v>
      </c>
      <c r="F381" s="0" t="s">
        <v>8457</v>
      </c>
      <c r="G381" s="0" t="s">
        <v>9524</v>
      </c>
    </row>
    <row customHeight="1" ht="11.25">
      <c r="A382" s="734" t="s">
        <v>14</v>
      </c>
      <c r="B382" s="0" t="s">
        <v>9525</v>
      </c>
      <c r="C382" s="0" t="s">
        <v>9526</v>
      </c>
      <c r="D382" s="0" t="s">
        <v>9525</v>
      </c>
      <c r="E382" s="0" t="s">
        <v>9526</v>
      </c>
      <c r="F382" s="0" t="s">
        <v>8457</v>
      </c>
      <c r="G382" s="0" t="s">
        <v>9527</v>
      </c>
    </row>
    <row customHeight="1" ht="11.25">
      <c r="A383" s="734" t="s">
        <v>14</v>
      </c>
      <c r="B383" s="0" t="s">
        <v>9528</v>
      </c>
      <c r="C383" s="0" t="s">
        <v>9529</v>
      </c>
      <c r="D383" s="0" t="s">
        <v>9528</v>
      </c>
      <c r="E383" s="0" t="s">
        <v>9529</v>
      </c>
      <c r="F383" s="0" t="s">
        <v>8457</v>
      </c>
      <c r="G383" s="0" t="s">
        <v>9530</v>
      </c>
    </row>
    <row customHeight="1" ht="11.25">
      <c r="A384" s="734" t="s">
        <v>14</v>
      </c>
      <c r="B384" s="0" t="s">
        <v>9531</v>
      </c>
      <c r="C384" s="0" t="s">
        <v>9532</v>
      </c>
      <c r="D384" s="0" t="s">
        <v>9531</v>
      </c>
      <c r="E384" s="0" t="s">
        <v>9532</v>
      </c>
      <c r="F384" s="0" t="s">
        <v>8457</v>
      </c>
      <c r="G384" s="0" t="s">
        <v>9533</v>
      </c>
    </row>
    <row customHeight="1" ht="11.25">
      <c r="A385" s="734" t="s">
        <v>14</v>
      </c>
      <c r="B385" s="0" t="s">
        <v>9534</v>
      </c>
      <c r="C385" s="0" t="s">
        <v>9535</v>
      </c>
      <c r="D385" s="0" t="s">
        <v>9534</v>
      </c>
      <c r="E385" s="0" t="s">
        <v>9535</v>
      </c>
      <c r="F385" s="0" t="s">
        <v>8457</v>
      </c>
      <c r="G385" s="0" t="s">
        <v>9536</v>
      </c>
    </row>
    <row customHeight="1" ht="11.25">
      <c r="A386" s="734" t="s">
        <v>14</v>
      </c>
      <c r="B386" s="0" t="s">
        <v>9537</v>
      </c>
      <c r="C386" s="0" t="s">
        <v>9538</v>
      </c>
      <c r="D386" s="0" t="s">
        <v>9537</v>
      </c>
      <c r="E386" s="0" t="s">
        <v>9538</v>
      </c>
      <c r="F386" s="0" t="s">
        <v>8457</v>
      </c>
      <c r="G386" s="0" t="s">
        <v>9539</v>
      </c>
    </row>
    <row customHeight="1" ht="11.25">
      <c r="A387" s="734" t="s">
        <v>14</v>
      </c>
      <c r="B387" s="0" t="s">
        <v>9540</v>
      </c>
      <c r="C387" s="0" t="s">
        <v>9541</v>
      </c>
      <c r="D387" s="0" t="s">
        <v>9540</v>
      </c>
      <c r="E387" s="0" t="s">
        <v>9541</v>
      </c>
      <c r="F387" s="0" t="s">
        <v>8457</v>
      </c>
      <c r="G387" s="0" t="s">
        <v>9542</v>
      </c>
    </row>
    <row customHeight="1" ht="11.25">
      <c r="A388" s="734" t="s">
        <v>14</v>
      </c>
      <c r="B388" s="0" t="s">
        <v>9543</v>
      </c>
      <c r="C388" s="0" t="s">
        <v>9544</v>
      </c>
      <c r="D388" s="0" t="s">
        <v>9543</v>
      </c>
      <c r="E388" s="0" t="s">
        <v>9544</v>
      </c>
      <c r="F388" s="0" t="s">
        <v>8457</v>
      </c>
      <c r="G388" s="0" t="s">
        <v>9545</v>
      </c>
    </row>
    <row customHeight="1" ht="11.25">
      <c r="A389" s="734" t="s">
        <v>14</v>
      </c>
      <c r="B389" s="0" t="s">
        <v>9546</v>
      </c>
      <c r="C389" s="0" t="s">
        <v>9547</v>
      </c>
      <c r="D389" s="0" t="s">
        <v>9546</v>
      </c>
      <c r="E389" s="0" t="s">
        <v>9547</v>
      </c>
      <c r="F389" s="0" t="s">
        <v>8457</v>
      </c>
      <c r="G389" s="0" t="s">
        <v>9548</v>
      </c>
    </row>
    <row customHeight="1" ht="11.25">
      <c r="A390" s="734" t="s">
        <v>14</v>
      </c>
      <c r="B390" s="0" t="s">
        <v>9549</v>
      </c>
      <c r="C390" s="0" t="s">
        <v>9550</v>
      </c>
      <c r="D390" s="0" t="s">
        <v>9549</v>
      </c>
      <c r="E390" s="0" t="s">
        <v>9550</v>
      </c>
      <c r="F390" s="0" t="s">
        <v>8457</v>
      </c>
      <c r="G390" s="0" t="s">
        <v>9551</v>
      </c>
    </row>
    <row customHeight="1" ht="11.25">
      <c r="A391" s="734" t="s">
        <v>14</v>
      </c>
      <c r="B391" s="0" t="s">
        <v>9552</v>
      </c>
      <c r="C391" s="0" t="s">
        <v>9553</v>
      </c>
      <c r="D391" s="0" t="s">
        <v>9552</v>
      </c>
      <c r="E391" s="0" t="s">
        <v>9553</v>
      </c>
      <c r="F391" s="0" t="s">
        <v>8457</v>
      </c>
      <c r="G391" s="0" t="s">
        <v>9554</v>
      </c>
    </row>
    <row customHeight="1" ht="11.25">
      <c r="A392" s="734" t="s">
        <v>14</v>
      </c>
      <c r="B392" s="0" t="s">
        <v>9555</v>
      </c>
      <c r="C392" s="0" t="s">
        <v>9556</v>
      </c>
      <c r="D392" s="0" t="s">
        <v>9555</v>
      </c>
      <c r="E392" s="0" t="s">
        <v>9556</v>
      </c>
      <c r="F392" s="0" t="s">
        <v>8457</v>
      </c>
      <c r="G392" s="0" t="s">
        <v>9557</v>
      </c>
    </row>
    <row customHeight="1" ht="11.25">
      <c r="A393" s="734" t="s">
        <v>14</v>
      </c>
      <c r="B393" s="0" t="s">
        <v>9558</v>
      </c>
      <c r="C393" s="0" t="s">
        <v>9559</v>
      </c>
      <c r="D393" s="0" t="s">
        <v>9558</v>
      </c>
      <c r="E393" s="0" t="s">
        <v>9559</v>
      </c>
      <c r="F393" s="0" t="s">
        <v>8457</v>
      </c>
      <c r="G393" s="0" t="s">
        <v>9560</v>
      </c>
    </row>
    <row customHeight="1" ht="11.25">
      <c r="A394" s="734" t="s">
        <v>14</v>
      </c>
      <c r="B394" s="0" t="s">
        <v>9561</v>
      </c>
      <c r="C394" s="0" t="s">
        <v>9562</v>
      </c>
      <c r="D394" s="0" t="s">
        <v>9561</v>
      </c>
      <c r="E394" s="0" t="s">
        <v>9562</v>
      </c>
      <c r="F394" s="0" t="s">
        <v>8457</v>
      </c>
      <c r="G394" s="0" t="s">
        <v>9563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36503C-7AD2-66F6-FF82-A1173C5967A9}" mc:Ignorable="x14ac xr xr2 xr3">
  <sheetPr>
    <tabColor rgb="FFFFCC99"/>
  </sheetPr>
  <dimension ref="A1:I1"/>
  <sheetViews>
    <sheetView topLeftCell="A1" showGridLines="0" workbookViewId="0">
      <selection activeCell="A1" sqref="A1"/>
    </sheetView>
  </sheetViews>
  <sheetFormatPr defaultColWidth="9.140625" customHeight="1" defaultRowHeight="11.25"/>
  <cols>
    <col min="1" max="1" style="21020" width="13.8515625" customWidth="1"/>
    <col min="2" max="2" style="21020" width="10.421875" customWidth="1"/>
    <col min="3" max="3" style="21021" width="7.57421875" customWidth="1"/>
    <col min="4" max="4" style="21020" width="13.8515625" customWidth="1"/>
    <col min="5" max="5" style="21020" width="11.57421875" customWidth="1"/>
    <col min="6" max="6" style="21020" width="16.28125" customWidth="1"/>
    <col min="7" max="7" style="21020" width="16.00390625" customWidth="1"/>
    <col min="8" max="9" style="21020" width="16.140625" customWidth="1"/>
  </cols>
  <sheetData>
    <row customHeight="1" ht="11.25">
      <c r="A1" s="1196" t="s">
        <v>9564</v>
      </c>
      <c r="B1" s="1196" t="s">
        <v>9565</v>
      </c>
      <c r="C1" s="1522" t="s">
        <v>9566</v>
      </c>
      <c r="D1" s="1196" t="s">
        <v>9567</v>
      </c>
      <c r="E1" s="1196" t="s">
        <v>9568</v>
      </c>
      <c r="F1" s="1522" t="s">
        <v>9569</v>
      </c>
      <c r="G1" s="1522" t="s">
        <v>9570</v>
      </c>
      <c r="H1" s="1522" t="s">
        <v>9571</v>
      </c>
      <c r="I1" s="1522" t="s">
        <v>9572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0AB846-6006-2F89-D22A-2F7CD264AA41}"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02C3CA-A34A-A826-966C-B1B8C18CB75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80" width="9.140625"/>
  </cols>
  <sheetData>
    <row customHeight="1" ht="11.25">
      <c r="A1" s="80" t="s">
        <v>127</v>
      </c>
      <c r="B1" s="80" t="s">
        <v>9573</v>
      </c>
    </row>
    <row customHeight="1" ht="11.25">
      <c r="A2" s="422" t="s">
        <v>95</v>
      </c>
      <c r="B2" s="422" t="s">
        <v>9574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3665E5-CD59-4D13-70FA-FE55E29E41F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21020" width="9.140625"/>
    <col min="2" max="2" style="21020" width="65.28125" customWidth="1"/>
  </cols>
  <sheetData>
    <row customHeight="1" ht="11.25">
      <c r="A1" s="1196" t="s">
        <v>9575</v>
      </c>
      <c r="B1" s="1196" t="s">
        <v>9576</v>
      </c>
    </row>
    <row customHeight="1" ht="11.25">
      <c r="A2" s="1196">
        <v>4213775</v>
      </c>
      <c r="B2" s="1196" t="s">
        <v>1148</v>
      </c>
    </row>
    <row customHeight="1" ht="11.25">
      <c r="A3" s="1196">
        <v>4213784</v>
      </c>
      <c r="B3" s="1196" t="s">
        <v>1183</v>
      </c>
    </row>
    <row customHeight="1" ht="11.25">
      <c r="A4" s="1196">
        <v>4213781</v>
      </c>
      <c r="B4" s="1196" t="s">
        <v>1176</v>
      </c>
    </row>
    <row customHeight="1" ht="11.25">
      <c r="A5" s="1196">
        <v>4213776</v>
      </c>
      <c r="B5" s="1196" t="s">
        <v>163</v>
      </c>
    </row>
    <row customHeight="1" ht="11.25">
      <c r="A6" s="1196">
        <v>4213777</v>
      </c>
      <c r="B6" s="1196" t="s">
        <v>169</v>
      </c>
    </row>
    <row customHeight="1" ht="11.25">
      <c r="A7" s="1196">
        <v>4213778</v>
      </c>
      <c r="B7" s="1196" t="s">
        <v>175</v>
      </c>
    </row>
    <row customHeight="1" ht="11.25">
      <c r="A8" s="1196">
        <v>4213780</v>
      </c>
      <c r="B8" s="1196" t="s">
        <v>181</v>
      </c>
    </row>
    <row customHeight="1" ht="11.25">
      <c r="A9" s="1196">
        <v>4213779</v>
      </c>
      <c r="B9" s="1196" t="s">
        <v>1316</v>
      </c>
    </row>
    <row customHeight="1" ht="11.25">
      <c r="A10" s="1196">
        <v>4213783</v>
      </c>
      <c r="B10" s="1196" t="s">
        <v>199</v>
      </c>
    </row>
    <row customHeight="1" ht="11.25">
      <c r="A11" s="1196">
        <v>4213782</v>
      </c>
      <c r="B11" s="1196" t="s">
        <v>187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482F6E-DF0E-5EDA-F884-634AAAB72628}"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18998" width="9.140625" hidden="1" customWidth="1"/>
    <col min="2" max="2" style="18999" width="9.140625" hidden="1" customWidth="1"/>
    <col min="3" max="3" style="19000" width="3.7109375" customWidth="1"/>
    <col min="4" max="4" style="18999" width="5.57421875" customWidth="1"/>
    <col min="5" max="5" style="18999" width="48.421875" customWidth="1"/>
    <col min="6" max="6" style="18999" width="38.140625" customWidth="1"/>
    <col min="7" max="7" style="18482" width="1.7109375" hidden="1" customWidth="1"/>
    <col min="8" max="11" style="18999" width="19.8515625" hidden="1" customWidth="1"/>
    <col min="12" max="12" style="18999" width="9.7109375" hidden="1" customWidth="1"/>
    <col min="13" max="18" style="18999" width="19.8515625" hidden="1" customWidth="1"/>
    <col min="19" max="19" style="18482" width="1.7109375" hidden="1" customWidth="1"/>
    <col min="20" max="22" style="19001" width="19.8515625" hidden="1" customWidth="1"/>
    <col min="23" max="23" style="18482" width="1.7109375" hidden="1" customWidth="1"/>
    <col min="24" max="26" style="19001" width="19.8515625" hidden="1" customWidth="1"/>
    <col min="27" max="27" style="18482" width="1.7109375" hidden="1" customWidth="1"/>
    <col min="28" max="29" style="19001" width="19.8515625" customWidth="1"/>
    <col min="30" max="30" style="18482" width="1.7109375" hidden="1" customWidth="1"/>
    <col min="31" max="31" style="18999" width="103.7109375" hidden="1" customWidth="1"/>
    <col min="32" max="33" style="19001" width="103.7109375" hidden="1" customWidth="1"/>
    <col min="34" max="34" style="19001" width="103.7109375" customWidth="1"/>
    <col min="35" max="35" style="19002" width="3.7109375" customWidth="1"/>
    <col min="36" max="38" style="19003" width="10.57421875"/>
    <col min="39" max="39" style="19003" width="13.7109375" hidden="1" customWidth="1"/>
    <col min="40" max="40" style="19003" width="15.421875" customWidth="1"/>
    <col min="41" max="41" style="19003" width="16.28125" customWidth="1"/>
    <col min="42" max="45" style="19003" width="10.57421875"/>
  </cols>
  <sheetData>
    <row customHeight="1" ht="14.25" hidden="1">
      <c r="E1" s="773"/>
      <c r="F1" s="773"/>
      <c r="G1" s="773"/>
      <c r="H1" s="2502" t="s">
        <v>352</v>
      </c>
      <c r="I1" s="2502"/>
      <c r="J1" s="2502"/>
      <c r="K1" s="2502"/>
      <c r="L1" s="2502"/>
      <c r="M1" s="2502"/>
      <c r="N1" s="2502"/>
      <c r="O1" s="2502"/>
      <c r="P1" s="2502"/>
      <c r="Q1" s="2502"/>
      <c r="R1" s="2502"/>
      <c r="T1" s="2502" t="s">
        <v>353</v>
      </c>
      <c r="U1" s="2502"/>
      <c r="V1" s="2502"/>
      <c r="X1" s="2502" t="s">
        <v>354</v>
      </c>
      <c r="Y1" s="2502"/>
      <c r="Z1" s="2502"/>
      <c r="AB1" s="2502" t="s">
        <v>355</v>
      </c>
      <c r="AC1" s="2502"/>
    </row>
    <row customHeight="1" ht="14.25" hidden="1"/>
    <row s="18936" customFormat="1" customHeight="1" ht="6">
      <c r="C3" s="1062"/>
      <c r="D3" s="1063"/>
      <c r="E3" s="1063"/>
      <c r="F3" s="1063"/>
      <c r="G3" s="1063"/>
      <c r="H3" s="1063" t="s">
        <v>356</v>
      </c>
      <c r="I3" s="1063"/>
      <c r="J3" s="1063"/>
      <c r="K3" s="1063"/>
      <c r="L3" s="1063"/>
      <c r="M3" s="1063"/>
      <c r="N3" s="1063"/>
      <c r="O3" s="1063"/>
      <c r="P3" s="1063"/>
      <c r="Q3" s="1063"/>
      <c r="R3" s="1063"/>
      <c r="S3" s="1063"/>
      <c r="T3" s="1063"/>
      <c r="U3" s="1063"/>
      <c r="V3" s="1063"/>
      <c r="W3" s="1063"/>
      <c r="X3" s="1063"/>
      <c r="Y3" s="1063"/>
      <c r="Z3" s="1063"/>
      <c r="AA3" s="1063"/>
      <c r="AB3" s="1063"/>
      <c r="AC3" s="1063"/>
      <c r="AD3" s="1063"/>
      <c r="AE3" s="1063"/>
      <c r="AF3" s="1063"/>
      <c r="AG3" s="1063"/>
      <c r="AH3" s="1063"/>
      <c r="AJ3" s="872"/>
      <c r="AK3" s="872"/>
      <c r="AL3" s="872"/>
      <c r="AM3" s="872"/>
      <c r="AN3" s="872"/>
      <c r="AO3" s="872"/>
      <c r="AP3" s="872"/>
      <c r="AQ3" s="872"/>
      <c r="AR3" s="872"/>
      <c r="AS3" s="872"/>
    </row>
    <row customHeight="1" ht="37.5">
      <c r="C4" s="811"/>
      <c r="D4" s="2440" t="str">
        <f>ORG_VD_NAME_FORM</f>
        <v>Форма 1. Информация об организации, осуществляющей горячее водоснабжение (общая информация)</v>
      </c>
      <c r="E4" s="2441"/>
      <c r="F4" s="2441"/>
      <c r="G4" s="2441"/>
      <c r="H4" s="2441"/>
      <c r="I4" s="2441"/>
      <c r="J4" s="2441"/>
      <c r="K4" s="2441"/>
      <c r="L4" s="2441"/>
      <c r="M4" s="2441"/>
      <c r="N4" s="2441"/>
      <c r="O4" s="2441"/>
      <c r="P4" s="2441"/>
      <c r="Q4" s="2441"/>
      <c r="R4" s="2442"/>
      <c r="S4" s="1214"/>
      <c r="T4" s="1060"/>
      <c r="U4" s="1060"/>
      <c r="V4" s="1060"/>
      <c r="W4" s="1060"/>
      <c r="X4" s="1060"/>
      <c r="Y4" s="1060"/>
      <c r="Z4" s="1060"/>
      <c r="AA4" s="1060"/>
      <c r="AB4" s="1060"/>
      <c r="AC4" s="1060"/>
      <c r="AD4" s="1060"/>
      <c r="AE4" s="852"/>
      <c r="AF4" s="852"/>
      <c r="AG4" s="852"/>
      <c r="AH4" s="852"/>
      <c r="AI4" s="849"/>
    </row>
    <row s="18482" customFormat="1" customHeight="1" ht="17.25">
      <c r="A5" s="1120"/>
      <c r="C5" s="1183"/>
      <c r="D5" s="2499" t="str">
        <f>IF(org=0,"Не определено",org)</f>
        <v>Филиал "Шатурская ГРЭС" ПАО "Юнипро"</v>
      </c>
      <c r="E5" s="2500"/>
      <c r="F5" s="2500"/>
      <c r="G5" s="2500"/>
      <c r="H5" s="2500"/>
      <c r="I5" s="2500"/>
      <c r="J5" s="2500"/>
      <c r="K5" s="2500"/>
      <c r="L5" s="2500"/>
      <c r="M5" s="2500"/>
      <c r="N5" s="2500"/>
      <c r="O5" s="2500"/>
      <c r="P5" s="2500"/>
      <c r="Q5" s="2500"/>
      <c r="R5" s="2501"/>
      <c r="S5" s="1214"/>
      <c r="T5" s="1060"/>
      <c r="U5" s="1060"/>
      <c r="V5" s="1060"/>
      <c r="W5" s="1060"/>
      <c r="X5" s="1060"/>
      <c r="Y5" s="1060"/>
      <c r="Z5" s="1060"/>
      <c r="AA5" s="1060"/>
      <c r="AB5" s="1060"/>
      <c r="AC5" s="1060"/>
      <c r="AD5" s="1060"/>
      <c r="AE5" s="852"/>
      <c r="AF5" s="852"/>
      <c r="AG5" s="852"/>
      <c r="AH5" s="852"/>
      <c r="AI5" s="849"/>
      <c r="AJ5" s="872"/>
      <c r="AK5" s="872"/>
      <c r="AL5" s="872"/>
      <c r="AM5" s="872"/>
      <c r="AN5" s="872"/>
      <c r="AO5" s="872"/>
      <c r="AP5" s="872"/>
      <c r="AQ5" s="872"/>
      <c r="AR5" s="872"/>
      <c r="AS5" s="872"/>
    </row>
    <row s="18948" customFormat="1" customHeight="1" ht="11.25">
      <c r="A6" s="840"/>
      <c r="C6" s="847"/>
      <c r="D6" s="846"/>
      <c r="E6" s="846"/>
      <c r="F6" s="846"/>
      <c r="G6" s="846"/>
      <c r="H6" s="846"/>
      <c r="I6" s="846"/>
      <c r="J6" s="846"/>
      <c r="K6" s="846"/>
      <c r="L6" s="846"/>
      <c r="M6" s="846"/>
      <c r="N6" s="846"/>
      <c r="O6" s="846"/>
      <c r="P6" s="846"/>
      <c r="Q6" s="846"/>
      <c r="R6" s="1113"/>
      <c r="S6" s="1113"/>
      <c r="T6" s="846"/>
      <c r="U6" s="846"/>
      <c r="V6" s="1073"/>
      <c r="W6" s="1073"/>
      <c r="X6" s="846"/>
      <c r="Y6" s="846"/>
      <c r="Z6" s="1073"/>
      <c r="AA6" s="1073"/>
      <c r="AB6" s="846"/>
      <c r="AC6" s="1073"/>
      <c r="AD6" s="1073"/>
      <c r="AE6" s="846"/>
      <c r="AF6" s="846"/>
      <c r="AG6" s="846"/>
      <c r="AH6" s="846"/>
      <c r="AJ6" s="850"/>
      <c r="AK6" s="850"/>
      <c r="AL6" s="850"/>
      <c r="AM6" s="850"/>
      <c r="AN6" s="850"/>
      <c r="AO6" s="850"/>
      <c r="AP6" s="850"/>
      <c r="AQ6" s="850"/>
      <c r="AR6" s="850"/>
      <c r="AS6" s="850"/>
    </row>
    <row customHeight="1" ht="14.25">
      <c r="C7" s="811"/>
      <c r="D7" s="2488" t="s">
        <v>300</v>
      </c>
      <c r="E7" s="2503"/>
      <c r="F7" s="2503"/>
      <c r="G7" s="2503"/>
      <c r="H7" s="2503"/>
      <c r="I7" s="2503"/>
      <c r="J7" s="2503"/>
      <c r="K7" s="2503"/>
      <c r="L7" s="2503"/>
      <c r="M7" s="2503"/>
      <c r="N7" s="2503"/>
      <c r="O7" s="2503"/>
      <c r="P7" s="2503"/>
      <c r="Q7" s="2503"/>
      <c r="R7" s="2503"/>
      <c r="S7" s="2503"/>
      <c r="T7" s="2503"/>
      <c r="U7" s="2503"/>
      <c r="V7" s="2503"/>
      <c r="W7" s="2503"/>
      <c r="X7" s="2503"/>
      <c r="Y7" s="2503"/>
      <c r="Z7" s="2503"/>
      <c r="AA7" s="2503"/>
      <c r="AB7" s="2503"/>
      <c r="AC7" s="2503"/>
      <c r="AD7" s="2504"/>
      <c r="AE7" s="2487" t="s">
        <v>301</v>
      </c>
      <c r="AF7" s="2487" t="s">
        <v>301</v>
      </c>
      <c r="AG7" s="2487" t="s">
        <v>301</v>
      </c>
      <c r="AH7" s="2487" t="s">
        <v>301</v>
      </c>
    </row>
    <row customHeight="1" ht="25.5">
      <c r="C8" s="811"/>
      <c r="D8" s="2392" t="s">
        <v>85</v>
      </c>
      <c r="E8" s="2487" t="str">
        <f>"Наименование "&amp;IF(TEMPLATE_SPHERE&lt;&gt;"HEAT","централизованной ","")&amp;"системы "&amp;TEMPLATE_SPHERE_RUS</f>
        <v>Наименование централизованной системы горячего водоснабжения</v>
      </c>
      <c r="F8" s="2487" t="str">
        <f>IF(TEMPLATE_SPHERE&lt;&gt;"HEAT","Регулируемый вид деятельности","Вид регулируемой деятельности")</f>
        <v>Регулируемый вид деятельности</v>
      </c>
      <c r="G8" s="1189"/>
      <c r="H8" s="2493" t="s">
        <v>357</v>
      </c>
      <c r="I8" s="2495" t="s">
        <v>358</v>
      </c>
      <c r="J8" s="2487" t="s">
        <v>359</v>
      </c>
      <c r="K8" s="2487"/>
      <c r="L8" s="2487"/>
      <c r="M8" s="2488"/>
      <c r="N8" s="2487" t="s">
        <v>360</v>
      </c>
      <c r="O8" s="2487"/>
      <c r="P8" s="2487" t="s">
        <v>361</v>
      </c>
      <c r="Q8" s="2487"/>
      <c r="R8" s="2491" t="s">
        <v>362</v>
      </c>
      <c r="S8" s="1185"/>
      <c r="T8" s="2489" t="s">
        <v>363</v>
      </c>
      <c r="U8" s="2489" t="s">
        <v>364</v>
      </c>
      <c r="V8" s="2489" t="s">
        <v>365</v>
      </c>
      <c r="W8" s="1187"/>
      <c r="X8" s="2489" t="s">
        <v>366</v>
      </c>
      <c r="Y8" s="2489" t="s">
        <v>367</v>
      </c>
      <c r="Z8" s="2489" t="s">
        <v>368</v>
      </c>
      <c r="AA8" s="1187"/>
      <c r="AB8" s="2489" t="s">
        <v>369</v>
      </c>
      <c r="AC8" s="2489" t="s">
        <v>362</v>
      </c>
      <c r="AD8" s="1187"/>
      <c r="AE8" s="2487"/>
      <c r="AF8" s="2487"/>
      <c r="AG8" s="2487"/>
      <c r="AH8" s="2487"/>
    </row>
    <row customHeight="1" ht="43.5">
      <c r="C9" s="811"/>
      <c r="D9" s="2392"/>
      <c r="E9" s="2487"/>
      <c r="F9" s="2487"/>
      <c r="G9" s="1190"/>
      <c r="H9" s="2494"/>
      <c r="I9" s="2496"/>
      <c r="J9" s="786" t="s">
        <v>370</v>
      </c>
      <c r="K9" s="786" t="s">
        <v>371</v>
      </c>
      <c r="L9" s="786" t="s">
        <v>372</v>
      </c>
      <c r="M9" s="792" t="s">
        <v>373</v>
      </c>
      <c r="N9" s="786" t="s">
        <v>374</v>
      </c>
      <c r="O9" s="786" t="s">
        <v>373</v>
      </c>
      <c r="P9" s="786" t="s">
        <v>375</v>
      </c>
      <c r="Q9" s="786" t="s">
        <v>373</v>
      </c>
      <c r="R9" s="2492"/>
      <c r="S9" s="1186"/>
      <c r="T9" s="2490"/>
      <c r="U9" s="2490"/>
      <c r="V9" s="2490"/>
      <c r="W9" s="1188"/>
      <c r="X9" s="2490"/>
      <c r="Y9" s="2490"/>
      <c r="Z9" s="2490"/>
      <c r="AA9" s="1188"/>
      <c r="AB9" s="2490"/>
      <c r="AC9" s="2490"/>
      <c r="AD9" s="1188"/>
      <c r="AE9" s="2487"/>
      <c r="AF9" s="2487"/>
      <c r="AG9" s="2487"/>
      <c r="AH9" s="2487"/>
    </row>
    <row customHeight="1" ht="12" hidden="1">
      <c r="C10" s="848"/>
      <c r="D10" s="809"/>
      <c r="E10" s="809"/>
      <c r="F10" s="809"/>
      <c r="G10" s="809"/>
      <c r="H10" s="809"/>
      <c r="I10" s="809"/>
      <c r="J10" s="809"/>
      <c r="K10" s="809"/>
      <c r="L10" s="809"/>
      <c r="M10" s="809"/>
      <c r="N10" s="809"/>
      <c r="O10" s="809"/>
      <c r="P10" s="809"/>
      <c r="Q10" s="809"/>
      <c r="R10" s="809"/>
      <c r="S10" s="809"/>
      <c r="T10" s="809"/>
      <c r="U10" s="809"/>
      <c r="V10" s="809"/>
      <c r="W10" s="809"/>
      <c r="X10" s="809"/>
      <c r="Y10" s="809"/>
      <c r="Z10" s="809"/>
      <c r="AA10" s="809"/>
      <c r="AB10" s="809"/>
      <c r="AC10" s="809"/>
      <c r="AD10" s="809"/>
      <c r="AE10" s="809"/>
      <c r="AF10" s="809"/>
      <c r="AG10" s="809"/>
      <c r="AH10" s="809"/>
      <c r="AI10" s="808"/>
      <c r="AP10" s="861"/>
      <c r="AQ10" s="861"/>
    </row>
    <row s="18977" customFormat="1" customHeight="1" ht="11.25" hidden="1">
      <c r="C11" s="859"/>
      <c r="D11" s="860" t="s">
        <v>376</v>
      </c>
      <c r="E11" s="860"/>
      <c r="F11" s="860"/>
      <c r="G11" s="860"/>
      <c r="H11" s="858"/>
      <c r="I11" s="858"/>
      <c r="J11" s="858"/>
      <c r="K11" s="858"/>
      <c r="L11" s="858"/>
      <c r="M11" s="858"/>
      <c r="N11" s="858"/>
      <c r="O11" s="858"/>
      <c r="P11" s="858"/>
      <c r="Q11" s="858"/>
      <c r="R11" s="858"/>
      <c r="S11" s="858"/>
      <c r="T11" s="858"/>
      <c r="U11" s="858"/>
      <c r="V11" s="858"/>
      <c r="W11" s="858"/>
      <c r="X11" s="858"/>
      <c r="Y11" s="858"/>
      <c r="Z11" s="858"/>
      <c r="AA11" s="858"/>
      <c r="AB11" s="858"/>
      <c r="AC11" s="858"/>
      <c r="AD11" s="858"/>
      <c r="AE11" s="796"/>
      <c r="AF11" s="796"/>
      <c r="AG11" s="796"/>
      <c r="AH11" s="796"/>
      <c r="AJ11" s="850"/>
      <c r="AK11" s="850"/>
      <c r="AL11" s="850"/>
      <c r="AM11" s="850"/>
      <c r="AN11" s="850"/>
      <c r="AO11" s="850"/>
      <c r="AP11" s="850"/>
      <c r="AQ11" s="850"/>
      <c r="AR11" s="850"/>
      <c r="AS11" s="850"/>
    </row>
    <row customHeight="1" ht="14.25">
      <c r="A12" s="808"/>
      <c r="C12" s="811"/>
      <c r="D12" s="795" t="s">
        <v>106</v>
      </c>
      <c r="E12" s="2143" t="s">
        <v>24</v>
      </c>
      <c r="F12" s="1216"/>
      <c r="G12" s="1217"/>
      <c r="H12" s="2144"/>
      <c r="I12" s="2144"/>
      <c r="J12" s="794"/>
      <c r="K12" s="2230"/>
      <c r="L12" s="793"/>
      <c r="M12" s="2230"/>
      <c r="N12" s="794"/>
      <c r="O12" s="2230"/>
      <c r="P12" s="794"/>
      <c r="Q12" s="2230"/>
      <c r="R12" s="794"/>
      <c r="S12" s="1215"/>
      <c r="T12" s="2144"/>
      <c r="U12" s="794"/>
      <c r="V12" s="794"/>
      <c r="W12" s="1188"/>
      <c r="X12" s="2144"/>
      <c r="Y12" s="794"/>
      <c r="Z12" s="794"/>
      <c r="AA12" s="1188"/>
      <c r="AB12" s="2144"/>
      <c r="AC12" s="794"/>
      <c r="AD12" s="1188"/>
      <c r="AE12" s="2497" t="s">
        <v>377</v>
      </c>
      <c r="AF12" s="2497" t="s">
        <v>378</v>
      </c>
      <c r="AG12" s="2497" t="s">
        <v>379</v>
      </c>
      <c r="AH12" s="2497" t="s">
        <v>380</v>
      </c>
      <c r="AI12" s="808"/>
      <c r="AM12" s="872"/>
      <c r="AP12" s="861" t="s">
        <v>381</v>
      </c>
      <c r="AQ12" s="861" t="s">
        <v>381</v>
      </c>
    </row>
    <row customHeight="1" ht="17.25">
      <c r="A13" s="808"/>
      <c r="C13" s="811"/>
      <c r="D13" s="766"/>
      <c r="E13" s="1230" t="str">
        <f>IF(TITLE_DIFFERENTIATION_TYPE="нет","","Добавить систему")</f>
        <v/>
      </c>
      <c r="F13" s="1230" t="str">
        <f>IF(TITLE_DIFFERENTIATION_TYPE="нет","Добавить вид деятельности","")</f>
        <v>Добавить вид деятельности</v>
      </c>
      <c r="G13" s="674"/>
      <c r="H13" s="767"/>
      <c r="I13" s="767"/>
      <c r="J13" s="767"/>
      <c r="K13" s="767"/>
      <c r="L13" s="767"/>
      <c r="M13" s="767"/>
      <c r="N13" s="767"/>
      <c r="O13" s="767"/>
      <c r="P13" s="767"/>
      <c r="Q13" s="767"/>
      <c r="R13" s="767"/>
      <c r="S13" s="767"/>
      <c r="T13" s="767"/>
      <c r="U13" s="767"/>
      <c r="V13" s="767"/>
      <c r="W13" s="767"/>
      <c r="X13" s="767"/>
      <c r="Y13" s="767"/>
      <c r="Z13" s="767"/>
      <c r="AA13" s="767"/>
      <c r="AB13" s="767"/>
      <c r="AC13" s="767"/>
      <c r="AD13" s="1218"/>
      <c r="AE13" s="2498"/>
      <c r="AF13" s="2498"/>
      <c r="AG13" s="2498"/>
      <c r="AH13" s="2498"/>
      <c r="AI13" s="808"/>
    </row>
    <row customHeight="1" ht="14.25">
      <c r="AI14" s="808"/>
    </row>
    <row customHeight="1" ht="14.25">
      <c r="E15" s="1119"/>
      <c r="L15" s="1119"/>
    </row>
    <row customHeight="1" ht="14.25">
      <c r="L16" s="1119"/>
    </row>
    <row customHeight="1" ht="14.25">
      <c r="L17" s="1119"/>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274A5C-D1B7-C993-AA29-4D9B4DEE1644}"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21020" width="9.140625"/>
    <col min="2" max="2" style="21020" width="65.28125" customWidth="1"/>
  </cols>
  <sheetData>
    <row customHeight="1" ht="11.25">
      <c r="A1" s="1196" t="s">
        <v>9575</v>
      </c>
      <c r="B1" s="1196" t="s">
        <v>9577</v>
      </c>
    </row>
    <row customHeight="1" ht="11.25">
      <c r="A2" s="1196" t="s">
        <v>9578</v>
      </c>
      <c r="B2" s="1196" t="s">
        <v>1429</v>
      </c>
    </row>
    <row customHeight="1" ht="11.25">
      <c r="A3" s="1196" t="s">
        <v>9579</v>
      </c>
      <c r="B3" s="1196" t="s">
        <v>1439</v>
      </c>
    </row>
    <row customHeight="1" ht="11.25">
      <c r="A4" s="1196" t="s">
        <v>9580</v>
      </c>
      <c r="B4" s="1196" t="s">
        <v>1448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610D8A-0465-E29A-E2FC-25B5F1141036}" mc:Ignorable="x14ac xr xr2 xr3">
  <sheetPr>
    <tabColor rgb="FFFFCC99"/>
  </sheetPr>
  <dimension ref="A1:G394"/>
  <sheetViews>
    <sheetView topLeftCell="A1" showGridLines="0" workbookViewId="0">
      <selection activeCell="A1" sqref="A1"/>
    </sheetView>
  </sheetViews>
  <sheetFormatPr customHeight="1" defaultRowHeight="11.25"/>
  <sheetData>
    <row customHeight="1" ht="11.25">
      <c r="A1" s="734" t="s">
        <v>8448</v>
      </c>
      <c r="B1" s="734" t="s">
        <v>8449</v>
      </c>
      <c r="C1" s="734" t="s">
        <v>8450</v>
      </c>
      <c r="D1" s="734" t="s">
        <v>8451</v>
      </c>
      <c r="E1" s="0" t="s">
        <v>8452</v>
      </c>
      <c r="F1" s="0" t="s">
        <v>8453</v>
      </c>
      <c r="G1" s="0" t="s">
        <v>8454</v>
      </c>
    </row>
    <row customHeight="1" ht="11.25">
      <c r="A2" s="0" t="s">
        <v>14</v>
      </c>
      <c r="B2" s="0" t="s">
        <v>8455</v>
      </c>
      <c r="C2" s="0" t="s">
        <v>8456</v>
      </c>
      <c r="D2" s="0" t="s">
        <v>8455</v>
      </c>
      <c r="E2" s="0" t="s">
        <v>8456</v>
      </c>
      <c r="F2" s="0" t="s">
        <v>8457</v>
      </c>
      <c r="G2" s="0" t="s">
        <v>106</v>
      </c>
    </row>
    <row customHeight="1" ht="11.25">
      <c r="A3" s="0" t="s">
        <v>14</v>
      </c>
      <c r="B3" s="0" t="s">
        <v>8458</v>
      </c>
      <c r="C3" s="0" t="s">
        <v>8459</v>
      </c>
      <c r="D3" s="0" t="s">
        <v>8458</v>
      </c>
      <c r="E3" s="0" t="s">
        <v>8459</v>
      </c>
      <c r="F3" s="0" t="s">
        <v>8457</v>
      </c>
      <c r="G3" s="0" t="s">
        <v>107</v>
      </c>
    </row>
    <row customHeight="1" ht="11.25">
      <c r="A4" s="0" t="s">
        <v>14</v>
      </c>
      <c r="B4" s="0" t="s">
        <v>8460</v>
      </c>
      <c r="C4" s="0" t="s">
        <v>8461</v>
      </c>
      <c r="D4" s="0" t="s">
        <v>8460</v>
      </c>
      <c r="E4" s="0" t="s">
        <v>8461</v>
      </c>
      <c r="F4" s="0" t="s">
        <v>8462</v>
      </c>
      <c r="G4" s="0" t="s">
        <v>87</v>
      </c>
    </row>
    <row customHeight="1" ht="11.25">
      <c r="A5" s="0" t="s">
        <v>14</v>
      </c>
      <c r="B5" s="0" t="s">
        <v>8460</v>
      </c>
      <c r="C5" s="0" t="s">
        <v>8461</v>
      </c>
      <c r="D5" s="0" t="s">
        <v>8463</v>
      </c>
      <c r="E5" s="0" t="s">
        <v>8464</v>
      </c>
      <c r="F5" s="0" t="s">
        <v>8465</v>
      </c>
      <c r="G5" s="0" t="s">
        <v>88</v>
      </c>
    </row>
    <row customHeight="1" ht="11.25">
      <c r="A6" s="0" t="s">
        <v>14</v>
      </c>
      <c r="B6" s="0" t="s">
        <v>8460</v>
      </c>
      <c r="C6" s="0" t="s">
        <v>8461</v>
      </c>
      <c r="D6" s="0" t="s">
        <v>8466</v>
      </c>
      <c r="E6" s="0" t="s">
        <v>8467</v>
      </c>
      <c r="F6" s="0" t="s">
        <v>8468</v>
      </c>
      <c r="G6" s="0" t="s">
        <v>108</v>
      </c>
    </row>
    <row customHeight="1" ht="11.25">
      <c r="A7" s="0" t="s">
        <v>14</v>
      </c>
      <c r="B7" s="0" t="s">
        <v>8460</v>
      </c>
      <c r="C7" s="0" t="s">
        <v>8461</v>
      </c>
      <c r="D7" s="0" t="s">
        <v>8469</v>
      </c>
      <c r="E7" s="0" t="s">
        <v>8470</v>
      </c>
      <c r="F7" s="0" t="s">
        <v>8471</v>
      </c>
      <c r="G7" s="0" t="s">
        <v>89</v>
      </c>
    </row>
    <row customHeight="1" ht="11.25">
      <c r="A8" s="0" t="s">
        <v>14</v>
      </c>
      <c r="B8" s="0" t="s">
        <v>8460</v>
      </c>
      <c r="C8" s="0" t="s">
        <v>8461</v>
      </c>
      <c r="D8" s="0" t="s">
        <v>8472</v>
      </c>
      <c r="E8" s="0" t="s">
        <v>8473</v>
      </c>
      <c r="F8" s="0" t="s">
        <v>8471</v>
      </c>
      <c r="G8" s="0" t="s">
        <v>90</v>
      </c>
    </row>
    <row customHeight="1" ht="11.25">
      <c r="A9" s="0" t="s">
        <v>14</v>
      </c>
      <c r="B9" s="0" t="s">
        <v>8460</v>
      </c>
      <c r="C9" s="0" t="s">
        <v>8461</v>
      </c>
      <c r="D9" s="0" t="s">
        <v>8474</v>
      </c>
      <c r="E9" s="0" t="s">
        <v>8475</v>
      </c>
      <c r="F9" s="0" t="s">
        <v>8471</v>
      </c>
      <c r="G9" s="0" t="s">
        <v>109</v>
      </c>
    </row>
    <row customHeight="1" ht="11.25">
      <c r="A10" s="0" t="s">
        <v>14</v>
      </c>
      <c r="B10" s="0" t="s">
        <v>8460</v>
      </c>
      <c r="C10" s="0" t="s">
        <v>8461</v>
      </c>
      <c r="D10" s="0" t="s">
        <v>8476</v>
      </c>
      <c r="E10" s="0" t="s">
        <v>8477</v>
      </c>
      <c r="F10" s="0" t="s">
        <v>8471</v>
      </c>
      <c r="G10" s="0" t="s">
        <v>145</v>
      </c>
    </row>
    <row customHeight="1" ht="11.25">
      <c r="A11" s="0" t="s">
        <v>14</v>
      </c>
      <c r="B11" s="0" t="s">
        <v>8460</v>
      </c>
      <c r="C11" s="0" t="s">
        <v>8461</v>
      </c>
      <c r="D11" s="0" t="s">
        <v>8478</v>
      </c>
      <c r="E11" s="0" t="s">
        <v>8479</v>
      </c>
      <c r="F11" s="0" t="s">
        <v>8471</v>
      </c>
      <c r="G11" s="0" t="s">
        <v>146</v>
      </c>
    </row>
    <row customHeight="1" ht="11.25">
      <c r="A12" s="0" t="s">
        <v>14</v>
      </c>
      <c r="B12" s="0" t="s">
        <v>8460</v>
      </c>
      <c r="C12" s="0" t="s">
        <v>8461</v>
      </c>
      <c r="D12" s="0" t="s">
        <v>8480</v>
      </c>
      <c r="E12" s="0" t="s">
        <v>8481</v>
      </c>
      <c r="F12" s="0" t="s">
        <v>8471</v>
      </c>
      <c r="G12" s="0" t="s">
        <v>147</v>
      </c>
    </row>
    <row customHeight="1" ht="11.25">
      <c r="A13" s="0" t="s">
        <v>14</v>
      </c>
      <c r="B13" s="0" t="s">
        <v>8482</v>
      </c>
      <c r="C13" s="0" t="s">
        <v>8483</v>
      </c>
      <c r="D13" s="0" t="s">
        <v>8482</v>
      </c>
      <c r="E13" s="0" t="s">
        <v>8483</v>
      </c>
      <c r="F13" s="0" t="s">
        <v>8457</v>
      </c>
      <c r="G13" s="0" t="s">
        <v>148</v>
      </c>
    </row>
    <row customHeight="1" ht="11.25">
      <c r="A14" s="0" t="s">
        <v>14</v>
      </c>
      <c r="B14" s="0" t="s">
        <v>8484</v>
      </c>
      <c r="C14" s="0" t="s">
        <v>8485</v>
      </c>
      <c r="D14" s="0" t="s">
        <v>8484</v>
      </c>
      <c r="E14" s="0" t="s">
        <v>8485</v>
      </c>
      <c r="F14" s="0" t="s">
        <v>8462</v>
      </c>
      <c r="G14" s="0" t="s">
        <v>149</v>
      </c>
    </row>
    <row customHeight="1" ht="11.25">
      <c r="A15" s="0" t="s">
        <v>14</v>
      </c>
      <c r="B15" s="0" t="s">
        <v>8484</v>
      </c>
      <c r="C15" s="0" t="s">
        <v>8485</v>
      </c>
      <c r="D15" s="0" t="s">
        <v>8486</v>
      </c>
      <c r="E15" s="0" t="s">
        <v>8487</v>
      </c>
      <c r="F15" s="0" t="s">
        <v>8468</v>
      </c>
      <c r="G15" s="0" t="s">
        <v>150</v>
      </c>
    </row>
    <row customHeight="1" ht="11.25">
      <c r="A16" s="0" t="s">
        <v>14</v>
      </c>
      <c r="B16" s="0" t="s">
        <v>8484</v>
      </c>
      <c r="C16" s="0" t="s">
        <v>8485</v>
      </c>
      <c r="D16" s="0" t="s">
        <v>8488</v>
      </c>
      <c r="E16" s="0" t="s">
        <v>8489</v>
      </c>
      <c r="F16" s="0" t="s">
        <v>8465</v>
      </c>
      <c r="G16" s="0" t="s">
        <v>1390</v>
      </c>
    </row>
    <row customHeight="1" ht="11.25">
      <c r="A17" s="0" t="s">
        <v>14</v>
      </c>
      <c r="B17" s="0" t="s">
        <v>8484</v>
      </c>
      <c r="C17" s="0" t="s">
        <v>8485</v>
      </c>
      <c r="D17" s="0" t="s">
        <v>8490</v>
      </c>
      <c r="E17" s="0" t="s">
        <v>8491</v>
      </c>
      <c r="F17" s="0" t="s">
        <v>8468</v>
      </c>
      <c r="G17" s="0" t="s">
        <v>1396</v>
      </c>
    </row>
    <row customHeight="1" ht="11.25">
      <c r="A18" s="0" t="s">
        <v>14</v>
      </c>
      <c r="B18" s="0" t="s">
        <v>8484</v>
      </c>
      <c r="C18" s="0" t="s">
        <v>8485</v>
      </c>
      <c r="D18" s="0" t="s">
        <v>8492</v>
      </c>
      <c r="E18" s="0" t="s">
        <v>8493</v>
      </c>
      <c r="F18" s="0" t="s">
        <v>8468</v>
      </c>
      <c r="G18" s="0" t="s">
        <v>1407</v>
      </c>
    </row>
    <row customHeight="1" ht="11.25">
      <c r="A19" s="0" t="s">
        <v>14</v>
      </c>
      <c r="B19" s="0" t="s">
        <v>8484</v>
      </c>
      <c r="C19" s="0" t="s">
        <v>8485</v>
      </c>
      <c r="D19" s="0" t="s">
        <v>8494</v>
      </c>
      <c r="E19" s="0" t="s">
        <v>8495</v>
      </c>
      <c r="F19" s="0" t="s">
        <v>8471</v>
      </c>
      <c r="G19" s="0" t="s">
        <v>1421</v>
      </c>
    </row>
    <row customHeight="1" ht="11.25">
      <c r="A20" s="0" t="s">
        <v>14</v>
      </c>
      <c r="B20" s="0" t="s">
        <v>8484</v>
      </c>
      <c r="C20" s="0" t="s">
        <v>8485</v>
      </c>
      <c r="D20" s="0" t="s">
        <v>8496</v>
      </c>
      <c r="E20" s="0" t="s">
        <v>8497</v>
      </c>
      <c r="F20" s="0" t="s">
        <v>8471</v>
      </c>
      <c r="G20" s="0" t="s">
        <v>1433</v>
      </c>
    </row>
    <row customHeight="1" ht="11.25">
      <c r="A21" s="0" t="s">
        <v>14</v>
      </c>
      <c r="B21" s="0" t="s">
        <v>8498</v>
      </c>
      <c r="C21" s="0" t="s">
        <v>8499</v>
      </c>
      <c r="D21" s="0" t="s">
        <v>8498</v>
      </c>
      <c r="E21" s="0" t="s">
        <v>8499</v>
      </c>
      <c r="F21" s="0" t="s">
        <v>8457</v>
      </c>
      <c r="G21" s="0" t="s">
        <v>1442</v>
      </c>
    </row>
    <row customHeight="1" ht="11.25">
      <c r="A22" s="0" t="s">
        <v>14</v>
      </c>
      <c r="B22" s="0" t="s">
        <v>8500</v>
      </c>
      <c r="C22" s="0" t="s">
        <v>8501</v>
      </c>
      <c r="D22" s="0" t="s">
        <v>8500</v>
      </c>
      <c r="E22" s="0" t="s">
        <v>8501</v>
      </c>
      <c r="F22" s="0" t="s">
        <v>8462</v>
      </c>
      <c r="G22" s="0" t="s">
        <v>1458</v>
      </c>
    </row>
    <row customHeight="1" ht="11.25">
      <c r="A23" s="0" t="s">
        <v>14</v>
      </c>
      <c r="B23" s="0" t="s">
        <v>8500</v>
      </c>
      <c r="C23" s="0" t="s">
        <v>8501</v>
      </c>
      <c r="D23" s="0" t="s">
        <v>8502</v>
      </c>
      <c r="E23" s="0" t="s">
        <v>8503</v>
      </c>
      <c r="F23" s="0" t="s">
        <v>8468</v>
      </c>
      <c r="G23" s="0" t="s">
        <v>1465</v>
      </c>
    </row>
    <row customHeight="1" ht="11.25">
      <c r="A24" s="0" t="s">
        <v>14</v>
      </c>
      <c r="B24" s="0" t="s">
        <v>8500</v>
      </c>
      <c r="C24" s="0" t="s">
        <v>8501</v>
      </c>
      <c r="D24" s="0" t="s">
        <v>8504</v>
      </c>
      <c r="E24" s="0" t="s">
        <v>8505</v>
      </c>
      <c r="F24" s="0" t="s">
        <v>8465</v>
      </c>
      <c r="G24" s="0" t="s">
        <v>1473</v>
      </c>
    </row>
    <row customHeight="1" ht="11.25">
      <c r="A25" s="0" t="s">
        <v>14</v>
      </c>
      <c r="B25" s="0" t="s">
        <v>8500</v>
      </c>
      <c r="C25" s="0" t="s">
        <v>8501</v>
      </c>
      <c r="D25" s="0" t="s">
        <v>8506</v>
      </c>
      <c r="E25" s="0" t="s">
        <v>8507</v>
      </c>
      <c r="F25" s="0" t="s">
        <v>8468</v>
      </c>
      <c r="G25" s="0" t="s">
        <v>1480</v>
      </c>
    </row>
    <row customHeight="1" ht="11.25">
      <c r="A26" s="0" t="s">
        <v>14</v>
      </c>
      <c r="B26" s="0" t="s">
        <v>8500</v>
      </c>
      <c r="C26" s="0" t="s">
        <v>8501</v>
      </c>
      <c r="D26" s="0" t="s">
        <v>8508</v>
      </c>
      <c r="E26" s="0" t="s">
        <v>8509</v>
      </c>
      <c r="F26" s="0" t="s">
        <v>8468</v>
      </c>
      <c r="G26" s="0" t="s">
        <v>1484</v>
      </c>
    </row>
    <row customHeight="1" ht="11.25">
      <c r="A27" s="0" t="s">
        <v>14</v>
      </c>
      <c r="B27" s="0" t="s">
        <v>8500</v>
      </c>
      <c r="C27" s="0" t="s">
        <v>8501</v>
      </c>
      <c r="D27" s="0" t="s">
        <v>8510</v>
      </c>
      <c r="E27" s="0" t="s">
        <v>8511</v>
      </c>
      <c r="F27" s="0" t="s">
        <v>8465</v>
      </c>
      <c r="G27" s="0" t="s">
        <v>1489</v>
      </c>
    </row>
    <row customHeight="1" ht="11.25">
      <c r="A28" s="0" t="s">
        <v>14</v>
      </c>
      <c r="B28" s="0" t="s">
        <v>8500</v>
      </c>
      <c r="C28" s="0" t="s">
        <v>8501</v>
      </c>
      <c r="D28" s="0" t="s">
        <v>8512</v>
      </c>
      <c r="E28" s="0" t="s">
        <v>8513</v>
      </c>
      <c r="F28" s="0" t="s">
        <v>8471</v>
      </c>
      <c r="G28" s="0" t="s">
        <v>1497</v>
      </c>
    </row>
    <row customHeight="1" ht="11.25">
      <c r="A29" s="0" t="s">
        <v>14</v>
      </c>
      <c r="B29" s="0" t="s">
        <v>8500</v>
      </c>
      <c r="C29" s="0" t="s">
        <v>8501</v>
      </c>
      <c r="D29" s="0" t="s">
        <v>8514</v>
      </c>
      <c r="E29" s="0" t="s">
        <v>8515</v>
      </c>
      <c r="F29" s="0" t="s">
        <v>8471</v>
      </c>
      <c r="G29" s="0" t="s">
        <v>1499</v>
      </c>
    </row>
    <row customHeight="1" ht="11.25">
      <c r="A30" s="0" t="s">
        <v>14</v>
      </c>
      <c r="B30" s="0" t="s">
        <v>8500</v>
      </c>
      <c r="C30" s="0" t="s">
        <v>8501</v>
      </c>
      <c r="D30" s="0" t="s">
        <v>8516</v>
      </c>
      <c r="E30" s="0" t="s">
        <v>8517</v>
      </c>
      <c r="F30" s="0" t="s">
        <v>8471</v>
      </c>
      <c r="G30" s="0" t="s">
        <v>1502</v>
      </c>
    </row>
    <row customHeight="1" ht="11.25">
      <c r="A31" s="0" t="s">
        <v>14</v>
      </c>
      <c r="B31" s="0" t="s">
        <v>8500</v>
      </c>
      <c r="C31" s="0" t="s">
        <v>8501</v>
      </c>
      <c r="D31" s="0" t="s">
        <v>8518</v>
      </c>
      <c r="E31" s="0" t="s">
        <v>8519</v>
      </c>
      <c r="F31" s="0" t="s">
        <v>8471</v>
      </c>
      <c r="G31" s="0" t="s">
        <v>1508</v>
      </c>
    </row>
    <row customHeight="1" ht="11.25">
      <c r="A32" s="0" t="s">
        <v>14</v>
      </c>
      <c r="B32" s="0" t="s">
        <v>8500</v>
      </c>
      <c r="C32" s="0" t="s">
        <v>8501</v>
      </c>
      <c r="D32" s="0" t="s">
        <v>8520</v>
      </c>
      <c r="E32" s="0" t="s">
        <v>8521</v>
      </c>
      <c r="F32" s="0" t="s">
        <v>8471</v>
      </c>
      <c r="G32" s="0" t="s">
        <v>1510</v>
      </c>
    </row>
    <row customHeight="1" ht="11.25">
      <c r="A33" s="0" t="s">
        <v>14</v>
      </c>
      <c r="B33" s="0" t="s">
        <v>8500</v>
      </c>
      <c r="C33" s="0" t="s">
        <v>8501</v>
      </c>
      <c r="D33" s="0" t="s">
        <v>8522</v>
      </c>
      <c r="E33" s="0" t="s">
        <v>8523</v>
      </c>
      <c r="F33" s="0" t="s">
        <v>8471</v>
      </c>
      <c r="G33" s="0" t="s">
        <v>1512</v>
      </c>
    </row>
    <row customHeight="1" ht="11.25">
      <c r="A34" s="0" t="s">
        <v>14</v>
      </c>
      <c r="B34" s="0" t="s">
        <v>8524</v>
      </c>
      <c r="C34" s="0" t="s">
        <v>8525</v>
      </c>
      <c r="D34" s="0" t="s">
        <v>8524</v>
      </c>
      <c r="E34" s="0" t="s">
        <v>8525</v>
      </c>
      <c r="F34" s="0" t="s">
        <v>8462</v>
      </c>
      <c r="G34" s="0" t="s">
        <v>1514</v>
      </c>
    </row>
    <row customHeight="1" ht="11.25">
      <c r="A35" s="0" t="s">
        <v>14</v>
      </c>
      <c r="B35" s="0" t="s">
        <v>8524</v>
      </c>
      <c r="C35" s="0" t="s">
        <v>8525</v>
      </c>
      <c r="D35" s="0" t="s">
        <v>8526</v>
      </c>
      <c r="E35" s="0" t="s">
        <v>8527</v>
      </c>
      <c r="F35" s="0" t="s">
        <v>8465</v>
      </c>
      <c r="G35" s="0" t="s">
        <v>1519</v>
      </c>
    </row>
    <row customHeight="1" ht="11.25">
      <c r="A36" s="0" t="s">
        <v>14</v>
      </c>
      <c r="B36" s="0" t="s">
        <v>8524</v>
      </c>
      <c r="C36" s="0" t="s">
        <v>8525</v>
      </c>
      <c r="D36" s="0" t="s">
        <v>8528</v>
      </c>
      <c r="E36" s="0" t="s">
        <v>8529</v>
      </c>
      <c r="F36" s="0" t="s">
        <v>8468</v>
      </c>
      <c r="G36" s="0" t="s">
        <v>1524</v>
      </c>
    </row>
    <row customHeight="1" ht="11.25">
      <c r="A37" s="0" t="s">
        <v>14</v>
      </c>
      <c r="B37" s="0" t="s">
        <v>8524</v>
      </c>
      <c r="C37" s="0" t="s">
        <v>8525</v>
      </c>
      <c r="D37" s="0" t="s">
        <v>8530</v>
      </c>
      <c r="E37" s="0" t="s">
        <v>8531</v>
      </c>
      <c r="F37" s="0" t="s">
        <v>8471</v>
      </c>
      <c r="G37" s="0" t="s">
        <v>1527</v>
      </c>
    </row>
    <row customHeight="1" ht="11.25">
      <c r="A38" s="0" t="s">
        <v>14</v>
      </c>
      <c r="B38" s="0" t="s">
        <v>8524</v>
      </c>
      <c r="C38" s="0" t="s">
        <v>8525</v>
      </c>
      <c r="D38" s="0" t="s">
        <v>8532</v>
      </c>
      <c r="E38" s="0" t="s">
        <v>8533</v>
      </c>
      <c r="F38" s="0" t="s">
        <v>8471</v>
      </c>
      <c r="G38" s="0" t="s">
        <v>1535</v>
      </c>
    </row>
    <row customHeight="1" ht="11.25">
      <c r="A39" s="0" t="s">
        <v>14</v>
      </c>
      <c r="B39" s="0" t="s">
        <v>8524</v>
      </c>
      <c r="C39" s="0" t="s">
        <v>8525</v>
      </c>
      <c r="D39" s="0" t="s">
        <v>8534</v>
      </c>
      <c r="E39" s="0" t="s">
        <v>8535</v>
      </c>
      <c r="F39" s="0" t="s">
        <v>8471</v>
      </c>
      <c r="G39" s="0" t="s">
        <v>1541</v>
      </c>
    </row>
    <row customHeight="1" ht="11.25">
      <c r="A40" s="0" t="s">
        <v>14</v>
      </c>
      <c r="B40" s="0" t="s">
        <v>8536</v>
      </c>
      <c r="C40" s="0" t="s">
        <v>8537</v>
      </c>
      <c r="D40" s="0" t="s">
        <v>8536</v>
      </c>
      <c r="E40" s="0" t="s">
        <v>8537</v>
      </c>
      <c r="F40" s="0" t="s">
        <v>8457</v>
      </c>
      <c r="G40" s="0" t="s">
        <v>1546</v>
      </c>
    </row>
    <row customHeight="1" ht="11.25">
      <c r="A41" s="0" t="s">
        <v>14</v>
      </c>
      <c r="B41" s="0" t="s">
        <v>8538</v>
      </c>
      <c r="C41" s="0" t="s">
        <v>8539</v>
      </c>
      <c r="D41" s="0" t="s">
        <v>8538</v>
      </c>
      <c r="E41" s="0" t="s">
        <v>8539</v>
      </c>
      <c r="F41" s="0" t="s">
        <v>8462</v>
      </c>
      <c r="G41" s="0" t="s">
        <v>1550</v>
      </c>
    </row>
    <row customHeight="1" ht="11.25">
      <c r="A42" s="0" t="s">
        <v>14</v>
      </c>
      <c r="B42" s="0" t="s">
        <v>8538</v>
      </c>
      <c r="C42" s="0" t="s">
        <v>8539</v>
      </c>
      <c r="D42" s="0" t="s">
        <v>8540</v>
      </c>
      <c r="E42" s="0" t="s">
        <v>8541</v>
      </c>
      <c r="F42" s="0" t="s">
        <v>8465</v>
      </c>
      <c r="G42" s="0" t="s">
        <v>1553</v>
      </c>
    </row>
    <row customHeight="1" ht="11.25">
      <c r="A43" s="0" t="s">
        <v>14</v>
      </c>
      <c r="B43" s="0" t="s">
        <v>8538</v>
      </c>
      <c r="C43" s="0" t="s">
        <v>8539</v>
      </c>
      <c r="D43" s="0" t="s">
        <v>8542</v>
      </c>
      <c r="E43" s="0" t="s">
        <v>8543</v>
      </c>
      <c r="F43" s="0" t="s">
        <v>8471</v>
      </c>
      <c r="G43" s="0" t="s">
        <v>1560</v>
      </c>
    </row>
    <row customHeight="1" ht="11.25">
      <c r="A44" s="0" t="s">
        <v>14</v>
      </c>
      <c r="B44" s="0" t="s">
        <v>8538</v>
      </c>
      <c r="C44" s="0" t="s">
        <v>8539</v>
      </c>
      <c r="D44" s="0" t="s">
        <v>8544</v>
      </c>
      <c r="E44" s="0" t="s">
        <v>8545</v>
      </c>
      <c r="F44" s="0" t="s">
        <v>8471</v>
      </c>
      <c r="G44" s="0" t="s">
        <v>1569</v>
      </c>
    </row>
    <row customHeight="1" ht="11.25">
      <c r="A45" s="0" t="s">
        <v>14</v>
      </c>
      <c r="B45" s="0" t="s">
        <v>8538</v>
      </c>
      <c r="C45" s="0" t="s">
        <v>8539</v>
      </c>
      <c r="D45" s="0" t="s">
        <v>8546</v>
      </c>
      <c r="E45" s="0" t="s">
        <v>8547</v>
      </c>
      <c r="F45" s="0" t="s">
        <v>8471</v>
      </c>
      <c r="G45" s="0" t="s">
        <v>1574</v>
      </c>
    </row>
    <row customHeight="1" ht="11.25">
      <c r="A46" s="0" t="s">
        <v>14</v>
      </c>
      <c r="B46" s="0" t="s">
        <v>8538</v>
      </c>
      <c r="C46" s="0" t="s">
        <v>8539</v>
      </c>
      <c r="D46" s="0" t="s">
        <v>8548</v>
      </c>
      <c r="E46" s="0" t="s">
        <v>8549</v>
      </c>
      <c r="F46" s="0" t="s">
        <v>8471</v>
      </c>
      <c r="G46" s="0" t="s">
        <v>1578</v>
      </c>
    </row>
    <row customHeight="1" ht="11.25">
      <c r="A47" s="0" t="s">
        <v>14</v>
      </c>
      <c r="B47" s="0" t="s">
        <v>8550</v>
      </c>
      <c r="C47" s="0" t="s">
        <v>8551</v>
      </c>
      <c r="D47" s="0" t="s">
        <v>8550</v>
      </c>
      <c r="E47" s="0" t="s">
        <v>8551</v>
      </c>
      <c r="F47" s="0" t="s">
        <v>8457</v>
      </c>
      <c r="G47" s="0" t="s">
        <v>1584</v>
      </c>
    </row>
    <row customHeight="1" ht="11.25">
      <c r="A48" s="0" t="s">
        <v>14</v>
      </c>
      <c r="B48" s="0" t="s">
        <v>8552</v>
      </c>
      <c r="C48" s="0" t="s">
        <v>8553</v>
      </c>
      <c r="D48" s="0" t="s">
        <v>8552</v>
      </c>
      <c r="E48" s="0" t="s">
        <v>8553</v>
      </c>
      <c r="F48" s="0" t="s">
        <v>8462</v>
      </c>
      <c r="G48" s="0" t="s">
        <v>1589</v>
      </c>
    </row>
    <row customHeight="1" ht="11.25">
      <c r="A49" s="0" t="s">
        <v>14</v>
      </c>
      <c r="B49" s="0" t="s">
        <v>8552</v>
      </c>
      <c r="C49" s="0" t="s">
        <v>8553</v>
      </c>
      <c r="D49" s="0" t="s">
        <v>8554</v>
      </c>
      <c r="E49" s="0" t="s">
        <v>8555</v>
      </c>
      <c r="F49" s="0" t="s">
        <v>8465</v>
      </c>
      <c r="G49" s="0" t="s">
        <v>1592</v>
      </c>
    </row>
    <row customHeight="1" ht="11.25">
      <c r="A50" s="0" t="s">
        <v>14</v>
      </c>
      <c r="B50" s="0" t="s">
        <v>8552</v>
      </c>
      <c r="C50" s="0" t="s">
        <v>8553</v>
      </c>
      <c r="D50" s="0" t="s">
        <v>8556</v>
      </c>
      <c r="E50" s="0" t="s">
        <v>8557</v>
      </c>
      <c r="F50" s="0" t="s">
        <v>8465</v>
      </c>
      <c r="G50" s="0" t="s">
        <v>1596</v>
      </c>
    </row>
    <row customHeight="1" ht="11.25">
      <c r="A51" s="0" t="s">
        <v>14</v>
      </c>
      <c r="B51" s="0" t="s">
        <v>8552</v>
      </c>
      <c r="C51" s="0" t="s">
        <v>8553</v>
      </c>
      <c r="D51" s="0" t="s">
        <v>8558</v>
      </c>
      <c r="E51" s="0" t="s">
        <v>8559</v>
      </c>
      <c r="F51" s="0" t="s">
        <v>8468</v>
      </c>
      <c r="G51" s="0" t="s">
        <v>1600</v>
      </c>
    </row>
    <row customHeight="1" ht="11.25">
      <c r="A52" s="0" t="s">
        <v>14</v>
      </c>
      <c r="B52" s="0" t="s">
        <v>8552</v>
      </c>
      <c r="C52" s="0" t="s">
        <v>8553</v>
      </c>
      <c r="D52" s="0" t="s">
        <v>8560</v>
      </c>
      <c r="E52" s="0" t="s">
        <v>8561</v>
      </c>
      <c r="F52" s="0" t="s">
        <v>8471</v>
      </c>
      <c r="G52" s="0" t="s">
        <v>1604</v>
      </c>
    </row>
    <row customHeight="1" ht="11.25">
      <c r="A53" s="0" t="s">
        <v>14</v>
      </c>
      <c r="B53" s="0" t="s">
        <v>8552</v>
      </c>
      <c r="C53" s="0" t="s">
        <v>8553</v>
      </c>
      <c r="D53" s="0" t="s">
        <v>8562</v>
      </c>
      <c r="E53" s="0" t="s">
        <v>8563</v>
      </c>
      <c r="F53" s="0" t="s">
        <v>8471</v>
      </c>
      <c r="G53" s="0" t="s">
        <v>1606</v>
      </c>
    </row>
    <row customHeight="1" ht="11.25">
      <c r="A54" s="0" t="s">
        <v>14</v>
      </c>
      <c r="B54" s="0" t="s">
        <v>8552</v>
      </c>
      <c r="C54" s="0" t="s">
        <v>8553</v>
      </c>
      <c r="D54" s="0" t="s">
        <v>8564</v>
      </c>
      <c r="E54" s="0" t="s">
        <v>8565</v>
      </c>
      <c r="F54" s="0" t="s">
        <v>8471</v>
      </c>
      <c r="G54" s="0" t="s">
        <v>1609</v>
      </c>
    </row>
    <row customHeight="1" ht="11.25">
      <c r="A55" s="0" t="s">
        <v>14</v>
      </c>
      <c r="B55" s="0" t="s">
        <v>8552</v>
      </c>
      <c r="C55" s="0" t="s">
        <v>8553</v>
      </c>
      <c r="D55" s="0" t="s">
        <v>8566</v>
      </c>
      <c r="E55" s="0" t="s">
        <v>8567</v>
      </c>
      <c r="F55" s="0" t="s">
        <v>8471</v>
      </c>
      <c r="G55" s="0" t="s">
        <v>1613</v>
      </c>
    </row>
    <row customHeight="1" ht="11.25">
      <c r="A56" s="0" t="s">
        <v>14</v>
      </c>
      <c r="B56" s="0" t="s">
        <v>8552</v>
      </c>
      <c r="C56" s="0" t="s">
        <v>8553</v>
      </c>
      <c r="D56" s="0" t="s">
        <v>8568</v>
      </c>
      <c r="E56" s="0" t="s">
        <v>8569</v>
      </c>
      <c r="F56" s="0" t="s">
        <v>8471</v>
      </c>
      <c r="G56" s="0" t="s">
        <v>1616</v>
      </c>
    </row>
    <row customHeight="1" ht="11.25">
      <c r="A57" s="0" t="s">
        <v>14</v>
      </c>
      <c r="B57" s="0" t="s">
        <v>8552</v>
      </c>
      <c r="C57" s="0" t="s">
        <v>8553</v>
      </c>
      <c r="D57" s="0" t="s">
        <v>8570</v>
      </c>
      <c r="E57" s="0" t="s">
        <v>8571</v>
      </c>
      <c r="F57" s="0" t="s">
        <v>8471</v>
      </c>
      <c r="G57" s="0" t="s">
        <v>1619</v>
      </c>
    </row>
    <row customHeight="1" ht="11.25">
      <c r="A58" s="0" t="s">
        <v>14</v>
      </c>
      <c r="B58" s="0" t="s">
        <v>8552</v>
      </c>
      <c r="C58" s="0" t="s">
        <v>8553</v>
      </c>
      <c r="D58" s="0" t="s">
        <v>8572</v>
      </c>
      <c r="E58" s="0" t="s">
        <v>8573</v>
      </c>
      <c r="F58" s="0" t="s">
        <v>8471</v>
      </c>
      <c r="G58" s="0" t="s">
        <v>1622</v>
      </c>
    </row>
    <row customHeight="1" ht="11.25">
      <c r="A59" s="0" t="s">
        <v>14</v>
      </c>
      <c r="B59" s="0" t="s">
        <v>8552</v>
      </c>
      <c r="C59" s="0" t="s">
        <v>8553</v>
      </c>
      <c r="D59" s="0" t="s">
        <v>8574</v>
      </c>
      <c r="E59" s="0" t="s">
        <v>8575</v>
      </c>
      <c r="F59" s="0" t="s">
        <v>8471</v>
      </c>
      <c r="G59" s="0" t="s">
        <v>1626</v>
      </c>
    </row>
    <row customHeight="1" ht="11.25">
      <c r="A60" s="0" t="s">
        <v>14</v>
      </c>
      <c r="B60" s="0" t="s">
        <v>8552</v>
      </c>
      <c r="C60" s="0" t="s">
        <v>8553</v>
      </c>
      <c r="D60" s="0" t="s">
        <v>8576</v>
      </c>
      <c r="E60" s="0" t="s">
        <v>8577</v>
      </c>
      <c r="F60" s="0" t="s">
        <v>8471</v>
      </c>
      <c r="G60" s="0" t="s">
        <v>1629</v>
      </c>
    </row>
    <row customHeight="1" ht="11.25">
      <c r="A61" s="0" t="s">
        <v>14</v>
      </c>
      <c r="B61" s="0" t="s">
        <v>8552</v>
      </c>
      <c r="C61" s="0" t="s">
        <v>8553</v>
      </c>
      <c r="D61" s="0" t="s">
        <v>8578</v>
      </c>
      <c r="E61" s="0" t="s">
        <v>8579</v>
      </c>
      <c r="F61" s="0" t="s">
        <v>8471</v>
      </c>
      <c r="G61" s="0" t="s">
        <v>8580</v>
      </c>
    </row>
    <row customHeight="1" ht="11.25">
      <c r="A62" s="0" t="s">
        <v>14</v>
      </c>
      <c r="B62" s="0" t="s">
        <v>8552</v>
      </c>
      <c r="C62" s="0" t="s">
        <v>8553</v>
      </c>
      <c r="D62" s="0" t="s">
        <v>8581</v>
      </c>
      <c r="E62" s="0" t="s">
        <v>8582</v>
      </c>
      <c r="F62" s="0" t="s">
        <v>8471</v>
      </c>
      <c r="G62" s="0" t="s">
        <v>8583</v>
      </c>
    </row>
    <row customHeight="1" ht="11.25">
      <c r="A63" s="0" t="s">
        <v>14</v>
      </c>
      <c r="B63" s="0" t="s">
        <v>8584</v>
      </c>
      <c r="C63" s="0" t="s">
        <v>8585</v>
      </c>
      <c r="D63" s="0" t="s">
        <v>8584</v>
      </c>
      <c r="E63" s="0" t="s">
        <v>8585</v>
      </c>
      <c r="F63" s="0" t="s">
        <v>8462</v>
      </c>
      <c r="G63" s="0" t="s">
        <v>8586</v>
      </c>
    </row>
    <row customHeight="1" ht="11.25">
      <c r="A64" s="0" t="s">
        <v>14</v>
      </c>
      <c r="B64" s="0" t="s">
        <v>8584</v>
      </c>
      <c r="C64" s="0" t="s">
        <v>8585</v>
      </c>
      <c r="D64" s="0" t="s">
        <v>8587</v>
      </c>
      <c r="E64" s="0" t="s">
        <v>8588</v>
      </c>
      <c r="F64" s="0" t="s">
        <v>8465</v>
      </c>
      <c r="G64" s="0" t="s">
        <v>8589</v>
      </c>
    </row>
    <row customHeight="1" ht="11.25">
      <c r="A65" s="0" t="s">
        <v>14</v>
      </c>
      <c r="B65" s="0" t="s">
        <v>8584</v>
      </c>
      <c r="C65" s="0" t="s">
        <v>8585</v>
      </c>
      <c r="D65" s="0" t="s">
        <v>8590</v>
      </c>
      <c r="E65" s="0" t="s">
        <v>8591</v>
      </c>
      <c r="F65" s="0" t="s">
        <v>8465</v>
      </c>
      <c r="G65" s="0" t="s">
        <v>8592</v>
      </c>
    </row>
    <row customHeight="1" ht="11.25">
      <c r="A66" s="0" t="s">
        <v>14</v>
      </c>
      <c r="B66" s="0" t="s">
        <v>8584</v>
      </c>
      <c r="C66" s="0" t="s">
        <v>8585</v>
      </c>
      <c r="D66" s="0" t="s">
        <v>8593</v>
      </c>
      <c r="E66" s="0" t="s">
        <v>8594</v>
      </c>
      <c r="F66" s="0" t="s">
        <v>8471</v>
      </c>
      <c r="G66" s="0" t="s">
        <v>8595</v>
      </c>
    </row>
    <row customHeight="1" ht="11.25">
      <c r="A67" s="0" t="s">
        <v>14</v>
      </c>
      <c r="B67" s="0" t="s">
        <v>8584</v>
      </c>
      <c r="C67" s="0" t="s">
        <v>8585</v>
      </c>
      <c r="D67" s="0" t="s">
        <v>8596</v>
      </c>
      <c r="E67" s="0" t="s">
        <v>8597</v>
      </c>
      <c r="F67" s="0" t="s">
        <v>8471</v>
      </c>
      <c r="G67" s="0" t="s">
        <v>1948</v>
      </c>
    </row>
    <row customHeight="1" ht="11.25">
      <c r="A68" s="0" t="s">
        <v>14</v>
      </c>
      <c r="B68" s="0" t="s">
        <v>8584</v>
      </c>
      <c r="C68" s="0" t="s">
        <v>8585</v>
      </c>
      <c r="D68" s="0" t="s">
        <v>8598</v>
      </c>
      <c r="E68" s="0" t="s">
        <v>8599</v>
      </c>
      <c r="F68" s="0" t="s">
        <v>8471</v>
      </c>
      <c r="G68" s="0" t="s">
        <v>8600</v>
      </c>
    </row>
    <row customHeight="1" ht="11.25">
      <c r="A69" s="0" t="s">
        <v>14</v>
      </c>
      <c r="B69" s="0" t="s">
        <v>8584</v>
      </c>
      <c r="C69" s="0" t="s">
        <v>8585</v>
      </c>
      <c r="D69" s="0" t="s">
        <v>8601</v>
      </c>
      <c r="E69" s="0" t="s">
        <v>8602</v>
      </c>
      <c r="F69" s="0" t="s">
        <v>8471</v>
      </c>
      <c r="G69" s="0" t="s">
        <v>2159</v>
      </c>
    </row>
    <row customHeight="1" ht="11.25">
      <c r="A70" s="0" t="s">
        <v>14</v>
      </c>
      <c r="B70" s="0" t="s">
        <v>8584</v>
      </c>
      <c r="C70" s="0" t="s">
        <v>8585</v>
      </c>
      <c r="D70" s="0" t="s">
        <v>8603</v>
      </c>
      <c r="E70" s="0" t="s">
        <v>8604</v>
      </c>
      <c r="F70" s="0" t="s">
        <v>8471</v>
      </c>
      <c r="G70" s="0" t="s">
        <v>8605</v>
      </c>
    </row>
    <row customHeight="1" ht="11.25">
      <c r="A71" s="0" t="s">
        <v>14</v>
      </c>
      <c r="B71" s="0" t="s">
        <v>8606</v>
      </c>
      <c r="C71" s="0" t="s">
        <v>8607</v>
      </c>
      <c r="D71" s="0" t="s">
        <v>8606</v>
      </c>
      <c r="E71" s="0" t="s">
        <v>8607</v>
      </c>
      <c r="F71" s="0" t="s">
        <v>8457</v>
      </c>
      <c r="G71" s="0" t="s">
        <v>8608</v>
      </c>
    </row>
    <row customHeight="1" ht="11.25">
      <c r="A72" s="0" t="s">
        <v>14</v>
      </c>
      <c r="B72" s="0" t="s">
        <v>8609</v>
      </c>
      <c r="C72" s="0" t="s">
        <v>8610</v>
      </c>
      <c r="D72" s="0" t="s">
        <v>8609</v>
      </c>
      <c r="E72" s="0" t="s">
        <v>8610</v>
      </c>
      <c r="F72" s="0" t="s">
        <v>8462</v>
      </c>
      <c r="G72" s="0" t="s">
        <v>8611</v>
      </c>
    </row>
    <row customHeight="1" ht="11.25">
      <c r="A73" s="0" t="s">
        <v>14</v>
      </c>
      <c r="B73" s="0" t="s">
        <v>8609</v>
      </c>
      <c r="C73" s="0" t="s">
        <v>8610</v>
      </c>
      <c r="D73" s="0" t="s">
        <v>8612</v>
      </c>
      <c r="E73" s="0" t="s">
        <v>8613</v>
      </c>
      <c r="F73" s="0" t="s">
        <v>8465</v>
      </c>
      <c r="G73" s="0" t="s">
        <v>8614</v>
      </c>
    </row>
    <row customHeight="1" ht="11.25">
      <c r="A74" s="0" t="s">
        <v>14</v>
      </c>
      <c r="B74" s="0" t="s">
        <v>8609</v>
      </c>
      <c r="C74" s="0" t="s">
        <v>8610</v>
      </c>
      <c r="D74" s="0" t="s">
        <v>8615</v>
      </c>
      <c r="E74" s="0" t="s">
        <v>8616</v>
      </c>
      <c r="F74" s="0" t="s">
        <v>8465</v>
      </c>
      <c r="G74" s="0" t="s">
        <v>8617</v>
      </c>
    </row>
    <row customHeight="1" ht="11.25">
      <c r="A75" s="0" t="s">
        <v>14</v>
      </c>
      <c r="B75" s="0" t="s">
        <v>8609</v>
      </c>
      <c r="C75" s="0" t="s">
        <v>8610</v>
      </c>
      <c r="D75" s="0" t="s">
        <v>8618</v>
      </c>
      <c r="E75" s="0" t="s">
        <v>8619</v>
      </c>
      <c r="F75" s="0" t="s">
        <v>8468</v>
      </c>
      <c r="G75" s="0" t="s">
        <v>8620</v>
      </c>
    </row>
    <row customHeight="1" ht="11.25">
      <c r="A76" s="0" t="s">
        <v>14</v>
      </c>
      <c r="B76" s="0" t="s">
        <v>8609</v>
      </c>
      <c r="C76" s="0" t="s">
        <v>8610</v>
      </c>
      <c r="D76" s="0" t="s">
        <v>8621</v>
      </c>
      <c r="E76" s="0" t="s">
        <v>8622</v>
      </c>
      <c r="F76" s="0" t="s">
        <v>8471</v>
      </c>
      <c r="G76" s="0" t="s">
        <v>8623</v>
      </c>
    </row>
    <row customHeight="1" ht="11.25">
      <c r="A77" s="0" t="s">
        <v>14</v>
      </c>
      <c r="B77" s="0" t="s">
        <v>8609</v>
      </c>
      <c r="C77" s="0" t="s">
        <v>8610</v>
      </c>
      <c r="D77" s="0" t="s">
        <v>8624</v>
      </c>
      <c r="E77" s="0" t="s">
        <v>8625</v>
      </c>
      <c r="F77" s="0" t="s">
        <v>8471</v>
      </c>
      <c r="G77" s="0" t="s">
        <v>8626</v>
      </c>
    </row>
    <row customHeight="1" ht="11.25">
      <c r="A78" s="0" t="s">
        <v>14</v>
      </c>
      <c r="B78" s="0" t="s">
        <v>8609</v>
      </c>
      <c r="C78" s="0" t="s">
        <v>8610</v>
      </c>
      <c r="D78" s="0" t="s">
        <v>8627</v>
      </c>
      <c r="E78" s="0" t="s">
        <v>8628</v>
      </c>
      <c r="F78" s="0" t="s">
        <v>8471</v>
      </c>
      <c r="G78" s="0" t="s">
        <v>8629</v>
      </c>
    </row>
    <row customHeight="1" ht="11.25">
      <c r="A79" s="0" t="s">
        <v>14</v>
      </c>
      <c r="B79" s="0" t="s">
        <v>8609</v>
      </c>
      <c r="C79" s="0" t="s">
        <v>8610</v>
      </c>
      <c r="D79" s="0" t="s">
        <v>8630</v>
      </c>
      <c r="E79" s="0" t="s">
        <v>8631</v>
      </c>
      <c r="F79" s="0" t="s">
        <v>8471</v>
      </c>
      <c r="G79" s="0" t="s">
        <v>8632</v>
      </c>
    </row>
    <row customHeight="1" ht="11.25">
      <c r="A80" s="0" t="s">
        <v>14</v>
      </c>
      <c r="B80" s="0" t="s">
        <v>8609</v>
      </c>
      <c r="C80" s="0" t="s">
        <v>8610</v>
      </c>
      <c r="D80" s="0" t="s">
        <v>8633</v>
      </c>
      <c r="E80" s="0" t="s">
        <v>8634</v>
      </c>
      <c r="F80" s="0" t="s">
        <v>8471</v>
      </c>
      <c r="G80" s="0" t="s">
        <v>8635</v>
      </c>
    </row>
    <row customHeight="1" ht="11.25">
      <c r="A81" s="0" t="s">
        <v>14</v>
      </c>
      <c r="B81" s="0" t="s">
        <v>8636</v>
      </c>
      <c r="C81" s="0" t="s">
        <v>8637</v>
      </c>
      <c r="D81" s="0" t="s">
        <v>8636</v>
      </c>
      <c r="E81" s="0" t="s">
        <v>8637</v>
      </c>
      <c r="F81" s="0" t="s">
        <v>8462</v>
      </c>
      <c r="G81" s="0" t="s">
        <v>8638</v>
      </c>
    </row>
    <row customHeight="1" ht="11.25">
      <c r="A82" s="0" t="s">
        <v>14</v>
      </c>
      <c r="B82" s="0" t="s">
        <v>8636</v>
      </c>
      <c r="C82" s="0" t="s">
        <v>8637</v>
      </c>
      <c r="D82" s="0" t="s">
        <v>8639</v>
      </c>
      <c r="E82" s="0" t="s">
        <v>8640</v>
      </c>
      <c r="F82" s="0" t="s">
        <v>8468</v>
      </c>
      <c r="G82" s="0" t="s">
        <v>8641</v>
      </c>
    </row>
    <row customHeight="1" ht="11.25">
      <c r="A83" s="0" t="s">
        <v>14</v>
      </c>
      <c r="B83" s="0" t="s">
        <v>8636</v>
      </c>
      <c r="C83" s="0" t="s">
        <v>8637</v>
      </c>
      <c r="D83" s="0" t="s">
        <v>8642</v>
      </c>
      <c r="E83" s="0" t="s">
        <v>8643</v>
      </c>
      <c r="F83" s="0" t="s">
        <v>8471</v>
      </c>
      <c r="G83" s="0" t="s">
        <v>8644</v>
      </c>
    </row>
    <row customHeight="1" ht="11.25">
      <c r="A84" s="0" t="s">
        <v>14</v>
      </c>
      <c r="B84" s="0" t="s">
        <v>8636</v>
      </c>
      <c r="C84" s="0" t="s">
        <v>8637</v>
      </c>
      <c r="D84" s="0" t="s">
        <v>8645</v>
      </c>
      <c r="E84" s="0" t="s">
        <v>8646</v>
      </c>
      <c r="F84" s="0" t="s">
        <v>8471</v>
      </c>
      <c r="G84" s="0" t="s">
        <v>8647</v>
      </c>
    </row>
    <row customHeight="1" ht="11.25">
      <c r="A85" s="0" t="s">
        <v>14</v>
      </c>
      <c r="B85" s="0" t="s">
        <v>8636</v>
      </c>
      <c r="C85" s="0" t="s">
        <v>8637</v>
      </c>
      <c r="D85" s="0" t="s">
        <v>8648</v>
      </c>
      <c r="E85" s="0" t="s">
        <v>8649</v>
      </c>
      <c r="F85" s="0" t="s">
        <v>8471</v>
      </c>
      <c r="G85" s="0" t="s">
        <v>8650</v>
      </c>
    </row>
    <row customHeight="1" ht="11.25">
      <c r="A86" s="0" t="s">
        <v>14</v>
      </c>
      <c r="B86" s="0" t="s">
        <v>8636</v>
      </c>
      <c r="C86" s="0" t="s">
        <v>8637</v>
      </c>
      <c r="D86" s="0" t="s">
        <v>8651</v>
      </c>
      <c r="E86" s="0" t="s">
        <v>8652</v>
      </c>
      <c r="F86" s="0" t="s">
        <v>8471</v>
      </c>
      <c r="G86" s="0" t="s">
        <v>8653</v>
      </c>
    </row>
    <row customHeight="1" ht="11.25">
      <c r="A87" s="0" t="s">
        <v>14</v>
      </c>
      <c r="B87" s="0" t="s">
        <v>8636</v>
      </c>
      <c r="C87" s="0" t="s">
        <v>8637</v>
      </c>
      <c r="D87" s="0" t="s">
        <v>8654</v>
      </c>
      <c r="E87" s="0" t="s">
        <v>8655</v>
      </c>
      <c r="F87" s="0" t="s">
        <v>8471</v>
      </c>
      <c r="G87" s="0" t="s">
        <v>8656</v>
      </c>
    </row>
    <row customHeight="1" ht="11.25">
      <c r="A88" s="0" t="s">
        <v>14</v>
      </c>
      <c r="B88" s="0" t="s">
        <v>8636</v>
      </c>
      <c r="C88" s="0" t="s">
        <v>8637</v>
      </c>
      <c r="D88" s="0" t="s">
        <v>8657</v>
      </c>
      <c r="E88" s="0" t="s">
        <v>8658</v>
      </c>
      <c r="F88" s="0" t="s">
        <v>8471</v>
      </c>
      <c r="G88" s="0" t="s">
        <v>8659</v>
      </c>
    </row>
    <row customHeight="1" ht="11.25">
      <c r="A89" s="0" t="s">
        <v>14</v>
      </c>
      <c r="B89" s="0" t="s">
        <v>8636</v>
      </c>
      <c r="C89" s="0" t="s">
        <v>8637</v>
      </c>
      <c r="D89" s="0" t="s">
        <v>8660</v>
      </c>
      <c r="E89" s="0" t="s">
        <v>8661</v>
      </c>
      <c r="F89" s="0" t="s">
        <v>8471</v>
      </c>
      <c r="G89" s="0" t="s">
        <v>8662</v>
      </c>
    </row>
    <row customHeight="1" ht="11.25">
      <c r="A90" s="0" t="s">
        <v>14</v>
      </c>
      <c r="B90" s="0" t="s">
        <v>8636</v>
      </c>
      <c r="C90" s="0" t="s">
        <v>8637</v>
      </c>
      <c r="D90" s="0" t="s">
        <v>8663</v>
      </c>
      <c r="E90" s="0" t="s">
        <v>8664</v>
      </c>
      <c r="F90" s="0" t="s">
        <v>8471</v>
      </c>
      <c r="G90" s="0" t="s">
        <v>8665</v>
      </c>
    </row>
    <row customHeight="1" ht="11.25">
      <c r="A91" s="0" t="s">
        <v>14</v>
      </c>
      <c r="B91" s="0" t="s">
        <v>8666</v>
      </c>
      <c r="C91" s="0" t="s">
        <v>8667</v>
      </c>
      <c r="D91" s="0" t="s">
        <v>8666</v>
      </c>
      <c r="E91" s="0" t="s">
        <v>8667</v>
      </c>
      <c r="F91" s="0" t="s">
        <v>8457</v>
      </c>
      <c r="G91" s="0" t="s">
        <v>8668</v>
      </c>
    </row>
    <row customHeight="1" ht="11.25">
      <c r="A92" s="0" t="s">
        <v>14</v>
      </c>
      <c r="B92" s="0" t="s">
        <v>8669</v>
      </c>
      <c r="C92" s="0" t="s">
        <v>8670</v>
      </c>
      <c r="D92" s="0" t="s">
        <v>8669</v>
      </c>
      <c r="E92" s="0" t="s">
        <v>8670</v>
      </c>
      <c r="F92" s="0" t="s">
        <v>8457</v>
      </c>
      <c r="G92" s="0" t="s">
        <v>8671</v>
      </c>
    </row>
    <row customHeight="1" ht="11.25">
      <c r="A93" s="0" t="s">
        <v>14</v>
      </c>
      <c r="B93" s="0" t="s">
        <v>8672</v>
      </c>
      <c r="C93" s="0" t="s">
        <v>8673</v>
      </c>
      <c r="D93" s="0" t="s">
        <v>8672</v>
      </c>
      <c r="E93" s="0" t="s">
        <v>8673</v>
      </c>
      <c r="F93" s="0" t="s">
        <v>8462</v>
      </c>
      <c r="G93" s="0" t="s">
        <v>8674</v>
      </c>
    </row>
    <row customHeight="1" ht="11.25">
      <c r="A94" s="0" t="s">
        <v>14</v>
      </c>
      <c r="B94" s="0" t="s">
        <v>8672</v>
      </c>
      <c r="C94" s="0" t="s">
        <v>8673</v>
      </c>
      <c r="D94" s="0" t="s">
        <v>8675</v>
      </c>
      <c r="E94" s="0" t="s">
        <v>8676</v>
      </c>
      <c r="F94" s="0" t="s">
        <v>8465</v>
      </c>
      <c r="G94" s="0" t="s">
        <v>8677</v>
      </c>
    </row>
    <row customHeight="1" ht="11.25">
      <c r="A95" s="0" t="s">
        <v>14</v>
      </c>
      <c r="B95" s="0" t="s">
        <v>8672</v>
      </c>
      <c r="C95" s="0" t="s">
        <v>8673</v>
      </c>
      <c r="D95" s="0" t="s">
        <v>8678</v>
      </c>
      <c r="E95" s="0" t="s">
        <v>8679</v>
      </c>
      <c r="F95" s="0" t="s">
        <v>8468</v>
      </c>
      <c r="G95" s="0" t="s">
        <v>8680</v>
      </c>
    </row>
    <row customHeight="1" ht="11.25">
      <c r="A96" s="0" t="s">
        <v>14</v>
      </c>
      <c r="B96" s="0" t="s">
        <v>8672</v>
      </c>
      <c r="C96" s="0" t="s">
        <v>8673</v>
      </c>
      <c r="D96" s="0" t="s">
        <v>8681</v>
      </c>
      <c r="E96" s="0" t="s">
        <v>8682</v>
      </c>
      <c r="F96" s="0" t="s">
        <v>8471</v>
      </c>
      <c r="G96" s="0" t="s">
        <v>8683</v>
      </c>
    </row>
    <row customHeight="1" ht="11.25">
      <c r="A97" s="0" t="s">
        <v>14</v>
      </c>
      <c r="B97" s="0" t="s">
        <v>8672</v>
      </c>
      <c r="C97" s="0" t="s">
        <v>8673</v>
      </c>
      <c r="D97" s="0" t="s">
        <v>8684</v>
      </c>
      <c r="E97" s="0" t="s">
        <v>8685</v>
      </c>
      <c r="F97" s="0" t="s">
        <v>8471</v>
      </c>
      <c r="G97" s="0" t="s">
        <v>8686</v>
      </c>
    </row>
    <row customHeight="1" ht="11.25">
      <c r="A98" s="0" t="s">
        <v>14</v>
      </c>
      <c r="B98" s="0" t="s">
        <v>8687</v>
      </c>
      <c r="C98" s="0" t="s">
        <v>8688</v>
      </c>
      <c r="D98" s="0" t="s">
        <v>8687</v>
      </c>
      <c r="E98" s="0" t="s">
        <v>8688</v>
      </c>
      <c r="F98" s="0" t="s">
        <v>8457</v>
      </c>
      <c r="G98" s="0" t="s">
        <v>8689</v>
      </c>
    </row>
    <row customHeight="1" ht="11.25">
      <c r="A99" s="0" t="s">
        <v>14</v>
      </c>
      <c r="B99" s="0" t="s">
        <v>8690</v>
      </c>
      <c r="C99" s="0" t="s">
        <v>8691</v>
      </c>
      <c r="D99" s="0" t="s">
        <v>8690</v>
      </c>
      <c r="E99" s="0" t="s">
        <v>8691</v>
      </c>
      <c r="F99" s="0" t="s">
        <v>8462</v>
      </c>
      <c r="G99" s="0" t="s">
        <v>8692</v>
      </c>
    </row>
    <row customHeight="1" ht="11.25">
      <c r="A100" s="0" t="s">
        <v>14</v>
      </c>
      <c r="B100" s="0" t="s">
        <v>8690</v>
      </c>
      <c r="C100" s="0" t="s">
        <v>8691</v>
      </c>
      <c r="D100" s="0" t="s">
        <v>8693</v>
      </c>
      <c r="E100" s="0" t="s">
        <v>8694</v>
      </c>
      <c r="F100" s="0" t="s">
        <v>8465</v>
      </c>
      <c r="G100" s="0" t="s">
        <v>8695</v>
      </c>
    </row>
    <row customHeight="1" ht="11.25">
      <c r="A101" s="0" t="s">
        <v>14</v>
      </c>
      <c r="B101" s="0" t="s">
        <v>8690</v>
      </c>
      <c r="C101" s="0" t="s">
        <v>8691</v>
      </c>
      <c r="D101" s="0" t="s">
        <v>8696</v>
      </c>
      <c r="E101" s="0" t="s">
        <v>8697</v>
      </c>
      <c r="F101" s="0" t="s">
        <v>8468</v>
      </c>
      <c r="G101" s="0" t="s">
        <v>8698</v>
      </c>
    </row>
    <row customHeight="1" ht="11.25">
      <c r="A102" s="0" t="s">
        <v>14</v>
      </c>
      <c r="B102" s="0" t="s">
        <v>8690</v>
      </c>
      <c r="C102" s="0" t="s">
        <v>8691</v>
      </c>
      <c r="D102" s="0" t="s">
        <v>8699</v>
      </c>
      <c r="E102" s="0" t="s">
        <v>8700</v>
      </c>
      <c r="F102" s="0" t="s">
        <v>8471</v>
      </c>
      <c r="G102" s="0" t="s">
        <v>8701</v>
      </c>
    </row>
    <row customHeight="1" ht="11.25">
      <c r="A103" s="0" t="s">
        <v>14</v>
      </c>
      <c r="B103" s="0" t="s">
        <v>8690</v>
      </c>
      <c r="C103" s="0" t="s">
        <v>8691</v>
      </c>
      <c r="D103" s="0" t="s">
        <v>8702</v>
      </c>
      <c r="E103" s="0" t="s">
        <v>8703</v>
      </c>
      <c r="F103" s="0" t="s">
        <v>8471</v>
      </c>
      <c r="G103" s="0" t="s">
        <v>8704</v>
      </c>
    </row>
    <row customHeight="1" ht="11.25">
      <c r="A104" s="0" t="s">
        <v>14</v>
      </c>
      <c r="B104" s="0" t="s">
        <v>8690</v>
      </c>
      <c r="C104" s="0" t="s">
        <v>8691</v>
      </c>
      <c r="D104" s="0" t="s">
        <v>8705</v>
      </c>
      <c r="E104" s="0" t="s">
        <v>8706</v>
      </c>
      <c r="F104" s="0" t="s">
        <v>8471</v>
      </c>
      <c r="G104" s="0" t="s">
        <v>8707</v>
      </c>
    </row>
    <row customHeight="1" ht="11.25">
      <c r="A105" s="0" t="s">
        <v>14</v>
      </c>
      <c r="B105" s="0" t="s">
        <v>8690</v>
      </c>
      <c r="C105" s="0" t="s">
        <v>8691</v>
      </c>
      <c r="D105" s="0" t="s">
        <v>8708</v>
      </c>
      <c r="E105" s="0" t="s">
        <v>8709</v>
      </c>
      <c r="F105" s="0" t="s">
        <v>8471</v>
      </c>
      <c r="G105" s="0" t="s">
        <v>8710</v>
      </c>
    </row>
    <row customHeight="1" ht="11.25">
      <c r="A106" s="0" t="s">
        <v>14</v>
      </c>
      <c r="B106" s="0" t="s">
        <v>8690</v>
      </c>
      <c r="C106" s="0" t="s">
        <v>8691</v>
      </c>
      <c r="D106" s="0" t="s">
        <v>8711</v>
      </c>
      <c r="E106" s="0" t="s">
        <v>8712</v>
      </c>
      <c r="F106" s="0" t="s">
        <v>8471</v>
      </c>
      <c r="G106" s="0" t="s">
        <v>8713</v>
      </c>
    </row>
    <row customHeight="1" ht="11.25">
      <c r="A107" s="0" t="s">
        <v>14</v>
      </c>
      <c r="B107" s="0" t="s">
        <v>8714</v>
      </c>
      <c r="C107" s="0" t="s">
        <v>8715</v>
      </c>
      <c r="D107" s="0" t="s">
        <v>8714</v>
      </c>
      <c r="E107" s="0" t="s">
        <v>8715</v>
      </c>
      <c r="F107" s="0" t="s">
        <v>8457</v>
      </c>
      <c r="G107" s="0" t="s">
        <v>8716</v>
      </c>
    </row>
    <row customHeight="1" ht="11.25">
      <c r="A108" s="0" t="s">
        <v>14</v>
      </c>
      <c r="B108" s="0" t="s">
        <v>8717</v>
      </c>
      <c r="C108" s="0" t="s">
        <v>8718</v>
      </c>
      <c r="D108" s="0" t="s">
        <v>8717</v>
      </c>
      <c r="E108" s="0" t="s">
        <v>8718</v>
      </c>
      <c r="F108" s="0" t="s">
        <v>8457</v>
      </c>
      <c r="G108" s="0" t="s">
        <v>8719</v>
      </c>
    </row>
    <row customHeight="1" ht="11.25">
      <c r="A109" s="0" t="s">
        <v>14</v>
      </c>
      <c r="B109" s="0" t="s">
        <v>8720</v>
      </c>
      <c r="C109" s="0" t="s">
        <v>8721</v>
      </c>
      <c r="D109" s="0" t="s">
        <v>8720</v>
      </c>
      <c r="E109" s="0" t="s">
        <v>8721</v>
      </c>
      <c r="F109" s="0" t="s">
        <v>8462</v>
      </c>
      <c r="G109" s="0" t="s">
        <v>8722</v>
      </c>
    </row>
    <row customHeight="1" ht="11.25">
      <c r="A110" s="0" t="s">
        <v>14</v>
      </c>
      <c r="B110" s="0" t="s">
        <v>8720</v>
      </c>
      <c r="C110" s="0" t="s">
        <v>8721</v>
      </c>
      <c r="D110" s="0" t="s">
        <v>8723</v>
      </c>
      <c r="E110" s="0" t="s">
        <v>8724</v>
      </c>
      <c r="F110" s="0" t="s">
        <v>8468</v>
      </c>
      <c r="G110" s="0" t="s">
        <v>8725</v>
      </c>
    </row>
    <row customHeight="1" ht="11.25">
      <c r="A111" s="0" t="s">
        <v>14</v>
      </c>
      <c r="B111" s="0" t="s">
        <v>8720</v>
      </c>
      <c r="C111" s="0" t="s">
        <v>8721</v>
      </c>
      <c r="D111" s="0" t="s">
        <v>8726</v>
      </c>
      <c r="E111" s="0" t="s">
        <v>8727</v>
      </c>
      <c r="F111" s="0" t="s">
        <v>8471</v>
      </c>
      <c r="G111" s="0" t="s">
        <v>8728</v>
      </c>
    </row>
    <row customHeight="1" ht="11.25">
      <c r="A112" s="0" t="s">
        <v>14</v>
      </c>
      <c r="B112" s="0" t="s">
        <v>8720</v>
      </c>
      <c r="C112" s="0" t="s">
        <v>8721</v>
      </c>
      <c r="D112" s="0" t="s">
        <v>8729</v>
      </c>
      <c r="E112" s="0" t="s">
        <v>8730</v>
      </c>
      <c r="F112" s="0" t="s">
        <v>8471</v>
      </c>
      <c r="G112" s="0" t="s">
        <v>8731</v>
      </c>
    </row>
    <row customHeight="1" ht="11.25">
      <c r="A113" s="0" t="s">
        <v>14</v>
      </c>
      <c r="B113" s="0" t="s">
        <v>8732</v>
      </c>
      <c r="C113" s="0" t="s">
        <v>8733</v>
      </c>
      <c r="D113" s="0" t="s">
        <v>8732</v>
      </c>
      <c r="E113" s="0" t="s">
        <v>8733</v>
      </c>
      <c r="F113" s="0" t="s">
        <v>8462</v>
      </c>
      <c r="G113" s="0" t="s">
        <v>8734</v>
      </c>
    </row>
    <row customHeight="1" ht="11.25">
      <c r="A114" s="0" t="s">
        <v>14</v>
      </c>
      <c r="B114" s="0" t="s">
        <v>8732</v>
      </c>
      <c r="C114" s="0" t="s">
        <v>8733</v>
      </c>
      <c r="D114" s="0" t="s">
        <v>8735</v>
      </c>
      <c r="E114" s="0" t="s">
        <v>8736</v>
      </c>
      <c r="F114" s="0" t="s">
        <v>8468</v>
      </c>
      <c r="G114" s="0" t="s">
        <v>8737</v>
      </c>
    </row>
    <row customHeight="1" ht="11.25">
      <c r="A115" s="0" t="s">
        <v>14</v>
      </c>
      <c r="B115" s="0" t="s">
        <v>8732</v>
      </c>
      <c r="C115" s="0" t="s">
        <v>8733</v>
      </c>
      <c r="D115" s="0" t="s">
        <v>8738</v>
      </c>
      <c r="E115" s="0" t="s">
        <v>8739</v>
      </c>
      <c r="F115" s="0" t="s">
        <v>8465</v>
      </c>
      <c r="G115" s="0" t="s">
        <v>8740</v>
      </c>
    </row>
    <row customHeight="1" ht="11.25">
      <c r="A116" s="0" t="s">
        <v>14</v>
      </c>
      <c r="B116" s="0" t="s">
        <v>8732</v>
      </c>
      <c r="C116" s="0" t="s">
        <v>8733</v>
      </c>
      <c r="D116" s="0" t="s">
        <v>8741</v>
      </c>
      <c r="E116" s="0" t="s">
        <v>8742</v>
      </c>
      <c r="F116" s="0" t="s">
        <v>8471</v>
      </c>
      <c r="G116" s="0" t="s">
        <v>8743</v>
      </c>
    </row>
    <row customHeight="1" ht="11.25">
      <c r="A117" s="0" t="s">
        <v>14</v>
      </c>
      <c r="B117" s="0" t="s">
        <v>8732</v>
      </c>
      <c r="C117" s="0" t="s">
        <v>8733</v>
      </c>
      <c r="D117" s="0" t="s">
        <v>8744</v>
      </c>
      <c r="E117" s="0" t="s">
        <v>8745</v>
      </c>
      <c r="F117" s="0" t="s">
        <v>8471</v>
      </c>
      <c r="G117" s="0" t="s">
        <v>8746</v>
      </c>
    </row>
    <row customHeight="1" ht="11.25">
      <c r="A118" s="0" t="s">
        <v>14</v>
      </c>
      <c r="B118" s="0" t="s">
        <v>8732</v>
      </c>
      <c r="C118" s="0" t="s">
        <v>8733</v>
      </c>
      <c r="D118" s="0" t="s">
        <v>8747</v>
      </c>
      <c r="E118" s="0" t="s">
        <v>8748</v>
      </c>
      <c r="F118" s="0" t="s">
        <v>8471</v>
      </c>
      <c r="G118" s="0" t="s">
        <v>8749</v>
      </c>
    </row>
    <row customHeight="1" ht="11.25">
      <c r="A119" s="0" t="s">
        <v>14</v>
      </c>
      <c r="B119" s="0" t="s">
        <v>8732</v>
      </c>
      <c r="C119" s="0" t="s">
        <v>8733</v>
      </c>
      <c r="D119" s="0" t="s">
        <v>8750</v>
      </c>
      <c r="E119" s="0" t="s">
        <v>8751</v>
      </c>
      <c r="F119" s="0" t="s">
        <v>8471</v>
      </c>
      <c r="G119" s="0" t="s">
        <v>8752</v>
      </c>
    </row>
    <row customHeight="1" ht="11.25">
      <c r="A120" s="0" t="s">
        <v>14</v>
      </c>
      <c r="B120" s="0" t="s">
        <v>8732</v>
      </c>
      <c r="C120" s="0" t="s">
        <v>8733</v>
      </c>
      <c r="D120" s="0" t="s">
        <v>8753</v>
      </c>
      <c r="E120" s="0" t="s">
        <v>8754</v>
      </c>
      <c r="F120" s="0" t="s">
        <v>8471</v>
      </c>
      <c r="G120" s="0" t="s">
        <v>8755</v>
      </c>
    </row>
    <row customHeight="1" ht="11.25">
      <c r="A121" s="0" t="s">
        <v>14</v>
      </c>
      <c r="B121" s="0" t="s">
        <v>8732</v>
      </c>
      <c r="C121" s="0" t="s">
        <v>8733</v>
      </c>
      <c r="D121" s="0" t="s">
        <v>8756</v>
      </c>
      <c r="E121" s="0" t="s">
        <v>8757</v>
      </c>
      <c r="F121" s="0" t="s">
        <v>8471</v>
      </c>
      <c r="G121" s="0" t="s">
        <v>8758</v>
      </c>
    </row>
    <row customHeight="1" ht="11.25">
      <c r="A122" s="0" t="s">
        <v>14</v>
      </c>
      <c r="B122" s="0" t="s">
        <v>8759</v>
      </c>
      <c r="C122" s="0" t="s">
        <v>8760</v>
      </c>
      <c r="D122" s="0" t="s">
        <v>8759</v>
      </c>
      <c r="E122" s="0" t="s">
        <v>8760</v>
      </c>
      <c r="F122" s="0" t="s">
        <v>8457</v>
      </c>
      <c r="G122" s="0" t="s">
        <v>8761</v>
      </c>
    </row>
    <row customHeight="1" ht="11.25">
      <c r="A123" s="0" t="s">
        <v>14</v>
      </c>
      <c r="B123" s="0" t="s">
        <v>8762</v>
      </c>
      <c r="C123" s="0" t="s">
        <v>8763</v>
      </c>
      <c r="D123" s="0" t="s">
        <v>8762</v>
      </c>
      <c r="E123" s="0" t="s">
        <v>8763</v>
      </c>
      <c r="F123" s="0" t="s">
        <v>8462</v>
      </c>
      <c r="G123" s="0" t="s">
        <v>8764</v>
      </c>
    </row>
    <row customHeight="1" ht="11.25">
      <c r="A124" s="0" t="s">
        <v>14</v>
      </c>
      <c r="B124" s="0" t="s">
        <v>8762</v>
      </c>
      <c r="C124" s="0" t="s">
        <v>8763</v>
      </c>
      <c r="D124" s="0" t="s">
        <v>8765</v>
      </c>
      <c r="E124" s="0" t="s">
        <v>8766</v>
      </c>
      <c r="F124" s="0" t="s">
        <v>8468</v>
      </c>
      <c r="G124" s="0" t="s">
        <v>8767</v>
      </c>
    </row>
    <row customHeight="1" ht="11.25">
      <c r="A125" s="0" t="s">
        <v>14</v>
      </c>
      <c r="B125" s="0" t="s">
        <v>8762</v>
      </c>
      <c r="C125" s="0" t="s">
        <v>8763</v>
      </c>
      <c r="D125" s="0" t="s">
        <v>8768</v>
      </c>
      <c r="E125" s="0" t="s">
        <v>8769</v>
      </c>
      <c r="F125" s="0" t="s">
        <v>8465</v>
      </c>
      <c r="G125" s="0" t="s">
        <v>8770</v>
      </c>
    </row>
    <row customHeight="1" ht="11.25">
      <c r="A126" s="0" t="s">
        <v>14</v>
      </c>
      <c r="B126" s="0" t="s">
        <v>8762</v>
      </c>
      <c r="C126" s="0" t="s">
        <v>8763</v>
      </c>
      <c r="D126" s="0" t="s">
        <v>8771</v>
      </c>
      <c r="E126" s="0" t="s">
        <v>8772</v>
      </c>
      <c r="F126" s="0" t="s">
        <v>8468</v>
      </c>
      <c r="G126" s="0" t="s">
        <v>8773</v>
      </c>
    </row>
    <row customHeight="1" ht="11.25">
      <c r="A127" s="0" t="s">
        <v>14</v>
      </c>
      <c r="B127" s="0" t="s">
        <v>8762</v>
      </c>
      <c r="C127" s="0" t="s">
        <v>8763</v>
      </c>
      <c r="D127" s="0" t="s">
        <v>8774</v>
      </c>
      <c r="E127" s="0" t="s">
        <v>8775</v>
      </c>
      <c r="F127" s="0" t="s">
        <v>8468</v>
      </c>
      <c r="G127" s="0" t="s">
        <v>8776</v>
      </c>
    </row>
    <row customHeight="1" ht="11.25">
      <c r="A128" s="0" t="s">
        <v>14</v>
      </c>
      <c r="B128" s="0" t="s">
        <v>8762</v>
      </c>
      <c r="C128" s="0" t="s">
        <v>8763</v>
      </c>
      <c r="D128" s="0" t="s">
        <v>8777</v>
      </c>
      <c r="E128" s="0" t="s">
        <v>8778</v>
      </c>
      <c r="F128" s="0" t="s">
        <v>8468</v>
      </c>
      <c r="G128" s="0" t="s">
        <v>8779</v>
      </c>
    </row>
    <row customHeight="1" ht="11.25">
      <c r="A129" s="0" t="s">
        <v>14</v>
      </c>
      <c r="B129" s="0" t="s">
        <v>8780</v>
      </c>
      <c r="C129" s="0" t="s">
        <v>8781</v>
      </c>
      <c r="D129" s="0" t="s">
        <v>8780</v>
      </c>
      <c r="E129" s="0" t="s">
        <v>8781</v>
      </c>
      <c r="F129" s="0" t="s">
        <v>8457</v>
      </c>
      <c r="G129" s="0" t="s">
        <v>8782</v>
      </c>
    </row>
    <row customHeight="1" ht="11.25">
      <c r="A130" s="0" t="s">
        <v>14</v>
      </c>
      <c r="B130" s="0" t="s">
        <v>8783</v>
      </c>
      <c r="C130" s="0" t="s">
        <v>8784</v>
      </c>
      <c r="D130" s="0" t="s">
        <v>8783</v>
      </c>
      <c r="E130" s="0" t="s">
        <v>8784</v>
      </c>
      <c r="F130" s="0" t="s">
        <v>8457</v>
      </c>
      <c r="G130" s="0" t="s">
        <v>8785</v>
      </c>
    </row>
    <row customHeight="1" ht="11.25">
      <c r="A131" s="0" t="s">
        <v>14</v>
      </c>
      <c r="B131" s="0" t="s">
        <v>8786</v>
      </c>
      <c r="C131" s="0" t="s">
        <v>8787</v>
      </c>
      <c r="D131" s="0" t="s">
        <v>8786</v>
      </c>
      <c r="E131" s="0" t="s">
        <v>8787</v>
      </c>
      <c r="F131" s="0" t="s">
        <v>8462</v>
      </c>
      <c r="G131" s="0" t="s">
        <v>8788</v>
      </c>
    </row>
    <row customHeight="1" ht="11.25">
      <c r="A132" s="0" t="s">
        <v>14</v>
      </c>
      <c r="B132" s="0" t="s">
        <v>8786</v>
      </c>
      <c r="C132" s="0" t="s">
        <v>8787</v>
      </c>
      <c r="D132" s="0" t="s">
        <v>8789</v>
      </c>
      <c r="E132" s="0" t="s">
        <v>8790</v>
      </c>
      <c r="F132" s="0" t="s">
        <v>8465</v>
      </c>
      <c r="G132" s="0" t="s">
        <v>8791</v>
      </c>
    </row>
    <row customHeight="1" ht="11.25">
      <c r="A133" s="0" t="s">
        <v>14</v>
      </c>
      <c r="B133" s="0" t="s">
        <v>8786</v>
      </c>
      <c r="C133" s="0" t="s">
        <v>8787</v>
      </c>
      <c r="D133" s="0" t="s">
        <v>8792</v>
      </c>
      <c r="E133" s="0" t="s">
        <v>8793</v>
      </c>
      <c r="F133" s="0" t="s">
        <v>8468</v>
      </c>
      <c r="G133" s="0" t="s">
        <v>8794</v>
      </c>
    </row>
    <row customHeight="1" ht="11.25">
      <c r="A134" s="0" t="s">
        <v>14</v>
      </c>
      <c r="B134" s="0" t="s">
        <v>8786</v>
      </c>
      <c r="C134" s="0" t="s">
        <v>8787</v>
      </c>
      <c r="D134" s="0" t="s">
        <v>8795</v>
      </c>
      <c r="E134" s="0" t="s">
        <v>8796</v>
      </c>
      <c r="F134" s="0" t="s">
        <v>8471</v>
      </c>
      <c r="G134" s="0" t="s">
        <v>8797</v>
      </c>
    </row>
    <row customHeight="1" ht="11.25">
      <c r="A135" s="0" t="s">
        <v>14</v>
      </c>
      <c r="B135" s="0" t="s">
        <v>8786</v>
      </c>
      <c r="C135" s="0" t="s">
        <v>8787</v>
      </c>
      <c r="D135" s="0" t="s">
        <v>8798</v>
      </c>
      <c r="E135" s="0" t="s">
        <v>8799</v>
      </c>
      <c r="F135" s="0" t="s">
        <v>8471</v>
      </c>
      <c r="G135" s="0" t="s">
        <v>8800</v>
      </c>
    </row>
    <row customHeight="1" ht="11.25">
      <c r="A136" s="0" t="s">
        <v>14</v>
      </c>
      <c r="B136" s="0" t="s">
        <v>8786</v>
      </c>
      <c r="C136" s="0" t="s">
        <v>8787</v>
      </c>
      <c r="D136" s="0" t="s">
        <v>8801</v>
      </c>
      <c r="E136" s="0" t="s">
        <v>8802</v>
      </c>
      <c r="F136" s="0" t="s">
        <v>8471</v>
      </c>
      <c r="G136" s="0" t="s">
        <v>8803</v>
      </c>
    </row>
    <row customHeight="1" ht="11.25">
      <c r="A137" s="0" t="s">
        <v>14</v>
      </c>
      <c r="B137" s="0" t="s">
        <v>8786</v>
      </c>
      <c r="C137" s="0" t="s">
        <v>8787</v>
      </c>
      <c r="D137" s="0" t="s">
        <v>8804</v>
      </c>
      <c r="E137" s="0" t="s">
        <v>8805</v>
      </c>
      <c r="F137" s="0" t="s">
        <v>8471</v>
      </c>
      <c r="G137" s="0" t="s">
        <v>8806</v>
      </c>
    </row>
    <row customHeight="1" ht="11.25">
      <c r="A138" s="0" t="s">
        <v>14</v>
      </c>
      <c r="B138" s="0" t="s">
        <v>8786</v>
      </c>
      <c r="C138" s="0" t="s">
        <v>8787</v>
      </c>
      <c r="D138" s="0" t="s">
        <v>8807</v>
      </c>
      <c r="E138" s="0" t="s">
        <v>8808</v>
      </c>
      <c r="F138" s="0" t="s">
        <v>8471</v>
      </c>
      <c r="G138" s="0" t="s">
        <v>8809</v>
      </c>
    </row>
    <row customHeight="1" ht="11.25">
      <c r="A139" s="0" t="s">
        <v>14</v>
      </c>
      <c r="B139" s="0" t="s">
        <v>8786</v>
      </c>
      <c r="C139" s="0" t="s">
        <v>8787</v>
      </c>
      <c r="D139" s="0" t="s">
        <v>8810</v>
      </c>
      <c r="E139" s="0" t="s">
        <v>8811</v>
      </c>
      <c r="F139" s="0" t="s">
        <v>8471</v>
      </c>
      <c r="G139" s="0" t="s">
        <v>8812</v>
      </c>
    </row>
    <row customHeight="1" ht="11.25">
      <c r="A140" s="0" t="s">
        <v>14</v>
      </c>
      <c r="B140" s="0" t="s">
        <v>8786</v>
      </c>
      <c r="C140" s="0" t="s">
        <v>8787</v>
      </c>
      <c r="D140" s="0" t="s">
        <v>8813</v>
      </c>
      <c r="E140" s="0" t="s">
        <v>8814</v>
      </c>
      <c r="F140" s="0" t="s">
        <v>8471</v>
      </c>
      <c r="G140" s="0" t="s">
        <v>8815</v>
      </c>
    </row>
    <row customHeight="1" ht="11.25">
      <c r="A141" s="0" t="s">
        <v>14</v>
      </c>
      <c r="B141" s="0" t="s">
        <v>8786</v>
      </c>
      <c r="C141" s="0" t="s">
        <v>8787</v>
      </c>
      <c r="D141" s="0" t="s">
        <v>8816</v>
      </c>
      <c r="E141" s="0" t="s">
        <v>8817</v>
      </c>
      <c r="F141" s="0" t="s">
        <v>8471</v>
      </c>
      <c r="G141" s="0" t="s">
        <v>8818</v>
      </c>
    </row>
    <row customHeight="1" ht="11.25">
      <c r="A142" s="0" t="s">
        <v>14</v>
      </c>
      <c r="B142" s="0" t="s">
        <v>8786</v>
      </c>
      <c r="C142" s="0" t="s">
        <v>8787</v>
      </c>
      <c r="D142" s="0" t="s">
        <v>8819</v>
      </c>
      <c r="E142" s="0" t="s">
        <v>8820</v>
      </c>
      <c r="F142" s="0" t="s">
        <v>8471</v>
      </c>
      <c r="G142" s="0" t="s">
        <v>8821</v>
      </c>
    </row>
    <row customHeight="1" ht="11.25">
      <c r="A143" s="0" t="s">
        <v>14</v>
      </c>
      <c r="B143" s="0" t="s">
        <v>8822</v>
      </c>
      <c r="C143" s="0" t="s">
        <v>8823</v>
      </c>
      <c r="D143" s="0" t="s">
        <v>8822</v>
      </c>
      <c r="E143" s="0" t="s">
        <v>8823</v>
      </c>
      <c r="F143" s="0" t="s">
        <v>8462</v>
      </c>
      <c r="G143" s="0" t="s">
        <v>8824</v>
      </c>
    </row>
    <row customHeight="1" ht="11.25">
      <c r="A144" s="0" t="s">
        <v>14</v>
      </c>
      <c r="B144" s="0" t="s">
        <v>8822</v>
      </c>
      <c r="C144" s="0" t="s">
        <v>8823</v>
      </c>
      <c r="D144" s="0" t="s">
        <v>8825</v>
      </c>
      <c r="E144" s="0" t="s">
        <v>8826</v>
      </c>
      <c r="F144" s="0" t="s">
        <v>8465</v>
      </c>
      <c r="G144" s="0" t="s">
        <v>8827</v>
      </c>
    </row>
    <row customHeight="1" ht="11.25">
      <c r="A145" s="0" t="s">
        <v>14</v>
      </c>
      <c r="B145" s="0" t="s">
        <v>8822</v>
      </c>
      <c r="C145" s="0" t="s">
        <v>8823</v>
      </c>
      <c r="D145" s="0" t="s">
        <v>8828</v>
      </c>
      <c r="E145" s="0" t="s">
        <v>8829</v>
      </c>
      <c r="F145" s="0" t="s">
        <v>8468</v>
      </c>
      <c r="G145" s="0" t="s">
        <v>8830</v>
      </c>
    </row>
    <row customHeight="1" ht="11.25">
      <c r="A146" s="0" t="s">
        <v>14</v>
      </c>
      <c r="B146" s="0" t="s">
        <v>8822</v>
      </c>
      <c r="C146" s="0" t="s">
        <v>8823</v>
      </c>
      <c r="D146" s="0" t="s">
        <v>8831</v>
      </c>
      <c r="E146" s="0" t="s">
        <v>8832</v>
      </c>
      <c r="F146" s="0" t="s">
        <v>8471</v>
      </c>
      <c r="G146" s="0" t="s">
        <v>8833</v>
      </c>
    </row>
    <row customHeight="1" ht="11.25">
      <c r="A147" s="0" t="s">
        <v>14</v>
      </c>
      <c r="B147" s="0" t="s">
        <v>8834</v>
      </c>
      <c r="C147" s="0" t="s">
        <v>8835</v>
      </c>
      <c r="D147" s="0" t="s">
        <v>8834</v>
      </c>
      <c r="E147" s="0" t="s">
        <v>8835</v>
      </c>
      <c r="F147" s="0" t="s">
        <v>8457</v>
      </c>
      <c r="G147" s="0" t="s">
        <v>8836</v>
      </c>
    </row>
    <row customHeight="1" ht="11.25">
      <c r="A148" s="0" t="s">
        <v>14</v>
      </c>
      <c r="B148" s="0" t="s">
        <v>8837</v>
      </c>
      <c r="C148" s="0" t="s">
        <v>8838</v>
      </c>
      <c r="D148" s="0" t="s">
        <v>8839</v>
      </c>
      <c r="E148" s="0" t="s">
        <v>8840</v>
      </c>
      <c r="F148" s="0" t="s">
        <v>8465</v>
      </c>
      <c r="G148" s="0" t="s">
        <v>8841</v>
      </c>
    </row>
    <row customHeight="1" ht="11.25">
      <c r="A149" s="0" t="s">
        <v>14</v>
      </c>
      <c r="B149" s="0" t="s">
        <v>8837</v>
      </c>
      <c r="C149" s="0" t="s">
        <v>8838</v>
      </c>
      <c r="D149" s="0" t="s">
        <v>8837</v>
      </c>
      <c r="E149" s="0" t="s">
        <v>8838</v>
      </c>
      <c r="F149" s="0" t="s">
        <v>8462</v>
      </c>
      <c r="G149" s="0" t="s">
        <v>8842</v>
      </c>
    </row>
    <row customHeight="1" ht="11.25">
      <c r="A150" s="0" t="s">
        <v>14</v>
      </c>
      <c r="B150" s="0" t="s">
        <v>8837</v>
      </c>
      <c r="C150" s="0" t="s">
        <v>8838</v>
      </c>
      <c r="D150" s="0" t="s">
        <v>8843</v>
      </c>
      <c r="E150" s="0" t="s">
        <v>8844</v>
      </c>
      <c r="F150" s="0" t="s">
        <v>8465</v>
      </c>
      <c r="G150" s="0" t="s">
        <v>8845</v>
      </c>
    </row>
    <row customHeight="1" ht="11.25">
      <c r="A151" s="0" t="s">
        <v>14</v>
      </c>
      <c r="B151" s="0" t="s">
        <v>8837</v>
      </c>
      <c r="C151" s="0" t="s">
        <v>8838</v>
      </c>
      <c r="D151" s="0" t="s">
        <v>8846</v>
      </c>
      <c r="E151" s="0" t="s">
        <v>8847</v>
      </c>
      <c r="F151" s="0" t="s">
        <v>8465</v>
      </c>
      <c r="G151" s="0" t="s">
        <v>8848</v>
      </c>
    </row>
    <row customHeight="1" ht="11.25">
      <c r="A152" s="0" t="s">
        <v>14</v>
      </c>
      <c r="B152" s="0" t="s">
        <v>8837</v>
      </c>
      <c r="C152" s="0" t="s">
        <v>8838</v>
      </c>
      <c r="D152" s="0" t="s">
        <v>8849</v>
      </c>
      <c r="E152" s="0" t="s">
        <v>8850</v>
      </c>
      <c r="F152" s="0" t="s">
        <v>8468</v>
      </c>
      <c r="G152" s="0" t="s">
        <v>8851</v>
      </c>
    </row>
    <row customHeight="1" ht="11.25">
      <c r="A153" s="0" t="s">
        <v>14</v>
      </c>
      <c r="B153" s="0" t="s">
        <v>8837</v>
      </c>
      <c r="C153" s="0" t="s">
        <v>8838</v>
      </c>
      <c r="D153" s="0" t="s">
        <v>8852</v>
      </c>
      <c r="E153" s="0" t="s">
        <v>8853</v>
      </c>
      <c r="F153" s="0" t="s">
        <v>8468</v>
      </c>
      <c r="G153" s="0" t="s">
        <v>8854</v>
      </c>
    </row>
    <row customHeight="1" ht="11.25">
      <c r="A154" s="0" t="s">
        <v>14</v>
      </c>
      <c r="B154" s="0" t="s">
        <v>8837</v>
      </c>
      <c r="C154" s="0" t="s">
        <v>8838</v>
      </c>
      <c r="D154" s="0" t="s">
        <v>8855</v>
      </c>
      <c r="E154" s="0" t="s">
        <v>8856</v>
      </c>
      <c r="F154" s="0" t="s">
        <v>8471</v>
      </c>
      <c r="G154" s="0" t="s">
        <v>8857</v>
      </c>
    </row>
    <row customHeight="1" ht="11.25">
      <c r="A155" s="0" t="s">
        <v>14</v>
      </c>
      <c r="B155" s="0" t="s">
        <v>8837</v>
      </c>
      <c r="C155" s="0" t="s">
        <v>8838</v>
      </c>
      <c r="D155" s="0" t="s">
        <v>8858</v>
      </c>
      <c r="E155" s="0" t="s">
        <v>8859</v>
      </c>
      <c r="F155" s="0" t="s">
        <v>8471</v>
      </c>
      <c r="G155" s="0" t="s">
        <v>8860</v>
      </c>
    </row>
    <row customHeight="1" ht="11.25">
      <c r="A156" s="0" t="s">
        <v>14</v>
      </c>
      <c r="B156" s="0" t="s">
        <v>8837</v>
      </c>
      <c r="C156" s="0" t="s">
        <v>8838</v>
      </c>
      <c r="D156" s="0" t="s">
        <v>8861</v>
      </c>
      <c r="E156" s="0" t="s">
        <v>8862</v>
      </c>
      <c r="F156" s="0" t="s">
        <v>8471</v>
      </c>
      <c r="G156" s="0" t="s">
        <v>8863</v>
      </c>
    </row>
    <row customHeight="1" ht="11.25">
      <c r="A157" s="0" t="s">
        <v>14</v>
      </c>
      <c r="B157" s="0" t="s">
        <v>8837</v>
      </c>
      <c r="C157" s="0" t="s">
        <v>8838</v>
      </c>
      <c r="D157" s="0" t="s">
        <v>8864</v>
      </c>
      <c r="E157" s="0" t="s">
        <v>8865</v>
      </c>
      <c r="F157" s="0" t="s">
        <v>8471</v>
      </c>
      <c r="G157" s="0" t="s">
        <v>8866</v>
      </c>
    </row>
    <row customHeight="1" ht="11.25">
      <c r="A158" s="0" t="s">
        <v>14</v>
      </c>
      <c r="B158" s="0" t="s">
        <v>8867</v>
      </c>
      <c r="C158" s="0" t="s">
        <v>8868</v>
      </c>
      <c r="D158" s="0" t="s">
        <v>8867</v>
      </c>
      <c r="E158" s="0" t="s">
        <v>8868</v>
      </c>
      <c r="F158" s="0" t="s">
        <v>8462</v>
      </c>
      <c r="G158" s="0" t="s">
        <v>8869</v>
      </c>
    </row>
    <row customHeight="1" ht="11.25">
      <c r="A159" s="0" t="s">
        <v>14</v>
      </c>
      <c r="B159" s="0" t="s">
        <v>8867</v>
      </c>
      <c r="C159" s="0" t="s">
        <v>8868</v>
      </c>
      <c r="D159" s="0" t="s">
        <v>8870</v>
      </c>
      <c r="E159" s="0" t="s">
        <v>8871</v>
      </c>
      <c r="F159" s="0" t="s">
        <v>8465</v>
      </c>
      <c r="G159" s="0" t="s">
        <v>8872</v>
      </c>
    </row>
    <row customHeight="1" ht="11.25">
      <c r="A160" s="0" t="s">
        <v>14</v>
      </c>
      <c r="B160" s="0" t="s">
        <v>8867</v>
      </c>
      <c r="C160" s="0" t="s">
        <v>8868</v>
      </c>
      <c r="D160" s="0" t="s">
        <v>8873</v>
      </c>
      <c r="E160" s="0" t="s">
        <v>8874</v>
      </c>
      <c r="F160" s="0" t="s">
        <v>8468</v>
      </c>
      <c r="G160" s="0" t="s">
        <v>8875</v>
      </c>
    </row>
    <row customHeight="1" ht="11.25">
      <c r="A161" s="0" t="s">
        <v>14</v>
      </c>
      <c r="B161" s="0" t="s">
        <v>8867</v>
      </c>
      <c r="C161" s="0" t="s">
        <v>8868</v>
      </c>
      <c r="D161" s="0" t="s">
        <v>8876</v>
      </c>
      <c r="E161" s="0" t="s">
        <v>8877</v>
      </c>
      <c r="F161" s="0" t="s">
        <v>8465</v>
      </c>
      <c r="G161" s="0" t="s">
        <v>8878</v>
      </c>
    </row>
    <row customHeight="1" ht="11.25">
      <c r="A162" s="0" t="s">
        <v>14</v>
      </c>
      <c r="B162" s="0" t="s">
        <v>8867</v>
      </c>
      <c r="C162" s="0" t="s">
        <v>8868</v>
      </c>
      <c r="D162" s="0" t="s">
        <v>8879</v>
      </c>
      <c r="E162" s="0" t="s">
        <v>8880</v>
      </c>
      <c r="F162" s="0" t="s">
        <v>8465</v>
      </c>
      <c r="G162" s="0" t="s">
        <v>8881</v>
      </c>
    </row>
    <row customHeight="1" ht="11.25">
      <c r="A163" s="0" t="s">
        <v>14</v>
      </c>
      <c r="B163" s="0" t="s">
        <v>8867</v>
      </c>
      <c r="C163" s="0" t="s">
        <v>8868</v>
      </c>
      <c r="D163" s="0" t="s">
        <v>8882</v>
      </c>
      <c r="E163" s="0" t="s">
        <v>8883</v>
      </c>
      <c r="F163" s="0" t="s">
        <v>8468</v>
      </c>
      <c r="G163" s="0" t="s">
        <v>8884</v>
      </c>
    </row>
    <row customHeight="1" ht="11.25">
      <c r="A164" s="0" t="s">
        <v>14</v>
      </c>
      <c r="B164" s="0" t="s">
        <v>8867</v>
      </c>
      <c r="C164" s="0" t="s">
        <v>8868</v>
      </c>
      <c r="D164" s="0" t="s">
        <v>8885</v>
      </c>
      <c r="E164" s="0" t="s">
        <v>8886</v>
      </c>
      <c r="F164" s="0" t="s">
        <v>8471</v>
      </c>
      <c r="G164" s="0" t="s">
        <v>8887</v>
      </c>
    </row>
    <row customHeight="1" ht="11.25">
      <c r="A165" s="0" t="s">
        <v>14</v>
      </c>
      <c r="B165" s="0" t="s">
        <v>8867</v>
      </c>
      <c r="C165" s="0" t="s">
        <v>8868</v>
      </c>
      <c r="D165" s="0" t="s">
        <v>8888</v>
      </c>
      <c r="E165" s="0" t="s">
        <v>8889</v>
      </c>
      <c r="F165" s="0" t="s">
        <v>8471</v>
      </c>
      <c r="G165" s="0" t="s">
        <v>8890</v>
      </c>
    </row>
    <row customHeight="1" ht="11.25">
      <c r="A166" s="0" t="s">
        <v>14</v>
      </c>
      <c r="B166" s="0" t="s">
        <v>8867</v>
      </c>
      <c r="C166" s="0" t="s">
        <v>8868</v>
      </c>
      <c r="D166" s="0" t="s">
        <v>8891</v>
      </c>
      <c r="E166" s="0" t="s">
        <v>8892</v>
      </c>
      <c r="F166" s="0" t="s">
        <v>8471</v>
      </c>
      <c r="G166" s="0" t="s">
        <v>8893</v>
      </c>
    </row>
    <row customHeight="1" ht="11.25">
      <c r="A167" s="0" t="s">
        <v>14</v>
      </c>
      <c r="B167" s="0" t="s">
        <v>8867</v>
      </c>
      <c r="C167" s="0" t="s">
        <v>8868</v>
      </c>
      <c r="D167" s="0" t="s">
        <v>8894</v>
      </c>
      <c r="E167" s="0" t="s">
        <v>8895</v>
      </c>
      <c r="F167" s="0" t="s">
        <v>8471</v>
      </c>
      <c r="G167" s="0" t="s">
        <v>8896</v>
      </c>
    </row>
    <row customHeight="1" ht="11.25">
      <c r="A168" s="0" t="s">
        <v>14</v>
      </c>
      <c r="B168" s="0" t="s">
        <v>8867</v>
      </c>
      <c r="C168" s="0" t="s">
        <v>8868</v>
      </c>
      <c r="D168" s="0" t="s">
        <v>8897</v>
      </c>
      <c r="E168" s="0" t="s">
        <v>8898</v>
      </c>
      <c r="F168" s="0" t="s">
        <v>8471</v>
      </c>
      <c r="G168" s="0" t="s">
        <v>8899</v>
      </c>
    </row>
    <row customHeight="1" ht="11.25">
      <c r="A169" s="0" t="s">
        <v>14</v>
      </c>
      <c r="B169" s="0" t="s">
        <v>8900</v>
      </c>
      <c r="C169" s="0" t="s">
        <v>8901</v>
      </c>
      <c r="D169" s="0" t="s">
        <v>8900</v>
      </c>
      <c r="E169" s="0" t="s">
        <v>8901</v>
      </c>
      <c r="F169" s="0" t="s">
        <v>8457</v>
      </c>
      <c r="G169" s="0" t="s">
        <v>8902</v>
      </c>
    </row>
    <row customHeight="1" ht="11.25">
      <c r="A170" s="0" t="s">
        <v>14</v>
      </c>
      <c r="B170" s="0" t="s">
        <v>8903</v>
      </c>
      <c r="C170" s="0" t="s">
        <v>8904</v>
      </c>
      <c r="D170" s="0" t="s">
        <v>8903</v>
      </c>
      <c r="E170" s="0" t="s">
        <v>8904</v>
      </c>
      <c r="F170" s="0" t="s">
        <v>8462</v>
      </c>
      <c r="G170" s="0" t="s">
        <v>8905</v>
      </c>
    </row>
    <row customHeight="1" ht="11.25">
      <c r="A171" s="0" t="s">
        <v>14</v>
      </c>
      <c r="B171" s="0" t="s">
        <v>8903</v>
      </c>
      <c r="C171" s="0" t="s">
        <v>8904</v>
      </c>
      <c r="D171" s="0" t="s">
        <v>8906</v>
      </c>
      <c r="E171" s="0" t="s">
        <v>8907</v>
      </c>
      <c r="F171" s="0" t="s">
        <v>8468</v>
      </c>
      <c r="G171" s="0" t="s">
        <v>8908</v>
      </c>
    </row>
    <row customHeight="1" ht="11.25">
      <c r="A172" s="0" t="s">
        <v>14</v>
      </c>
      <c r="B172" s="0" t="s">
        <v>8903</v>
      </c>
      <c r="C172" s="0" t="s">
        <v>8904</v>
      </c>
      <c r="D172" s="0" t="s">
        <v>8909</v>
      </c>
      <c r="E172" s="0" t="s">
        <v>8910</v>
      </c>
      <c r="F172" s="0" t="s">
        <v>8465</v>
      </c>
      <c r="G172" s="0" t="s">
        <v>8911</v>
      </c>
    </row>
    <row customHeight="1" ht="11.25">
      <c r="A173" s="0" t="s">
        <v>14</v>
      </c>
      <c r="B173" s="0" t="s">
        <v>8903</v>
      </c>
      <c r="C173" s="0" t="s">
        <v>8904</v>
      </c>
      <c r="D173" s="0" t="s">
        <v>8912</v>
      </c>
      <c r="E173" s="0" t="s">
        <v>8913</v>
      </c>
      <c r="F173" s="0" t="s">
        <v>8468</v>
      </c>
      <c r="G173" s="0" t="s">
        <v>8914</v>
      </c>
    </row>
    <row customHeight="1" ht="11.25">
      <c r="A174" s="0" t="s">
        <v>14</v>
      </c>
      <c r="B174" s="0" t="s">
        <v>8903</v>
      </c>
      <c r="C174" s="0" t="s">
        <v>8904</v>
      </c>
      <c r="D174" s="0" t="s">
        <v>8915</v>
      </c>
      <c r="E174" s="0" t="s">
        <v>8916</v>
      </c>
      <c r="F174" s="0" t="s">
        <v>8465</v>
      </c>
      <c r="G174" s="0" t="s">
        <v>8917</v>
      </c>
    </row>
    <row customHeight="1" ht="11.25">
      <c r="A175" s="0" t="s">
        <v>14</v>
      </c>
      <c r="B175" s="0" t="s">
        <v>8903</v>
      </c>
      <c r="C175" s="0" t="s">
        <v>8904</v>
      </c>
      <c r="D175" s="0" t="s">
        <v>8918</v>
      </c>
      <c r="E175" s="0" t="s">
        <v>8919</v>
      </c>
      <c r="F175" s="0" t="s">
        <v>8468</v>
      </c>
      <c r="G175" s="0" t="s">
        <v>8920</v>
      </c>
    </row>
    <row customHeight="1" ht="11.25">
      <c r="A176" s="0" t="s">
        <v>14</v>
      </c>
      <c r="B176" s="0" t="s">
        <v>8903</v>
      </c>
      <c r="C176" s="0" t="s">
        <v>8904</v>
      </c>
      <c r="D176" s="0" t="s">
        <v>8921</v>
      </c>
      <c r="E176" s="0" t="s">
        <v>8922</v>
      </c>
      <c r="F176" s="0" t="s">
        <v>8468</v>
      </c>
      <c r="G176" s="0" t="s">
        <v>8923</v>
      </c>
    </row>
    <row customHeight="1" ht="11.25">
      <c r="A177" s="0" t="s">
        <v>14</v>
      </c>
      <c r="B177" s="0" t="s">
        <v>8903</v>
      </c>
      <c r="C177" s="0" t="s">
        <v>8904</v>
      </c>
      <c r="D177" s="0" t="s">
        <v>8924</v>
      </c>
      <c r="E177" s="0" t="s">
        <v>8925</v>
      </c>
      <c r="F177" s="0" t="s">
        <v>8465</v>
      </c>
      <c r="G177" s="0" t="s">
        <v>8926</v>
      </c>
    </row>
    <row customHeight="1" ht="11.25">
      <c r="A178" s="0" t="s">
        <v>14</v>
      </c>
      <c r="B178" s="0" t="s">
        <v>8903</v>
      </c>
      <c r="C178" s="0" t="s">
        <v>8904</v>
      </c>
      <c r="D178" s="0" t="s">
        <v>8927</v>
      </c>
      <c r="E178" s="0" t="s">
        <v>8928</v>
      </c>
      <c r="F178" s="0" t="s">
        <v>8471</v>
      </c>
      <c r="G178" s="0" t="s">
        <v>8929</v>
      </c>
    </row>
    <row customHeight="1" ht="11.25">
      <c r="A179" s="0" t="s">
        <v>14</v>
      </c>
      <c r="B179" s="0" t="s">
        <v>8903</v>
      </c>
      <c r="C179" s="0" t="s">
        <v>8904</v>
      </c>
      <c r="D179" s="0" t="s">
        <v>8930</v>
      </c>
      <c r="E179" s="0" t="s">
        <v>8931</v>
      </c>
      <c r="F179" s="0" t="s">
        <v>8471</v>
      </c>
      <c r="G179" s="0" t="s">
        <v>8932</v>
      </c>
    </row>
    <row customHeight="1" ht="11.25">
      <c r="A180" s="0" t="s">
        <v>14</v>
      </c>
      <c r="B180" s="0" t="s">
        <v>8903</v>
      </c>
      <c r="C180" s="0" t="s">
        <v>8904</v>
      </c>
      <c r="D180" s="0" t="s">
        <v>8933</v>
      </c>
      <c r="E180" s="0" t="s">
        <v>8934</v>
      </c>
      <c r="F180" s="0" t="s">
        <v>8471</v>
      </c>
      <c r="G180" s="0" t="s">
        <v>8935</v>
      </c>
    </row>
    <row customHeight="1" ht="11.25">
      <c r="A181" s="0" t="s">
        <v>14</v>
      </c>
      <c r="B181" s="0" t="s">
        <v>8903</v>
      </c>
      <c r="C181" s="0" t="s">
        <v>8904</v>
      </c>
      <c r="D181" s="0" t="s">
        <v>8936</v>
      </c>
      <c r="E181" s="0" t="s">
        <v>8937</v>
      </c>
      <c r="F181" s="0" t="s">
        <v>8471</v>
      </c>
      <c r="G181" s="0" t="s">
        <v>8938</v>
      </c>
    </row>
    <row customHeight="1" ht="11.25">
      <c r="A182" s="0" t="s">
        <v>14</v>
      </c>
      <c r="B182" s="0" t="s">
        <v>8903</v>
      </c>
      <c r="C182" s="0" t="s">
        <v>8904</v>
      </c>
      <c r="D182" s="0" t="s">
        <v>8939</v>
      </c>
      <c r="E182" s="0" t="s">
        <v>8940</v>
      </c>
      <c r="F182" s="0" t="s">
        <v>8471</v>
      </c>
      <c r="G182" s="0" t="s">
        <v>8941</v>
      </c>
    </row>
    <row customHeight="1" ht="11.25">
      <c r="A183" s="0" t="s">
        <v>14</v>
      </c>
      <c r="B183" s="0" t="s">
        <v>8903</v>
      </c>
      <c r="C183" s="0" t="s">
        <v>8904</v>
      </c>
      <c r="D183" s="0" t="s">
        <v>8942</v>
      </c>
      <c r="E183" s="0" t="s">
        <v>8943</v>
      </c>
      <c r="F183" s="0" t="s">
        <v>8471</v>
      </c>
      <c r="G183" s="0" t="s">
        <v>8944</v>
      </c>
    </row>
    <row customHeight="1" ht="11.25">
      <c r="A184" s="0" t="s">
        <v>14</v>
      </c>
      <c r="B184" s="0" t="s">
        <v>8903</v>
      </c>
      <c r="C184" s="0" t="s">
        <v>8904</v>
      </c>
      <c r="D184" s="0" t="s">
        <v>8945</v>
      </c>
      <c r="E184" s="0" t="s">
        <v>8946</v>
      </c>
      <c r="F184" s="0" t="s">
        <v>8471</v>
      </c>
      <c r="G184" s="0" t="s">
        <v>8947</v>
      </c>
    </row>
    <row customHeight="1" ht="11.25">
      <c r="A185" s="0" t="s">
        <v>14</v>
      </c>
      <c r="B185" s="0" t="s">
        <v>8903</v>
      </c>
      <c r="C185" s="0" t="s">
        <v>8904</v>
      </c>
      <c r="D185" s="0" t="s">
        <v>8948</v>
      </c>
      <c r="E185" s="0" t="s">
        <v>8949</v>
      </c>
      <c r="F185" s="0" t="s">
        <v>8471</v>
      </c>
      <c r="G185" s="0" t="s">
        <v>8950</v>
      </c>
    </row>
    <row customHeight="1" ht="11.25">
      <c r="A186" s="0" t="s">
        <v>14</v>
      </c>
      <c r="B186" s="0" t="s">
        <v>8903</v>
      </c>
      <c r="C186" s="0" t="s">
        <v>8904</v>
      </c>
      <c r="D186" s="0" t="s">
        <v>8951</v>
      </c>
      <c r="E186" s="0" t="s">
        <v>8952</v>
      </c>
      <c r="F186" s="0" t="s">
        <v>8471</v>
      </c>
      <c r="G186" s="0" t="s">
        <v>8953</v>
      </c>
    </row>
    <row customHeight="1" ht="11.25">
      <c r="A187" s="0" t="s">
        <v>14</v>
      </c>
      <c r="B187" s="0" t="s">
        <v>8954</v>
      </c>
      <c r="C187" s="0" t="s">
        <v>8955</v>
      </c>
      <c r="D187" s="0" t="s">
        <v>8954</v>
      </c>
      <c r="E187" s="0" t="s">
        <v>8955</v>
      </c>
      <c r="F187" s="0" t="s">
        <v>8462</v>
      </c>
      <c r="G187" s="0" t="s">
        <v>8956</v>
      </c>
    </row>
    <row customHeight="1" ht="11.25">
      <c r="A188" s="0" t="s">
        <v>14</v>
      </c>
      <c r="B188" s="0" t="s">
        <v>8954</v>
      </c>
      <c r="C188" s="0" t="s">
        <v>8955</v>
      </c>
      <c r="D188" s="0" t="s">
        <v>8957</v>
      </c>
      <c r="E188" s="0" t="s">
        <v>8958</v>
      </c>
      <c r="F188" s="0" t="s">
        <v>8465</v>
      </c>
      <c r="G188" s="0" t="s">
        <v>8959</v>
      </c>
    </row>
    <row customHeight="1" ht="11.25">
      <c r="A189" s="0" t="s">
        <v>14</v>
      </c>
      <c r="B189" s="0" t="s">
        <v>8954</v>
      </c>
      <c r="C189" s="0" t="s">
        <v>8955</v>
      </c>
      <c r="D189" s="0" t="s">
        <v>8960</v>
      </c>
      <c r="E189" s="0" t="s">
        <v>8961</v>
      </c>
      <c r="F189" s="0" t="s">
        <v>8471</v>
      </c>
      <c r="G189" s="0" t="s">
        <v>8962</v>
      </c>
    </row>
    <row customHeight="1" ht="11.25">
      <c r="A190" s="0" t="s">
        <v>14</v>
      </c>
      <c r="B190" s="0" t="s">
        <v>8954</v>
      </c>
      <c r="C190" s="0" t="s">
        <v>8955</v>
      </c>
      <c r="D190" s="0" t="s">
        <v>8963</v>
      </c>
      <c r="E190" s="0" t="s">
        <v>8964</v>
      </c>
      <c r="F190" s="0" t="s">
        <v>8471</v>
      </c>
      <c r="G190" s="0" t="s">
        <v>8965</v>
      </c>
    </row>
    <row customHeight="1" ht="11.25">
      <c r="A191" s="0" t="s">
        <v>14</v>
      </c>
      <c r="B191" s="0" t="s">
        <v>8966</v>
      </c>
      <c r="C191" s="0" t="s">
        <v>8967</v>
      </c>
      <c r="D191" s="0" t="s">
        <v>8966</v>
      </c>
      <c r="E191" s="0" t="s">
        <v>8967</v>
      </c>
      <c r="F191" s="0" t="s">
        <v>8457</v>
      </c>
      <c r="G191" s="0" t="s">
        <v>8968</v>
      </c>
    </row>
    <row customHeight="1" ht="11.25">
      <c r="A192" s="0" t="s">
        <v>14</v>
      </c>
      <c r="B192" s="0" t="s">
        <v>8969</v>
      </c>
      <c r="C192" s="0" t="s">
        <v>8970</v>
      </c>
      <c r="D192" s="0" t="s">
        <v>8969</v>
      </c>
      <c r="E192" s="0" t="s">
        <v>8970</v>
      </c>
      <c r="F192" s="0" t="s">
        <v>8462</v>
      </c>
      <c r="G192" s="0" t="s">
        <v>8971</v>
      </c>
    </row>
    <row customHeight="1" ht="11.25">
      <c r="A193" s="0" t="s">
        <v>14</v>
      </c>
      <c r="B193" s="0" t="s">
        <v>8969</v>
      </c>
      <c r="C193" s="0" t="s">
        <v>8970</v>
      </c>
      <c r="D193" s="0" t="s">
        <v>8972</v>
      </c>
      <c r="E193" s="0" t="s">
        <v>8973</v>
      </c>
      <c r="F193" s="0" t="s">
        <v>8465</v>
      </c>
      <c r="G193" s="0" t="s">
        <v>8974</v>
      </c>
    </row>
    <row customHeight="1" ht="11.25">
      <c r="A194" s="0" t="s">
        <v>14</v>
      </c>
      <c r="B194" s="0" t="s">
        <v>8969</v>
      </c>
      <c r="C194" s="0" t="s">
        <v>8970</v>
      </c>
      <c r="D194" s="0" t="s">
        <v>8975</v>
      </c>
      <c r="E194" s="0" t="s">
        <v>8976</v>
      </c>
      <c r="F194" s="0" t="s">
        <v>8465</v>
      </c>
      <c r="G194" s="0" t="s">
        <v>8977</v>
      </c>
    </row>
    <row customHeight="1" ht="11.25">
      <c r="A195" s="0" t="s">
        <v>14</v>
      </c>
      <c r="B195" s="0" t="s">
        <v>8969</v>
      </c>
      <c r="C195" s="0" t="s">
        <v>8970</v>
      </c>
      <c r="D195" s="0" t="s">
        <v>8978</v>
      </c>
      <c r="E195" s="0" t="s">
        <v>8979</v>
      </c>
      <c r="F195" s="0" t="s">
        <v>8465</v>
      </c>
      <c r="G195" s="0" t="s">
        <v>8980</v>
      </c>
    </row>
    <row customHeight="1" ht="11.25">
      <c r="A196" s="0" t="s">
        <v>14</v>
      </c>
      <c r="B196" s="0" t="s">
        <v>8969</v>
      </c>
      <c r="C196" s="0" t="s">
        <v>8970</v>
      </c>
      <c r="D196" s="0" t="s">
        <v>8981</v>
      </c>
      <c r="E196" s="0" t="s">
        <v>8982</v>
      </c>
      <c r="F196" s="0" t="s">
        <v>8471</v>
      </c>
      <c r="G196" s="0" t="s">
        <v>8983</v>
      </c>
    </row>
    <row customHeight="1" ht="11.25">
      <c r="A197" s="0" t="s">
        <v>14</v>
      </c>
      <c r="B197" s="0" t="s">
        <v>8969</v>
      </c>
      <c r="C197" s="0" t="s">
        <v>8970</v>
      </c>
      <c r="D197" s="0" t="s">
        <v>8984</v>
      </c>
      <c r="E197" s="0" t="s">
        <v>8985</v>
      </c>
      <c r="F197" s="0" t="s">
        <v>8471</v>
      </c>
      <c r="G197" s="0" t="s">
        <v>8986</v>
      </c>
    </row>
    <row customHeight="1" ht="11.25">
      <c r="A198" s="0" t="s">
        <v>14</v>
      </c>
      <c r="B198" s="0" t="s">
        <v>8969</v>
      </c>
      <c r="C198" s="0" t="s">
        <v>8970</v>
      </c>
      <c r="D198" s="0" t="s">
        <v>8930</v>
      </c>
      <c r="E198" s="0" t="s">
        <v>8987</v>
      </c>
      <c r="F198" s="0" t="s">
        <v>8471</v>
      </c>
      <c r="G198" s="0" t="s">
        <v>8988</v>
      </c>
    </row>
    <row customHeight="1" ht="11.25">
      <c r="A199" s="0" t="s">
        <v>14</v>
      </c>
      <c r="B199" s="0" t="s">
        <v>8969</v>
      </c>
      <c r="C199" s="0" t="s">
        <v>8970</v>
      </c>
      <c r="D199" s="0" t="s">
        <v>8989</v>
      </c>
      <c r="E199" s="0" t="s">
        <v>8990</v>
      </c>
      <c r="F199" s="0" t="s">
        <v>8471</v>
      </c>
      <c r="G199" s="0" t="s">
        <v>8991</v>
      </c>
    </row>
    <row customHeight="1" ht="11.25">
      <c r="A200" s="0" t="s">
        <v>14</v>
      </c>
      <c r="B200" s="0" t="s">
        <v>8969</v>
      </c>
      <c r="C200" s="0" t="s">
        <v>8970</v>
      </c>
      <c r="D200" s="0" t="s">
        <v>8992</v>
      </c>
      <c r="E200" s="0" t="s">
        <v>8993</v>
      </c>
      <c r="F200" s="0" t="s">
        <v>8471</v>
      </c>
      <c r="G200" s="0" t="s">
        <v>8994</v>
      </c>
    </row>
    <row customHeight="1" ht="11.25">
      <c r="A201" s="0" t="s">
        <v>14</v>
      </c>
      <c r="B201" s="0" t="s">
        <v>8969</v>
      </c>
      <c r="C201" s="0" t="s">
        <v>8970</v>
      </c>
      <c r="D201" s="0" t="s">
        <v>8995</v>
      </c>
      <c r="E201" s="0" t="s">
        <v>8996</v>
      </c>
      <c r="F201" s="0" t="s">
        <v>8471</v>
      </c>
      <c r="G201" s="0" t="s">
        <v>8997</v>
      </c>
    </row>
    <row customHeight="1" ht="11.25">
      <c r="A202" s="0" t="s">
        <v>14</v>
      </c>
      <c r="B202" s="0" t="s">
        <v>8969</v>
      </c>
      <c r="C202" s="0" t="s">
        <v>8970</v>
      </c>
      <c r="D202" s="0" t="s">
        <v>8681</v>
      </c>
      <c r="E202" s="0" t="s">
        <v>8998</v>
      </c>
      <c r="F202" s="0" t="s">
        <v>8471</v>
      </c>
      <c r="G202" s="0" t="s">
        <v>8999</v>
      </c>
    </row>
    <row customHeight="1" ht="11.25">
      <c r="A203" s="0" t="s">
        <v>14</v>
      </c>
      <c r="B203" s="0" t="s">
        <v>8969</v>
      </c>
      <c r="C203" s="0" t="s">
        <v>8970</v>
      </c>
      <c r="D203" s="0" t="s">
        <v>9000</v>
      </c>
      <c r="E203" s="0" t="s">
        <v>9001</v>
      </c>
      <c r="F203" s="0" t="s">
        <v>8471</v>
      </c>
      <c r="G203" s="0" t="s">
        <v>9002</v>
      </c>
    </row>
    <row customHeight="1" ht="11.25">
      <c r="A204" s="0" t="s">
        <v>14</v>
      </c>
      <c r="B204" s="0" t="s">
        <v>8969</v>
      </c>
      <c r="C204" s="0" t="s">
        <v>8970</v>
      </c>
      <c r="D204" s="0" t="s">
        <v>9003</v>
      </c>
      <c r="E204" s="0" t="s">
        <v>9004</v>
      </c>
      <c r="F204" s="0" t="s">
        <v>8471</v>
      </c>
      <c r="G204" s="0" t="s">
        <v>9005</v>
      </c>
    </row>
    <row customHeight="1" ht="11.25">
      <c r="A205" s="0" t="s">
        <v>14</v>
      </c>
      <c r="B205" s="0" t="s">
        <v>8969</v>
      </c>
      <c r="C205" s="0" t="s">
        <v>8970</v>
      </c>
      <c r="D205" s="0" t="s">
        <v>9006</v>
      </c>
      <c r="E205" s="0" t="s">
        <v>9007</v>
      </c>
      <c r="F205" s="0" t="s">
        <v>8471</v>
      </c>
      <c r="G205" s="0" t="s">
        <v>9008</v>
      </c>
    </row>
    <row customHeight="1" ht="11.25">
      <c r="A206" s="0" t="s">
        <v>14</v>
      </c>
      <c r="B206" s="0" t="s">
        <v>9009</v>
      </c>
      <c r="C206" s="0" t="s">
        <v>9010</v>
      </c>
      <c r="D206" s="0" t="s">
        <v>9009</v>
      </c>
      <c r="E206" s="0" t="s">
        <v>9010</v>
      </c>
      <c r="F206" s="0" t="s">
        <v>8457</v>
      </c>
      <c r="G206" s="0" t="s">
        <v>9011</v>
      </c>
    </row>
    <row customHeight="1" ht="11.25">
      <c r="A207" s="0" t="s">
        <v>14</v>
      </c>
      <c r="B207" s="0" t="s">
        <v>9012</v>
      </c>
      <c r="C207" s="0" t="s">
        <v>9013</v>
      </c>
      <c r="D207" s="0" t="s">
        <v>9012</v>
      </c>
      <c r="E207" s="0" t="s">
        <v>9013</v>
      </c>
      <c r="F207" s="0" t="s">
        <v>8462</v>
      </c>
      <c r="G207" s="0" t="s">
        <v>9014</v>
      </c>
    </row>
    <row customHeight="1" ht="11.25">
      <c r="A208" s="0" t="s">
        <v>14</v>
      </c>
      <c r="B208" s="0" t="s">
        <v>9012</v>
      </c>
      <c r="C208" s="0" t="s">
        <v>9013</v>
      </c>
      <c r="D208" s="0" t="s">
        <v>9015</v>
      </c>
      <c r="E208" s="0" t="s">
        <v>9016</v>
      </c>
      <c r="F208" s="0" t="s">
        <v>8468</v>
      </c>
      <c r="G208" s="0" t="s">
        <v>9017</v>
      </c>
    </row>
    <row customHeight="1" ht="11.25">
      <c r="A209" s="0" t="s">
        <v>14</v>
      </c>
      <c r="B209" s="0" t="s">
        <v>9012</v>
      </c>
      <c r="C209" s="0" t="s">
        <v>9013</v>
      </c>
      <c r="D209" s="0" t="s">
        <v>9018</v>
      </c>
      <c r="E209" s="0" t="s">
        <v>9019</v>
      </c>
      <c r="F209" s="0" t="s">
        <v>8465</v>
      </c>
      <c r="G209" s="0" t="s">
        <v>9020</v>
      </c>
    </row>
    <row customHeight="1" ht="11.25">
      <c r="A210" s="0" t="s">
        <v>14</v>
      </c>
      <c r="B210" s="0" t="s">
        <v>9012</v>
      </c>
      <c r="C210" s="0" t="s">
        <v>9013</v>
      </c>
      <c r="D210" s="0" t="s">
        <v>9021</v>
      </c>
      <c r="E210" s="0" t="s">
        <v>9022</v>
      </c>
      <c r="F210" s="0" t="s">
        <v>8471</v>
      </c>
      <c r="G210" s="0" t="s">
        <v>9023</v>
      </c>
    </row>
    <row customHeight="1" ht="11.25">
      <c r="A211" s="0" t="s">
        <v>14</v>
      </c>
      <c r="B211" s="0" t="s">
        <v>9012</v>
      </c>
      <c r="C211" s="0" t="s">
        <v>9013</v>
      </c>
      <c r="D211" s="0" t="s">
        <v>9024</v>
      </c>
      <c r="E211" s="0" t="s">
        <v>9025</v>
      </c>
      <c r="F211" s="0" t="s">
        <v>8471</v>
      </c>
      <c r="G211" s="0" t="s">
        <v>9026</v>
      </c>
    </row>
    <row customHeight="1" ht="11.25">
      <c r="A212" s="0" t="s">
        <v>14</v>
      </c>
      <c r="B212" s="0" t="s">
        <v>9012</v>
      </c>
      <c r="C212" s="0" t="s">
        <v>9013</v>
      </c>
      <c r="D212" s="0" t="s">
        <v>9027</v>
      </c>
      <c r="E212" s="0" t="s">
        <v>9028</v>
      </c>
      <c r="F212" s="0" t="s">
        <v>8471</v>
      </c>
      <c r="G212" s="0" t="s">
        <v>9029</v>
      </c>
    </row>
    <row customHeight="1" ht="11.25">
      <c r="A213" s="0" t="s">
        <v>14</v>
      </c>
      <c r="B213" s="0" t="s">
        <v>9012</v>
      </c>
      <c r="C213" s="0" t="s">
        <v>9013</v>
      </c>
      <c r="D213" s="0" t="s">
        <v>9030</v>
      </c>
      <c r="E213" s="0" t="s">
        <v>9031</v>
      </c>
      <c r="F213" s="0" t="s">
        <v>8471</v>
      </c>
      <c r="G213" s="0" t="s">
        <v>9032</v>
      </c>
    </row>
    <row customHeight="1" ht="11.25">
      <c r="A214" s="0" t="s">
        <v>14</v>
      </c>
      <c r="B214" s="0" t="s">
        <v>9033</v>
      </c>
      <c r="C214" s="0" t="s">
        <v>9034</v>
      </c>
      <c r="D214" s="0" t="s">
        <v>9035</v>
      </c>
      <c r="E214" s="0" t="s">
        <v>9034</v>
      </c>
      <c r="F214" s="0" t="s">
        <v>8462</v>
      </c>
      <c r="G214" s="0" t="s">
        <v>9036</v>
      </c>
    </row>
    <row customHeight="1" ht="11.25">
      <c r="A215" s="0" t="s">
        <v>14</v>
      </c>
      <c r="B215" s="0" t="s">
        <v>9033</v>
      </c>
      <c r="C215" s="0" t="s">
        <v>9034</v>
      </c>
      <c r="D215" s="0" t="s">
        <v>9033</v>
      </c>
      <c r="E215" s="0" t="s">
        <v>9034</v>
      </c>
      <c r="F215" s="0" t="s">
        <v>8462</v>
      </c>
      <c r="G215" s="0" t="s">
        <v>9037</v>
      </c>
    </row>
    <row customHeight="1" ht="11.25">
      <c r="A216" s="0" t="s">
        <v>14</v>
      </c>
      <c r="B216" s="0" t="s">
        <v>9033</v>
      </c>
      <c r="C216" s="0" t="s">
        <v>9034</v>
      </c>
      <c r="D216" s="0" t="s">
        <v>9038</v>
      </c>
      <c r="E216" s="0" t="s">
        <v>9039</v>
      </c>
      <c r="F216" s="0" t="s">
        <v>8468</v>
      </c>
      <c r="G216" s="0" t="s">
        <v>9040</v>
      </c>
    </row>
    <row customHeight="1" ht="11.25">
      <c r="A217" s="0" t="s">
        <v>14</v>
      </c>
      <c r="B217" s="0" t="s">
        <v>9033</v>
      </c>
      <c r="C217" s="0" t="s">
        <v>9034</v>
      </c>
      <c r="D217" s="0" t="s">
        <v>9041</v>
      </c>
      <c r="E217" s="0" t="s">
        <v>9042</v>
      </c>
      <c r="F217" s="0" t="s">
        <v>8471</v>
      </c>
      <c r="G217" s="0" t="s">
        <v>9043</v>
      </c>
    </row>
    <row customHeight="1" ht="11.25">
      <c r="A218" s="0" t="s">
        <v>14</v>
      </c>
      <c r="B218" s="0" t="s">
        <v>9033</v>
      </c>
      <c r="C218" s="0" t="s">
        <v>9034</v>
      </c>
      <c r="D218" s="0" t="s">
        <v>9044</v>
      </c>
      <c r="E218" s="0" t="s">
        <v>9045</v>
      </c>
      <c r="F218" s="0" t="s">
        <v>8471</v>
      </c>
      <c r="G218" s="0" t="s">
        <v>9046</v>
      </c>
    </row>
    <row customHeight="1" ht="11.25">
      <c r="A219" s="0" t="s">
        <v>14</v>
      </c>
      <c r="B219" s="0" t="s">
        <v>9033</v>
      </c>
      <c r="C219" s="0" t="s">
        <v>9034</v>
      </c>
      <c r="D219" s="0" t="s">
        <v>9047</v>
      </c>
      <c r="E219" s="0" t="s">
        <v>9048</v>
      </c>
      <c r="F219" s="0" t="s">
        <v>8471</v>
      </c>
      <c r="G219" s="0" t="s">
        <v>9049</v>
      </c>
    </row>
    <row customHeight="1" ht="11.25">
      <c r="A220" s="0" t="s">
        <v>14</v>
      </c>
      <c r="B220" s="0" t="s">
        <v>9050</v>
      </c>
      <c r="C220" s="0" t="s">
        <v>9051</v>
      </c>
      <c r="D220" s="0" t="s">
        <v>9050</v>
      </c>
      <c r="E220" s="0" t="s">
        <v>9051</v>
      </c>
      <c r="F220" s="0" t="s">
        <v>8457</v>
      </c>
      <c r="G220" s="0" t="s">
        <v>9052</v>
      </c>
    </row>
    <row customHeight="1" ht="11.25">
      <c r="A221" s="0" t="s">
        <v>14</v>
      </c>
      <c r="B221" s="0" t="s">
        <v>9053</v>
      </c>
      <c r="C221" s="0" t="s">
        <v>9054</v>
      </c>
      <c r="D221" s="0" t="s">
        <v>9053</v>
      </c>
      <c r="E221" s="0" t="s">
        <v>9054</v>
      </c>
      <c r="F221" s="0" t="s">
        <v>8462</v>
      </c>
      <c r="G221" s="0" t="s">
        <v>9055</v>
      </c>
    </row>
    <row customHeight="1" ht="11.25">
      <c r="A222" s="0" t="s">
        <v>14</v>
      </c>
      <c r="B222" s="0" t="s">
        <v>9053</v>
      </c>
      <c r="C222" s="0" t="s">
        <v>9054</v>
      </c>
      <c r="D222" s="0" t="s">
        <v>9056</v>
      </c>
      <c r="E222" s="0" t="s">
        <v>9057</v>
      </c>
      <c r="F222" s="0" t="s">
        <v>8468</v>
      </c>
      <c r="G222" s="0" t="s">
        <v>9058</v>
      </c>
    </row>
    <row customHeight="1" ht="11.25">
      <c r="A223" s="0" t="s">
        <v>14</v>
      </c>
      <c r="B223" s="0" t="s">
        <v>9053</v>
      </c>
      <c r="C223" s="0" t="s">
        <v>9054</v>
      </c>
      <c r="D223" s="0" t="s">
        <v>9059</v>
      </c>
      <c r="E223" s="0" t="s">
        <v>9060</v>
      </c>
      <c r="F223" s="0" t="s">
        <v>8468</v>
      </c>
      <c r="G223" s="0" t="s">
        <v>9061</v>
      </c>
    </row>
    <row customHeight="1" ht="11.25">
      <c r="A224" s="0" t="s">
        <v>14</v>
      </c>
      <c r="B224" s="0" t="s">
        <v>9053</v>
      </c>
      <c r="C224" s="0" t="s">
        <v>9054</v>
      </c>
      <c r="D224" s="0" t="s">
        <v>9062</v>
      </c>
      <c r="E224" s="0" t="s">
        <v>9063</v>
      </c>
      <c r="F224" s="0" t="s">
        <v>8468</v>
      </c>
      <c r="G224" s="0" t="s">
        <v>9064</v>
      </c>
    </row>
    <row customHeight="1" ht="11.25">
      <c r="A225" s="0" t="s">
        <v>14</v>
      </c>
      <c r="B225" s="0" t="s">
        <v>9053</v>
      </c>
      <c r="C225" s="0" t="s">
        <v>9054</v>
      </c>
      <c r="D225" s="0" t="s">
        <v>9065</v>
      </c>
      <c r="E225" s="0" t="s">
        <v>9066</v>
      </c>
      <c r="F225" s="0" t="s">
        <v>8468</v>
      </c>
      <c r="G225" s="0" t="s">
        <v>9067</v>
      </c>
    </row>
    <row customHeight="1" ht="11.25">
      <c r="A226" s="0" t="s">
        <v>14</v>
      </c>
      <c r="B226" s="0" t="s">
        <v>9053</v>
      </c>
      <c r="C226" s="0" t="s">
        <v>9054</v>
      </c>
      <c r="D226" s="0" t="s">
        <v>9068</v>
      </c>
      <c r="E226" s="0" t="s">
        <v>9069</v>
      </c>
      <c r="F226" s="0" t="s">
        <v>8465</v>
      </c>
      <c r="G226" s="0" t="s">
        <v>9070</v>
      </c>
    </row>
    <row customHeight="1" ht="11.25">
      <c r="A227" s="0" t="s">
        <v>14</v>
      </c>
      <c r="B227" s="0" t="s">
        <v>9053</v>
      </c>
      <c r="C227" s="0" t="s">
        <v>9054</v>
      </c>
      <c r="D227" s="0" t="s">
        <v>9071</v>
      </c>
      <c r="E227" s="0" t="s">
        <v>9072</v>
      </c>
      <c r="F227" s="0" t="s">
        <v>8468</v>
      </c>
      <c r="G227" s="0" t="s">
        <v>9073</v>
      </c>
    </row>
    <row customHeight="1" ht="11.25">
      <c r="A228" s="0" t="s">
        <v>14</v>
      </c>
      <c r="B228" s="0" t="s">
        <v>9053</v>
      </c>
      <c r="C228" s="0" t="s">
        <v>9054</v>
      </c>
      <c r="D228" s="0" t="s">
        <v>9074</v>
      </c>
      <c r="E228" s="0" t="s">
        <v>9075</v>
      </c>
      <c r="F228" s="0" t="s">
        <v>8468</v>
      </c>
      <c r="G228" s="0" t="s">
        <v>9076</v>
      </c>
    </row>
    <row customHeight="1" ht="11.25">
      <c r="A229" s="0" t="s">
        <v>14</v>
      </c>
      <c r="B229" s="0" t="s">
        <v>9053</v>
      </c>
      <c r="C229" s="0" t="s">
        <v>9054</v>
      </c>
      <c r="D229" s="0" t="s">
        <v>9077</v>
      </c>
      <c r="E229" s="0" t="s">
        <v>9078</v>
      </c>
      <c r="F229" s="0" t="s">
        <v>8471</v>
      </c>
      <c r="G229" s="0" t="s">
        <v>9079</v>
      </c>
    </row>
    <row customHeight="1" ht="11.25">
      <c r="A230" s="0" t="s">
        <v>14</v>
      </c>
      <c r="B230" s="0" t="s">
        <v>9053</v>
      </c>
      <c r="C230" s="0" t="s">
        <v>9054</v>
      </c>
      <c r="D230" s="0" t="s">
        <v>9080</v>
      </c>
      <c r="E230" s="0" t="s">
        <v>9081</v>
      </c>
      <c r="F230" s="0" t="s">
        <v>8471</v>
      </c>
      <c r="G230" s="0" t="s">
        <v>9082</v>
      </c>
    </row>
    <row customHeight="1" ht="11.25">
      <c r="A231" s="0" t="s">
        <v>14</v>
      </c>
      <c r="B231" s="0" t="s">
        <v>9053</v>
      </c>
      <c r="C231" s="0" t="s">
        <v>9054</v>
      </c>
      <c r="D231" s="0" t="s">
        <v>9083</v>
      </c>
      <c r="E231" s="0" t="s">
        <v>9084</v>
      </c>
      <c r="F231" s="0" t="s">
        <v>8471</v>
      </c>
      <c r="G231" s="0" t="s">
        <v>9085</v>
      </c>
    </row>
    <row customHeight="1" ht="11.25">
      <c r="A232" s="0" t="s">
        <v>14</v>
      </c>
      <c r="B232" s="0" t="s">
        <v>9086</v>
      </c>
      <c r="C232" s="0" t="s">
        <v>9087</v>
      </c>
      <c r="D232" s="0" t="s">
        <v>9086</v>
      </c>
      <c r="E232" s="0" t="s">
        <v>9087</v>
      </c>
      <c r="F232" s="0" t="s">
        <v>8457</v>
      </c>
      <c r="G232" s="0" t="s">
        <v>9088</v>
      </c>
    </row>
    <row customHeight="1" ht="11.25">
      <c r="A233" s="0" t="s">
        <v>14</v>
      </c>
      <c r="B233" s="0" t="s">
        <v>9089</v>
      </c>
      <c r="C233" s="0" t="s">
        <v>9090</v>
      </c>
      <c r="D233" s="0" t="s">
        <v>9089</v>
      </c>
      <c r="E233" s="0" t="s">
        <v>9090</v>
      </c>
      <c r="F233" s="0" t="s">
        <v>8462</v>
      </c>
      <c r="G233" s="0" t="s">
        <v>9091</v>
      </c>
    </row>
    <row customHeight="1" ht="11.25">
      <c r="A234" s="0" t="s">
        <v>14</v>
      </c>
      <c r="B234" s="0" t="s">
        <v>9089</v>
      </c>
      <c r="C234" s="0" t="s">
        <v>9090</v>
      </c>
      <c r="D234" s="0" t="s">
        <v>9092</v>
      </c>
      <c r="E234" s="0" t="s">
        <v>9093</v>
      </c>
      <c r="F234" s="0" t="s">
        <v>8468</v>
      </c>
      <c r="G234" s="0" t="s">
        <v>9094</v>
      </c>
    </row>
    <row customHeight="1" ht="11.25">
      <c r="A235" s="0" t="s">
        <v>14</v>
      </c>
      <c r="B235" s="0" t="s">
        <v>9089</v>
      </c>
      <c r="C235" s="0" t="s">
        <v>9090</v>
      </c>
      <c r="D235" s="0" t="s">
        <v>9095</v>
      </c>
      <c r="E235" s="0" t="s">
        <v>9096</v>
      </c>
      <c r="F235" s="0" t="s">
        <v>8468</v>
      </c>
      <c r="G235" s="0" t="s">
        <v>9097</v>
      </c>
    </row>
    <row customHeight="1" ht="11.25">
      <c r="A236" s="0" t="s">
        <v>14</v>
      </c>
      <c r="B236" s="0" t="s">
        <v>9089</v>
      </c>
      <c r="C236" s="0" t="s">
        <v>9090</v>
      </c>
      <c r="D236" s="0" t="s">
        <v>9098</v>
      </c>
      <c r="E236" s="0" t="s">
        <v>9099</v>
      </c>
      <c r="F236" s="0" t="s">
        <v>8468</v>
      </c>
      <c r="G236" s="0" t="s">
        <v>9100</v>
      </c>
    </row>
    <row customHeight="1" ht="11.25">
      <c r="A237" s="0" t="s">
        <v>14</v>
      </c>
      <c r="B237" s="0" t="s">
        <v>9089</v>
      </c>
      <c r="C237" s="0" t="s">
        <v>9090</v>
      </c>
      <c r="D237" s="0" t="s">
        <v>9101</v>
      </c>
      <c r="E237" s="0" t="s">
        <v>9102</v>
      </c>
      <c r="F237" s="0" t="s">
        <v>8465</v>
      </c>
      <c r="G237" s="0" t="s">
        <v>9103</v>
      </c>
    </row>
    <row customHeight="1" ht="11.25">
      <c r="A238" s="0" t="s">
        <v>14</v>
      </c>
      <c r="B238" s="0" t="s">
        <v>9089</v>
      </c>
      <c r="C238" s="0" t="s">
        <v>9090</v>
      </c>
      <c r="D238" s="0" t="s">
        <v>9104</v>
      </c>
      <c r="E238" s="0" t="s">
        <v>9105</v>
      </c>
      <c r="F238" s="0" t="s">
        <v>8468</v>
      </c>
      <c r="G238" s="0" t="s">
        <v>9106</v>
      </c>
    </row>
    <row customHeight="1" ht="11.25">
      <c r="A239" s="0" t="s">
        <v>14</v>
      </c>
      <c r="B239" s="0" t="s">
        <v>9089</v>
      </c>
      <c r="C239" s="0" t="s">
        <v>9090</v>
      </c>
      <c r="D239" s="0" t="s">
        <v>9107</v>
      </c>
      <c r="E239" s="0" t="s">
        <v>9108</v>
      </c>
      <c r="F239" s="0" t="s">
        <v>8468</v>
      </c>
      <c r="G239" s="0" t="s">
        <v>9109</v>
      </c>
    </row>
    <row customHeight="1" ht="11.25">
      <c r="A240" s="0" t="s">
        <v>14</v>
      </c>
      <c r="B240" s="0" t="s">
        <v>9089</v>
      </c>
      <c r="C240" s="0" t="s">
        <v>9090</v>
      </c>
      <c r="D240" s="0" t="s">
        <v>8984</v>
      </c>
      <c r="E240" s="0" t="s">
        <v>9110</v>
      </c>
      <c r="F240" s="0" t="s">
        <v>8471</v>
      </c>
      <c r="G240" s="0" t="s">
        <v>9111</v>
      </c>
    </row>
    <row customHeight="1" ht="11.25">
      <c r="A241" s="0" t="s">
        <v>14</v>
      </c>
      <c r="B241" s="0" t="s">
        <v>9089</v>
      </c>
      <c r="C241" s="0" t="s">
        <v>9090</v>
      </c>
      <c r="D241" s="0" t="s">
        <v>9112</v>
      </c>
      <c r="E241" s="0" t="s">
        <v>9113</v>
      </c>
      <c r="F241" s="0" t="s">
        <v>8471</v>
      </c>
      <c r="G241" s="0" t="s">
        <v>9114</v>
      </c>
    </row>
    <row customHeight="1" ht="11.25">
      <c r="A242" s="0" t="s">
        <v>14</v>
      </c>
      <c r="B242" s="0" t="s">
        <v>9089</v>
      </c>
      <c r="C242" s="0" t="s">
        <v>9090</v>
      </c>
      <c r="D242" s="0" t="s">
        <v>9115</v>
      </c>
      <c r="E242" s="0" t="s">
        <v>9116</v>
      </c>
      <c r="F242" s="0" t="s">
        <v>8471</v>
      </c>
      <c r="G242" s="0" t="s">
        <v>9117</v>
      </c>
    </row>
    <row customHeight="1" ht="11.25">
      <c r="A243" s="0" t="s">
        <v>14</v>
      </c>
      <c r="B243" s="0" t="s">
        <v>9089</v>
      </c>
      <c r="C243" s="0" t="s">
        <v>9090</v>
      </c>
      <c r="D243" s="0" t="s">
        <v>9118</v>
      </c>
      <c r="E243" s="0" t="s">
        <v>9119</v>
      </c>
      <c r="F243" s="0" t="s">
        <v>8471</v>
      </c>
      <c r="G243" s="0" t="s">
        <v>9120</v>
      </c>
    </row>
    <row customHeight="1" ht="11.25">
      <c r="A244" s="0" t="s">
        <v>14</v>
      </c>
      <c r="B244" s="0" t="s">
        <v>9089</v>
      </c>
      <c r="C244" s="0" t="s">
        <v>9090</v>
      </c>
      <c r="D244" s="0" t="s">
        <v>9121</v>
      </c>
      <c r="E244" s="0" t="s">
        <v>9122</v>
      </c>
      <c r="F244" s="0" t="s">
        <v>8471</v>
      </c>
      <c r="G244" s="0" t="s">
        <v>9123</v>
      </c>
    </row>
    <row customHeight="1" ht="11.25">
      <c r="A245" s="0" t="s">
        <v>14</v>
      </c>
      <c r="B245" s="0" t="s">
        <v>9089</v>
      </c>
      <c r="C245" s="0" t="s">
        <v>9090</v>
      </c>
      <c r="D245" s="0" t="s">
        <v>9124</v>
      </c>
      <c r="E245" s="0" t="s">
        <v>9125</v>
      </c>
      <c r="F245" s="0" t="s">
        <v>8471</v>
      </c>
      <c r="G245" s="0" t="s">
        <v>9126</v>
      </c>
    </row>
    <row customHeight="1" ht="11.25">
      <c r="A246" s="0" t="s">
        <v>14</v>
      </c>
      <c r="B246" s="0" t="s">
        <v>9089</v>
      </c>
      <c r="C246" s="0" t="s">
        <v>9090</v>
      </c>
      <c r="D246" s="0" t="s">
        <v>9024</v>
      </c>
      <c r="E246" s="0" t="s">
        <v>9127</v>
      </c>
      <c r="F246" s="0" t="s">
        <v>8471</v>
      </c>
      <c r="G246" s="0" t="s">
        <v>9128</v>
      </c>
    </row>
    <row customHeight="1" ht="11.25">
      <c r="A247" s="0" t="s">
        <v>14</v>
      </c>
      <c r="B247" s="0" t="s">
        <v>9089</v>
      </c>
      <c r="C247" s="0" t="s">
        <v>9090</v>
      </c>
      <c r="D247" s="0" t="s">
        <v>9129</v>
      </c>
      <c r="E247" s="0" t="s">
        <v>9130</v>
      </c>
      <c r="F247" s="0" t="s">
        <v>8471</v>
      </c>
      <c r="G247" s="0" t="s">
        <v>9131</v>
      </c>
    </row>
    <row customHeight="1" ht="11.25">
      <c r="A248" s="0" t="s">
        <v>14</v>
      </c>
      <c r="B248" s="0" t="s">
        <v>9089</v>
      </c>
      <c r="C248" s="0" t="s">
        <v>9090</v>
      </c>
      <c r="D248" s="0" t="s">
        <v>9132</v>
      </c>
      <c r="E248" s="0" t="s">
        <v>9133</v>
      </c>
      <c r="F248" s="0" t="s">
        <v>8471</v>
      </c>
      <c r="G248" s="0" t="s">
        <v>9134</v>
      </c>
    </row>
    <row customHeight="1" ht="11.25">
      <c r="A249" s="0" t="s">
        <v>14</v>
      </c>
      <c r="B249" s="0" t="s">
        <v>9089</v>
      </c>
      <c r="C249" s="0" t="s">
        <v>9090</v>
      </c>
      <c r="D249" s="0" t="s">
        <v>9135</v>
      </c>
      <c r="E249" s="0" t="s">
        <v>9136</v>
      </c>
      <c r="F249" s="0" t="s">
        <v>8471</v>
      </c>
      <c r="G249" s="0" t="s">
        <v>9137</v>
      </c>
    </row>
    <row customHeight="1" ht="11.25">
      <c r="A250" s="0" t="s">
        <v>14</v>
      </c>
      <c r="B250" s="0" t="s">
        <v>9089</v>
      </c>
      <c r="C250" s="0" t="s">
        <v>9090</v>
      </c>
      <c r="D250" s="0" t="s">
        <v>9138</v>
      </c>
      <c r="E250" s="0" t="s">
        <v>9139</v>
      </c>
      <c r="F250" s="0" t="s">
        <v>8471</v>
      </c>
      <c r="G250" s="0" t="s">
        <v>9140</v>
      </c>
    </row>
    <row customHeight="1" ht="11.25">
      <c r="A251" s="0" t="s">
        <v>14</v>
      </c>
      <c r="B251" s="0" t="s">
        <v>9089</v>
      </c>
      <c r="C251" s="0" t="s">
        <v>9090</v>
      </c>
      <c r="D251" s="0" t="s">
        <v>9141</v>
      </c>
      <c r="E251" s="0" t="s">
        <v>9142</v>
      </c>
      <c r="F251" s="0" t="s">
        <v>8471</v>
      </c>
      <c r="G251" s="0" t="s">
        <v>9143</v>
      </c>
    </row>
    <row customHeight="1" ht="11.25">
      <c r="A252" s="0" t="s">
        <v>14</v>
      </c>
      <c r="B252" s="0" t="s">
        <v>9089</v>
      </c>
      <c r="C252" s="0" t="s">
        <v>9090</v>
      </c>
      <c r="D252" s="0" t="s">
        <v>9144</v>
      </c>
      <c r="E252" s="0" t="s">
        <v>9145</v>
      </c>
      <c r="F252" s="0" t="s">
        <v>8471</v>
      </c>
      <c r="G252" s="0" t="s">
        <v>9146</v>
      </c>
    </row>
    <row customHeight="1" ht="11.25">
      <c r="A253" s="0" t="s">
        <v>14</v>
      </c>
      <c r="B253" s="0" t="s">
        <v>9089</v>
      </c>
      <c r="C253" s="0" t="s">
        <v>9090</v>
      </c>
      <c r="D253" s="0" t="s">
        <v>9147</v>
      </c>
      <c r="E253" s="0" t="s">
        <v>9148</v>
      </c>
      <c r="F253" s="0" t="s">
        <v>8471</v>
      </c>
      <c r="G253" s="0" t="s">
        <v>9149</v>
      </c>
    </row>
    <row customHeight="1" ht="11.25">
      <c r="A254" s="0" t="s">
        <v>14</v>
      </c>
      <c r="B254" s="0" t="s">
        <v>9089</v>
      </c>
      <c r="C254" s="0" t="s">
        <v>9090</v>
      </c>
      <c r="D254" s="0" t="s">
        <v>9150</v>
      </c>
      <c r="E254" s="0" t="s">
        <v>9151</v>
      </c>
      <c r="F254" s="0" t="s">
        <v>8471</v>
      </c>
      <c r="G254" s="0" t="s">
        <v>9152</v>
      </c>
    </row>
    <row customHeight="1" ht="11.25">
      <c r="A255" s="0" t="s">
        <v>14</v>
      </c>
      <c r="B255" s="0" t="s">
        <v>9153</v>
      </c>
      <c r="C255" s="0" t="s">
        <v>9154</v>
      </c>
      <c r="D255" s="0" t="s">
        <v>9153</v>
      </c>
      <c r="E255" s="0" t="s">
        <v>9154</v>
      </c>
      <c r="F255" s="0" t="s">
        <v>8457</v>
      </c>
      <c r="G255" s="0" t="s">
        <v>9155</v>
      </c>
    </row>
    <row customHeight="1" ht="11.25">
      <c r="A256" s="0" t="s">
        <v>14</v>
      </c>
      <c r="B256" s="0" t="s">
        <v>9156</v>
      </c>
      <c r="C256" s="0" t="s">
        <v>9157</v>
      </c>
      <c r="D256" s="0" t="s">
        <v>9156</v>
      </c>
      <c r="E256" s="0" t="s">
        <v>9157</v>
      </c>
      <c r="F256" s="0" t="s">
        <v>8462</v>
      </c>
      <c r="G256" s="0" t="s">
        <v>9158</v>
      </c>
    </row>
    <row customHeight="1" ht="11.25">
      <c r="A257" s="0" t="s">
        <v>14</v>
      </c>
      <c r="B257" s="0" t="s">
        <v>9156</v>
      </c>
      <c r="C257" s="0" t="s">
        <v>9157</v>
      </c>
      <c r="D257" s="0" t="s">
        <v>9159</v>
      </c>
      <c r="E257" s="0" t="s">
        <v>9160</v>
      </c>
      <c r="F257" s="0" t="s">
        <v>8465</v>
      </c>
      <c r="G257" s="0" t="s">
        <v>9161</v>
      </c>
    </row>
    <row customHeight="1" ht="11.25">
      <c r="A258" s="0" t="s">
        <v>14</v>
      </c>
      <c r="B258" s="0" t="s">
        <v>9156</v>
      </c>
      <c r="C258" s="0" t="s">
        <v>9157</v>
      </c>
      <c r="D258" s="0" t="s">
        <v>9162</v>
      </c>
      <c r="E258" s="0" t="s">
        <v>9163</v>
      </c>
      <c r="F258" s="0" t="s">
        <v>8468</v>
      </c>
      <c r="G258" s="0" t="s">
        <v>9164</v>
      </c>
    </row>
    <row customHeight="1" ht="11.25">
      <c r="A259" s="0" t="s">
        <v>14</v>
      </c>
      <c r="B259" s="0" t="s">
        <v>9156</v>
      </c>
      <c r="C259" s="0" t="s">
        <v>9157</v>
      </c>
      <c r="D259" s="0" t="s">
        <v>9165</v>
      </c>
      <c r="E259" s="0" t="s">
        <v>9166</v>
      </c>
      <c r="F259" s="0" t="s">
        <v>8471</v>
      </c>
      <c r="G259" s="0" t="s">
        <v>9167</v>
      </c>
    </row>
    <row customHeight="1" ht="11.25">
      <c r="A260" s="0" t="s">
        <v>14</v>
      </c>
      <c r="B260" s="0" t="s">
        <v>9156</v>
      </c>
      <c r="C260" s="0" t="s">
        <v>9157</v>
      </c>
      <c r="D260" s="0" t="s">
        <v>8995</v>
      </c>
      <c r="E260" s="0" t="s">
        <v>9168</v>
      </c>
      <c r="F260" s="0" t="s">
        <v>8471</v>
      </c>
      <c r="G260" s="0" t="s">
        <v>9169</v>
      </c>
    </row>
    <row customHeight="1" ht="11.25">
      <c r="A261" s="0" t="s">
        <v>14</v>
      </c>
      <c r="B261" s="0" t="s">
        <v>9156</v>
      </c>
      <c r="C261" s="0" t="s">
        <v>9157</v>
      </c>
      <c r="D261" s="0" t="s">
        <v>8566</v>
      </c>
      <c r="E261" s="0" t="s">
        <v>9170</v>
      </c>
      <c r="F261" s="0" t="s">
        <v>8471</v>
      </c>
      <c r="G261" s="0" t="s">
        <v>9171</v>
      </c>
    </row>
    <row customHeight="1" ht="11.25">
      <c r="A262" s="0" t="s">
        <v>14</v>
      </c>
      <c r="B262" s="0" t="s">
        <v>9156</v>
      </c>
      <c r="C262" s="0" t="s">
        <v>9157</v>
      </c>
      <c r="D262" s="0" t="s">
        <v>9172</v>
      </c>
      <c r="E262" s="0" t="s">
        <v>9173</v>
      </c>
      <c r="F262" s="0" t="s">
        <v>8471</v>
      </c>
      <c r="G262" s="0" t="s">
        <v>9174</v>
      </c>
    </row>
    <row customHeight="1" ht="11.25">
      <c r="A263" s="0" t="s">
        <v>14</v>
      </c>
      <c r="B263" s="0" t="s">
        <v>9156</v>
      </c>
      <c r="C263" s="0" t="s">
        <v>9157</v>
      </c>
      <c r="D263" s="0" t="s">
        <v>9175</v>
      </c>
      <c r="E263" s="0" t="s">
        <v>9176</v>
      </c>
      <c r="F263" s="0" t="s">
        <v>8471</v>
      </c>
      <c r="G263" s="0" t="s">
        <v>9177</v>
      </c>
    </row>
    <row customHeight="1" ht="11.25">
      <c r="A264" s="0" t="s">
        <v>14</v>
      </c>
      <c r="B264" s="0" t="s">
        <v>9178</v>
      </c>
      <c r="C264" s="0" t="s">
        <v>9179</v>
      </c>
      <c r="D264" s="0" t="s">
        <v>9178</v>
      </c>
      <c r="E264" s="0" t="s">
        <v>9179</v>
      </c>
      <c r="F264" s="0" t="s">
        <v>8457</v>
      </c>
      <c r="G264" s="0" t="s">
        <v>9180</v>
      </c>
    </row>
    <row customHeight="1" ht="11.25">
      <c r="A265" s="0" t="s">
        <v>14</v>
      </c>
      <c r="B265" s="0" t="s">
        <v>9181</v>
      </c>
      <c r="C265" s="0" t="s">
        <v>9182</v>
      </c>
      <c r="D265" s="0" t="s">
        <v>9183</v>
      </c>
      <c r="E265" s="0" t="s">
        <v>9184</v>
      </c>
      <c r="F265" s="0" t="s">
        <v>8465</v>
      </c>
      <c r="G265" s="0" t="s">
        <v>9185</v>
      </c>
    </row>
    <row customHeight="1" ht="11.25">
      <c r="A266" s="0" t="s">
        <v>14</v>
      </c>
      <c r="B266" s="0" t="s">
        <v>9181</v>
      </c>
      <c r="C266" s="0" t="s">
        <v>9182</v>
      </c>
      <c r="D266" s="0" t="s">
        <v>9181</v>
      </c>
      <c r="E266" s="0" t="s">
        <v>9182</v>
      </c>
      <c r="F266" s="0" t="s">
        <v>8462</v>
      </c>
      <c r="G266" s="0" t="s">
        <v>9186</v>
      </c>
    </row>
    <row customHeight="1" ht="11.25">
      <c r="A267" s="0" t="s">
        <v>14</v>
      </c>
      <c r="B267" s="0" t="s">
        <v>9181</v>
      </c>
      <c r="C267" s="0" t="s">
        <v>9182</v>
      </c>
      <c r="D267" s="0" t="s">
        <v>9187</v>
      </c>
      <c r="E267" s="0" t="s">
        <v>9188</v>
      </c>
      <c r="F267" s="0" t="s">
        <v>8468</v>
      </c>
      <c r="G267" s="0" t="s">
        <v>9189</v>
      </c>
    </row>
    <row customHeight="1" ht="11.25">
      <c r="A268" s="0" t="s">
        <v>14</v>
      </c>
      <c r="B268" s="0" t="s">
        <v>9181</v>
      </c>
      <c r="C268" s="0" t="s">
        <v>9182</v>
      </c>
      <c r="D268" s="0" t="s">
        <v>9190</v>
      </c>
      <c r="E268" s="0" t="s">
        <v>9191</v>
      </c>
      <c r="F268" s="0" t="s">
        <v>8465</v>
      </c>
      <c r="G268" s="0" t="s">
        <v>9192</v>
      </c>
    </row>
    <row customHeight="1" ht="11.25">
      <c r="A269" s="0" t="s">
        <v>14</v>
      </c>
      <c r="B269" s="0" t="s">
        <v>9181</v>
      </c>
      <c r="C269" s="0" t="s">
        <v>9182</v>
      </c>
      <c r="D269" s="0" t="s">
        <v>9193</v>
      </c>
      <c r="E269" s="0" t="s">
        <v>9194</v>
      </c>
      <c r="F269" s="0" t="s">
        <v>8465</v>
      </c>
      <c r="G269" s="0" t="s">
        <v>9195</v>
      </c>
    </row>
    <row customHeight="1" ht="11.25">
      <c r="A270" s="0" t="s">
        <v>14</v>
      </c>
      <c r="B270" s="0" t="s">
        <v>9181</v>
      </c>
      <c r="C270" s="0" t="s">
        <v>9182</v>
      </c>
      <c r="D270" s="0" t="s">
        <v>9196</v>
      </c>
      <c r="E270" s="0" t="s">
        <v>9197</v>
      </c>
      <c r="F270" s="0" t="s">
        <v>8468</v>
      </c>
      <c r="G270" s="0" t="s">
        <v>9198</v>
      </c>
    </row>
    <row customHeight="1" ht="11.25">
      <c r="A271" s="0" t="s">
        <v>14</v>
      </c>
      <c r="B271" s="0" t="s">
        <v>9181</v>
      </c>
      <c r="C271" s="0" t="s">
        <v>9182</v>
      </c>
      <c r="D271" s="0" t="s">
        <v>9199</v>
      </c>
      <c r="E271" s="0" t="s">
        <v>9200</v>
      </c>
      <c r="F271" s="0" t="s">
        <v>8465</v>
      </c>
      <c r="G271" s="0" t="s">
        <v>9201</v>
      </c>
    </row>
    <row customHeight="1" ht="11.25">
      <c r="A272" s="0" t="s">
        <v>14</v>
      </c>
      <c r="B272" s="0" t="s">
        <v>9181</v>
      </c>
      <c r="C272" s="0" t="s">
        <v>9182</v>
      </c>
      <c r="D272" s="0" t="s">
        <v>9202</v>
      </c>
      <c r="E272" s="0" t="s">
        <v>9203</v>
      </c>
      <c r="F272" s="0" t="s">
        <v>8471</v>
      </c>
      <c r="G272" s="0" t="s">
        <v>9204</v>
      </c>
    </row>
    <row customHeight="1" ht="11.25">
      <c r="A273" s="0" t="s">
        <v>14</v>
      </c>
      <c r="B273" s="0" t="s">
        <v>9181</v>
      </c>
      <c r="C273" s="0" t="s">
        <v>9182</v>
      </c>
      <c r="D273" s="0" t="s">
        <v>9205</v>
      </c>
      <c r="E273" s="0" t="s">
        <v>9206</v>
      </c>
      <c r="F273" s="0" t="s">
        <v>8471</v>
      </c>
      <c r="G273" s="0" t="s">
        <v>9207</v>
      </c>
    </row>
    <row customHeight="1" ht="11.25">
      <c r="A274" s="0" t="s">
        <v>14</v>
      </c>
      <c r="B274" s="0" t="s">
        <v>9181</v>
      </c>
      <c r="C274" s="0" t="s">
        <v>9182</v>
      </c>
      <c r="D274" s="0" t="s">
        <v>9208</v>
      </c>
      <c r="E274" s="0" t="s">
        <v>9209</v>
      </c>
      <c r="F274" s="0" t="s">
        <v>8471</v>
      </c>
      <c r="G274" s="0" t="s">
        <v>9210</v>
      </c>
    </row>
    <row customHeight="1" ht="11.25">
      <c r="A275" s="0" t="s">
        <v>14</v>
      </c>
      <c r="B275" s="0" t="s">
        <v>9181</v>
      </c>
      <c r="C275" s="0" t="s">
        <v>9182</v>
      </c>
      <c r="D275" s="0" t="s">
        <v>9211</v>
      </c>
      <c r="E275" s="0" t="s">
        <v>9212</v>
      </c>
      <c r="F275" s="0" t="s">
        <v>8471</v>
      </c>
      <c r="G275" s="0" t="s">
        <v>9213</v>
      </c>
    </row>
    <row customHeight="1" ht="11.25">
      <c r="A276" s="0" t="s">
        <v>14</v>
      </c>
      <c r="B276" s="0" t="s">
        <v>9181</v>
      </c>
      <c r="C276" s="0" t="s">
        <v>9182</v>
      </c>
      <c r="D276" s="0" t="s">
        <v>9214</v>
      </c>
      <c r="E276" s="0" t="s">
        <v>9215</v>
      </c>
      <c r="F276" s="0" t="s">
        <v>8471</v>
      </c>
      <c r="G276" s="0" t="s">
        <v>9216</v>
      </c>
    </row>
    <row customHeight="1" ht="11.25">
      <c r="A277" s="0" t="s">
        <v>14</v>
      </c>
      <c r="B277" s="0" t="s">
        <v>9181</v>
      </c>
      <c r="C277" s="0" t="s">
        <v>9182</v>
      </c>
      <c r="D277" s="0" t="s">
        <v>9217</v>
      </c>
      <c r="E277" s="0" t="s">
        <v>9218</v>
      </c>
      <c r="F277" s="0" t="s">
        <v>8471</v>
      </c>
      <c r="G277" s="0" t="s">
        <v>9219</v>
      </c>
    </row>
    <row customHeight="1" ht="11.25">
      <c r="A278" s="0" t="s">
        <v>14</v>
      </c>
      <c r="B278" s="0" t="s">
        <v>9220</v>
      </c>
      <c r="C278" s="0" t="s">
        <v>9221</v>
      </c>
      <c r="D278" s="0" t="s">
        <v>9220</v>
      </c>
      <c r="E278" s="0" t="s">
        <v>9221</v>
      </c>
      <c r="F278" s="0" t="s">
        <v>8462</v>
      </c>
      <c r="G278" s="0" t="s">
        <v>9222</v>
      </c>
    </row>
    <row customHeight="1" ht="11.25">
      <c r="A279" s="0" t="s">
        <v>14</v>
      </c>
      <c r="B279" s="0" t="s">
        <v>9220</v>
      </c>
      <c r="C279" s="0" t="s">
        <v>9221</v>
      </c>
      <c r="D279" s="0" t="s">
        <v>9223</v>
      </c>
      <c r="E279" s="0" t="s">
        <v>9224</v>
      </c>
      <c r="F279" s="0" t="s">
        <v>8468</v>
      </c>
      <c r="G279" s="0" t="s">
        <v>9225</v>
      </c>
    </row>
    <row customHeight="1" ht="11.25">
      <c r="A280" s="0" t="s">
        <v>14</v>
      </c>
      <c r="B280" s="0" t="s">
        <v>9220</v>
      </c>
      <c r="C280" s="0" t="s">
        <v>9221</v>
      </c>
      <c r="D280" s="0" t="s">
        <v>9226</v>
      </c>
      <c r="E280" s="0" t="s">
        <v>9227</v>
      </c>
      <c r="F280" s="0" t="s">
        <v>8471</v>
      </c>
      <c r="G280" s="0" t="s">
        <v>9228</v>
      </c>
    </row>
    <row customHeight="1" ht="11.25">
      <c r="A281" s="0" t="s">
        <v>14</v>
      </c>
      <c r="B281" s="0" t="s">
        <v>9220</v>
      </c>
      <c r="C281" s="0" t="s">
        <v>9221</v>
      </c>
      <c r="D281" s="0" t="s">
        <v>9229</v>
      </c>
      <c r="E281" s="0" t="s">
        <v>9230</v>
      </c>
      <c r="F281" s="0" t="s">
        <v>8471</v>
      </c>
      <c r="G281" s="0" t="s">
        <v>9231</v>
      </c>
    </row>
    <row customHeight="1" ht="11.25">
      <c r="A282" s="0" t="s">
        <v>14</v>
      </c>
      <c r="B282" s="0" t="s">
        <v>9220</v>
      </c>
      <c r="C282" s="0" t="s">
        <v>9221</v>
      </c>
      <c r="D282" s="0" t="s">
        <v>8948</v>
      </c>
      <c r="E282" s="0" t="s">
        <v>9232</v>
      </c>
      <c r="F282" s="0" t="s">
        <v>8471</v>
      </c>
      <c r="G282" s="0" t="s">
        <v>9233</v>
      </c>
    </row>
    <row customHeight="1" ht="11.25">
      <c r="A283" s="0" t="s">
        <v>14</v>
      </c>
      <c r="B283" s="0" t="s">
        <v>9234</v>
      </c>
      <c r="C283" s="0" t="s">
        <v>9235</v>
      </c>
      <c r="D283" s="0" t="s">
        <v>9234</v>
      </c>
      <c r="E283" s="0" t="s">
        <v>9235</v>
      </c>
      <c r="F283" s="0" t="s">
        <v>8462</v>
      </c>
      <c r="G283" s="0" t="s">
        <v>9236</v>
      </c>
    </row>
    <row customHeight="1" ht="11.25">
      <c r="A284" s="0" t="s">
        <v>14</v>
      </c>
      <c r="B284" s="0" t="s">
        <v>9234</v>
      </c>
      <c r="C284" s="0" t="s">
        <v>9235</v>
      </c>
      <c r="D284" s="0" t="s">
        <v>9237</v>
      </c>
      <c r="E284" s="0" t="s">
        <v>9238</v>
      </c>
      <c r="F284" s="0" t="s">
        <v>8468</v>
      </c>
      <c r="G284" s="0" t="s">
        <v>9239</v>
      </c>
    </row>
    <row customHeight="1" ht="11.25">
      <c r="A285" s="0" t="s">
        <v>14</v>
      </c>
      <c r="B285" s="0" t="s">
        <v>9234</v>
      </c>
      <c r="C285" s="0" t="s">
        <v>9235</v>
      </c>
      <c r="D285" s="0" t="s">
        <v>9240</v>
      </c>
      <c r="E285" s="0" t="s">
        <v>9241</v>
      </c>
      <c r="F285" s="0" t="s">
        <v>8468</v>
      </c>
      <c r="G285" s="0" t="s">
        <v>9242</v>
      </c>
    </row>
    <row customHeight="1" ht="11.25">
      <c r="A286" s="0" t="s">
        <v>14</v>
      </c>
      <c r="B286" s="0" t="s">
        <v>9234</v>
      </c>
      <c r="C286" s="0" t="s">
        <v>9235</v>
      </c>
      <c r="D286" s="0" t="s">
        <v>9205</v>
      </c>
      <c r="E286" s="0" t="s">
        <v>9243</v>
      </c>
      <c r="F286" s="0" t="s">
        <v>8471</v>
      </c>
      <c r="G286" s="0" t="s">
        <v>9244</v>
      </c>
    </row>
    <row customHeight="1" ht="11.25">
      <c r="A287" s="0" t="s">
        <v>14</v>
      </c>
      <c r="B287" s="0" t="s">
        <v>9234</v>
      </c>
      <c r="C287" s="0" t="s">
        <v>9235</v>
      </c>
      <c r="D287" s="0" t="s">
        <v>9245</v>
      </c>
      <c r="E287" s="0" t="s">
        <v>9246</v>
      </c>
      <c r="F287" s="0" t="s">
        <v>8471</v>
      </c>
      <c r="G287" s="0" t="s">
        <v>9247</v>
      </c>
    </row>
    <row customHeight="1" ht="11.25">
      <c r="A288" s="0" t="s">
        <v>14</v>
      </c>
      <c r="B288" s="0" t="s">
        <v>9234</v>
      </c>
      <c r="C288" s="0" t="s">
        <v>9235</v>
      </c>
      <c r="D288" s="0" t="s">
        <v>9248</v>
      </c>
      <c r="E288" s="0" t="s">
        <v>9249</v>
      </c>
      <c r="F288" s="0" t="s">
        <v>8471</v>
      </c>
      <c r="G288" s="0" t="s">
        <v>9250</v>
      </c>
    </row>
    <row customHeight="1" ht="11.25">
      <c r="A289" s="0" t="s">
        <v>14</v>
      </c>
      <c r="B289" s="0" t="s">
        <v>9234</v>
      </c>
      <c r="C289" s="0" t="s">
        <v>9235</v>
      </c>
      <c r="D289" s="0" t="s">
        <v>9251</v>
      </c>
      <c r="E289" s="0" t="s">
        <v>9252</v>
      </c>
      <c r="F289" s="0" t="s">
        <v>8471</v>
      </c>
      <c r="G289" s="0" t="s">
        <v>9253</v>
      </c>
    </row>
    <row customHeight="1" ht="11.25">
      <c r="A290" s="0" t="s">
        <v>14</v>
      </c>
      <c r="B290" s="0" t="s">
        <v>9234</v>
      </c>
      <c r="C290" s="0" t="s">
        <v>9235</v>
      </c>
      <c r="D290" s="0" t="s">
        <v>9254</v>
      </c>
      <c r="E290" s="0" t="s">
        <v>9255</v>
      </c>
      <c r="F290" s="0" t="s">
        <v>8471</v>
      </c>
      <c r="G290" s="0" t="s">
        <v>9256</v>
      </c>
    </row>
    <row customHeight="1" ht="11.25">
      <c r="A291" s="0" t="s">
        <v>14</v>
      </c>
      <c r="B291" s="0" t="s">
        <v>9257</v>
      </c>
      <c r="C291" s="0" t="s">
        <v>9258</v>
      </c>
      <c r="D291" s="0" t="s">
        <v>9257</v>
      </c>
      <c r="E291" s="0" t="s">
        <v>9258</v>
      </c>
      <c r="F291" s="0" t="s">
        <v>8457</v>
      </c>
      <c r="G291" s="0" t="s">
        <v>9259</v>
      </c>
    </row>
    <row customHeight="1" ht="11.25">
      <c r="A292" s="0" t="s">
        <v>14</v>
      </c>
      <c r="B292" s="0" t="s">
        <v>9260</v>
      </c>
      <c r="C292" s="0" t="s">
        <v>9261</v>
      </c>
      <c r="D292" s="0" t="s">
        <v>9260</v>
      </c>
      <c r="E292" s="0" t="s">
        <v>9261</v>
      </c>
      <c r="F292" s="0" t="s">
        <v>8462</v>
      </c>
      <c r="G292" s="0" t="s">
        <v>9262</v>
      </c>
    </row>
    <row customHeight="1" ht="11.25">
      <c r="A293" s="0" t="s">
        <v>14</v>
      </c>
      <c r="B293" s="0" t="s">
        <v>9260</v>
      </c>
      <c r="C293" s="0" t="s">
        <v>9261</v>
      </c>
      <c r="D293" s="0" t="s">
        <v>9263</v>
      </c>
      <c r="E293" s="0" t="s">
        <v>9264</v>
      </c>
      <c r="F293" s="0" t="s">
        <v>8468</v>
      </c>
      <c r="G293" s="0" t="s">
        <v>9265</v>
      </c>
    </row>
    <row customHeight="1" ht="11.25">
      <c r="A294" s="0" t="s">
        <v>14</v>
      </c>
      <c r="B294" s="0" t="s">
        <v>9260</v>
      </c>
      <c r="C294" s="0" t="s">
        <v>9261</v>
      </c>
      <c r="D294" s="0" t="s">
        <v>9266</v>
      </c>
      <c r="E294" s="0" t="s">
        <v>9267</v>
      </c>
      <c r="F294" s="0" t="s">
        <v>8468</v>
      </c>
      <c r="G294" s="0" t="s">
        <v>9268</v>
      </c>
    </row>
    <row customHeight="1" ht="11.25">
      <c r="A295" s="0" t="s">
        <v>14</v>
      </c>
      <c r="B295" s="0" t="s">
        <v>9260</v>
      </c>
      <c r="C295" s="0" t="s">
        <v>9261</v>
      </c>
      <c r="D295" s="0" t="s">
        <v>9269</v>
      </c>
      <c r="E295" s="0" t="s">
        <v>9270</v>
      </c>
      <c r="F295" s="0" t="s">
        <v>8468</v>
      </c>
      <c r="G295" s="0" t="s">
        <v>9271</v>
      </c>
    </row>
    <row customHeight="1" ht="11.25">
      <c r="A296" s="0" t="s">
        <v>14</v>
      </c>
      <c r="B296" s="0" t="s">
        <v>9260</v>
      </c>
      <c r="C296" s="0" t="s">
        <v>9261</v>
      </c>
      <c r="D296" s="0" t="s">
        <v>9272</v>
      </c>
      <c r="E296" s="0" t="s">
        <v>9273</v>
      </c>
      <c r="F296" s="0" t="s">
        <v>8468</v>
      </c>
      <c r="G296" s="0" t="s">
        <v>9274</v>
      </c>
    </row>
    <row customHeight="1" ht="11.25">
      <c r="A297" s="0" t="s">
        <v>14</v>
      </c>
      <c r="B297" s="0" t="s">
        <v>9260</v>
      </c>
      <c r="C297" s="0" t="s">
        <v>9261</v>
      </c>
      <c r="D297" s="0" t="s">
        <v>9275</v>
      </c>
      <c r="E297" s="0" t="s">
        <v>9276</v>
      </c>
      <c r="F297" s="0" t="s">
        <v>8465</v>
      </c>
      <c r="G297" s="0" t="s">
        <v>9277</v>
      </c>
    </row>
    <row customHeight="1" ht="11.25">
      <c r="A298" s="0" t="s">
        <v>14</v>
      </c>
      <c r="B298" s="0" t="s">
        <v>9260</v>
      </c>
      <c r="C298" s="0" t="s">
        <v>9261</v>
      </c>
      <c r="D298" s="0" t="s">
        <v>9278</v>
      </c>
      <c r="E298" s="0" t="s">
        <v>9279</v>
      </c>
      <c r="F298" s="0" t="s">
        <v>8471</v>
      </c>
      <c r="G298" s="0" t="s">
        <v>9280</v>
      </c>
    </row>
    <row customHeight="1" ht="11.25">
      <c r="A299" s="0" t="s">
        <v>14</v>
      </c>
      <c r="B299" s="0" t="s">
        <v>9260</v>
      </c>
      <c r="C299" s="0" t="s">
        <v>9261</v>
      </c>
      <c r="D299" s="0" t="s">
        <v>9281</v>
      </c>
      <c r="E299" s="0" t="s">
        <v>9282</v>
      </c>
      <c r="F299" s="0" t="s">
        <v>8471</v>
      </c>
      <c r="G299" s="0" t="s">
        <v>9283</v>
      </c>
    </row>
    <row customHeight="1" ht="11.25">
      <c r="A300" s="0" t="s">
        <v>14</v>
      </c>
      <c r="B300" s="0" t="s">
        <v>9260</v>
      </c>
      <c r="C300" s="0" t="s">
        <v>9261</v>
      </c>
      <c r="D300" s="0" t="s">
        <v>9284</v>
      </c>
      <c r="E300" s="0" t="s">
        <v>9285</v>
      </c>
      <c r="F300" s="0" t="s">
        <v>8471</v>
      </c>
      <c r="G300" s="0" t="s">
        <v>9286</v>
      </c>
    </row>
    <row customHeight="1" ht="11.25">
      <c r="A301" s="0" t="s">
        <v>14</v>
      </c>
      <c r="B301" s="0" t="s">
        <v>9260</v>
      </c>
      <c r="C301" s="0" t="s">
        <v>9261</v>
      </c>
      <c r="D301" s="0" t="s">
        <v>9287</v>
      </c>
      <c r="E301" s="0" t="s">
        <v>9288</v>
      </c>
      <c r="F301" s="0" t="s">
        <v>8471</v>
      </c>
      <c r="G301" s="0" t="s">
        <v>9289</v>
      </c>
    </row>
    <row customHeight="1" ht="11.25">
      <c r="A302" s="0" t="s">
        <v>14</v>
      </c>
      <c r="B302" s="0" t="s">
        <v>9260</v>
      </c>
      <c r="C302" s="0" t="s">
        <v>9261</v>
      </c>
      <c r="D302" s="0" t="s">
        <v>9290</v>
      </c>
      <c r="E302" s="0" t="s">
        <v>9291</v>
      </c>
      <c r="F302" s="0" t="s">
        <v>8471</v>
      </c>
      <c r="G302" s="0" t="s">
        <v>9292</v>
      </c>
    </row>
    <row customHeight="1" ht="11.25">
      <c r="A303" s="0" t="s">
        <v>14</v>
      </c>
      <c r="B303" s="0" t="s">
        <v>9260</v>
      </c>
      <c r="C303" s="0" t="s">
        <v>9261</v>
      </c>
      <c r="D303" s="0" t="s">
        <v>9293</v>
      </c>
      <c r="E303" s="0" t="s">
        <v>9294</v>
      </c>
      <c r="F303" s="0" t="s">
        <v>8471</v>
      </c>
      <c r="G303" s="0" t="s">
        <v>9295</v>
      </c>
    </row>
    <row customHeight="1" ht="11.25">
      <c r="A304" s="0" t="s">
        <v>14</v>
      </c>
      <c r="B304" s="0" t="s">
        <v>9296</v>
      </c>
      <c r="C304" s="0" t="s">
        <v>9297</v>
      </c>
      <c r="D304" s="0" t="s">
        <v>9296</v>
      </c>
      <c r="E304" s="0" t="s">
        <v>9297</v>
      </c>
      <c r="F304" s="0" t="s">
        <v>8457</v>
      </c>
      <c r="G304" s="0" t="s">
        <v>9298</v>
      </c>
    </row>
    <row customHeight="1" ht="11.25">
      <c r="A305" s="0" t="s">
        <v>14</v>
      </c>
      <c r="B305" s="0" t="s">
        <v>9299</v>
      </c>
      <c r="C305" s="0" t="s">
        <v>9300</v>
      </c>
      <c r="D305" s="0" t="s">
        <v>9299</v>
      </c>
      <c r="E305" s="0" t="s">
        <v>9300</v>
      </c>
      <c r="F305" s="0" t="s">
        <v>8462</v>
      </c>
      <c r="G305" s="0" t="s">
        <v>9301</v>
      </c>
    </row>
    <row customHeight="1" ht="11.25">
      <c r="A306" s="0" t="s">
        <v>14</v>
      </c>
      <c r="B306" s="0" t="s">
        <v>9299</v>
      </c>
      <c r="C306" s="0" t="s">
        <v>9300</v>
      </c>
      <c r="D306" s="0" t="s">
        <v>9302</v>
      </c>
      <c r="E306" s="0" t="s">
        <v>9303</v>
      </c>
      <c r="F306" s="0" t="s">
        <v>8468</v>
      </c>
      <c r="G306" s="0" t="s">
        <v>9304</v>
      </c>
    </row>
    <row customHeight="1" ht="11.25">
      <c r="A307" s="0" t="s">
        <v>14</v>
      </c>
      <c r="B307" s="0" t="s">
        <v>9299</v>
      </c>
      <c r="C307" s="0" t="s">
        <v>9300</v>
      </c>
      <c r="D307" s="0" t="s">
        <v>9305</v>
      </c>
      <c r="E307" s="0" t="s">
        <v>9306</v>
      </c>
      <c r="F307" s="0" t="s">
        <v>8468</v>
      </c>
      <c r="G307" s="0" t="s">
        <v>9307</v>
      </c>
    </row>
    <row customHeight="1" ht="11.25">
      <c r="A308" s="0" t="s">
        <v>14</v>
      </c>
      <c r="B308" s="0" t="s">
        <v>9299</v>
      </c>
      <c r="C308" s="0" t="s">
        <v>9300</v>
      </c>
      <c r="D308" s="0" t="s">
        <v>9308</v>
      </c>
      <c r="E308" s="0" t="s">
        <v>9309</v>
      </c>
      <c r="F308" s="0" t="s">
        <v>8468</v>
      </c>
      <c r="G308" s="0" t="s">
        <v>9310</v>
      </c>
    </row>
    <row customHeight="1" ht="11.25">
      <c r="A309" s="0" t="s">
        <v>14</v>
      </c>
      <c r="B309" s="0" t="s">
        <v>9299</v>
      </c>
      <c r="C309" s="0" t="s">
        <v>9300</v>
      </c>
      <c r="D309" s="0" t="s">
        <v>9311</v>
      </c>
      <c r="E309" s="0" t="s">
        <v>9312</v>
      </c>
      <c r="F309" s="0" t="s">
        <v>8465</v>
      </c>
      <c r="G309" s="0" t="s">
        <v>9313</v>
      </c>
    </row>
    <row customHeight="1" ht="11.25">
      <c r="A310" s="0" t="s">
        <v>14</v>
      </c>
      <c r="B310" s="0" t="s">
        <v>9299</v>
      </c>
      <c r="C310" s="0" t="s">
        <v>9300</v>
      </c>
      <c r="D310" s="0" t="s">
        <v>9314</v>
      </c>
      <c r="E310" s="0" t="s">
        <v>9315</v>
      </c>
      <c r="F310" s="0" t="s">
        <v>8471</v>
      </c>
      <c r="G310" s="0" t="s">
        <v>9316</v>
      </c>
    </row>
    <row customHeight="1" ht="11.25">
      <c r="A311" s="0" t="s">
        <v>14</v>
      </c>
      <c r="B311" s="0" t="s">
        <v>9299</v>
      </c>
      <c r="C311" s="0" t="s">
        <v>9300</v>
      </c>
      <c r="D311" s="0" t="s">
        <v>9317</v>
      </c>
      <c r="E311" s="0" t="s">
        <v>9318</v>
      </c>
      <c r="F311" s="0" t="s">
        <v>8471</v>
      </c>
      <c r="G311" s="0" t="s">
        <v>9319</v>
      </c>
    </row>
    <row customHeight="1" ht="11.25">
      <c r="A312" s="0" t="s">
        <v>14</v>
      </c>
      <c r="B312" s="0" t="s">
        <v>9299</v>
      </c>
      <c r="C312" s="0" t="s">
        <v>9300</v>
      </c>
      <c r="D312" s="0" t="s">
        <v>9320</v>
      </c>
      <c r="E312" s="0" t="s">
        <v>9321</v>
      </c>
      <c r="F312" s="0" t="s">
        <v>8471</v>
      </c>
      <c r="G312" s="0" t="s">
        <v>9322</v>
      </c>
    </row>
    <row customHeight="1" ht="11.25">
      <c r="A313" s="0" t="s">
        <v>14</v>
      </c>
      <c r="B313" s="0" t="s">
        <v>9323</v>
      </c>
      <c r="C313" s="0" t="s">
        <v>9324</v>
      </c>
      <c r="D313" s="0" t="s">
        <v>9323</v>
      </c>
      <c r="E313" s="0" t="s">
        <v>9324</v>
      </c>
      <c r="F313" s="0" t="s">
        <v>8457</v>
      </c>
      <c r="G313" s="0" t="s">
        <v>9325</v>
      </c>
    </row>
    <row customHeight="1" ht="11.25">
      <c r="A314" s="0" t="s">
        <v>14</v>
      </c>
      <c r="B314" s="0" t="s">
        <v>9326</v>
      </c>
      <c r="C314" s="0" t="s">
        <v>9327</v>
      </c>
      <c r="D314" s="0" t="s">
        <v>9328</v>
      </c>
      <c r="E314" s="0" t="s">
        <v>9329</v>
      </c>
      <c r="F314" s="0" t="s">
        <v>8471</v>
      </c>
      <c r="G314" s="0" t="s">
        <v>9330</v>
      </c>
    </row>
    <row customHeight="1" ht="11.25">
      <c r="A315" s="0" t="s">
        <v>14</v>
      </c>
      <c r="B315" s="0" t="s">
        <v>9326</v>
      </c>
      <c r="C315" s="0" t="s">
        <v>9327</v>
      </c>
      <c r="D315" s="0" t="s">
        <v>9326</v>
      </c>
      <c r="E315" s="0" t="s">
        <v>9327</v>
      </c>
      <c r="F315" s="0" t="s">
        <v>8462</v>
      </c>
      <c r="G315" s="0" t="s">
        <v>9331</v>
      </c>
    </row>
    <row customHeight="1" ht="11.25">
      <c r="A316" s="0" t="s">
        <v>14</v>
      </c>
      <c r="B316" s="0" t="s">
        <v>9326</v>
      </c>
      <c r="C316" s="0" t="s">
        <v>9327</v>
      </c>
      <c r="D316" s="0" t="s">
        <v>9332</v>
      </c>
      <c r="E316" s="0" t="s">
        <v>9333</v>
      </c>
      <c r="F316" s="0" t="s">
        <v>8468</v>
      </c>
      <c r="G316" s="0" t="s">
        <v>9334</v>
      </c>
    </row>
    <row customHeight="1" ht="11.25">
      <c r="A317" s="0" t="s">
        <v>14</v>
      </c>
      <c r="B317" s="0" t="s">
        <v>9326</v>
      </c>
      <c r="C317" s="0" t="s">
        <v>9327</v>
      </c>
      <c r="D317" s="0" t="s">
        <v>9335</v>
      </c>
      <c r="E317" s="0" t="s">
        <v>9336</v>
      </c>
      <c r="F317" s="0" t="s">
        <v>8468</v>
      </c>
      <c r="G317" s="0" t="s">
        <v>9337</v>
      </c>
    </row>
    <row customHeight="1" ht="11.25">
      <c r="A318" s="0" t="s">
        <v>14</v>
      </c>
      <c r="B318" s="0" t="s">
        <v>9326</v>
      </c>
      <c r="C318" s="0" t="s">
        <v>9327</v>
      </c>
      <c r="D318" s="0" t="s">
        <v>9338</v>
      </c>
      <c r="E318" s="0" t="s">
        <v>9339</v>
      </c>
      <c r="F318" s="0" t="s">
        <v>8468</v>
      </c>
      <c r="G318" s="0" t="s">
        <v>9340</v>
      </c>
    </row>
    <row customHeight="1" ht="11.25">
      <c r="A319" s="0" t="s">
        <v>14</v>
      </c>
      <c r="B319" s="0" t="s">
        <v>9326</v>
      </c>
      <c r="C319" s="0" t="s">
        <v>9327</v>
      </c>
      <c r="D319" s="0" t="s">
        <v>9341</v>
      </c>
      <c r="E319" s="0" t="s">
        <v>9342</v>
      </c>
      <c r="F319" s="0" t="s">
        <v>8465</v>
      </c>
      <c r="G319" s="0" t="s">
        <v>9343</v>
      </c>
    </row>
    <row customHeight="1" ht="11.25">
      <c r="A320" s="0" t="s">
        <v>14</v>
      </c>
      <c r="B320" s="0" t="s">
        <v>9326</v>
      </c>
      <c r="C320" s="0" t="s">
        <v>9327</v>
      </c>
      <c r="D320" s="0" t="s">
        <v>9344</v>
      </c>
      <c r="E320" s="0" t="s">
        <v>9345</v>
      </c>
      <c r="F320" s="0" t="s">
        <v>8471</v>
      </c>
      <c r="G320" s="0" t="s">
        <v>9346</v>
      </c>
    </row>
    <row customHeight="1" ht="11.25">
      <c r="A321" s="0" t="s">
        <v>14</v>
      </c>
      <c r="B321" s="0" t="s">
        <v>9326</v>
      </c>
      <c r="C321" s="0" t="s">
        <v>9327</v>
      </c>
      <c r="D321" s="0" t="s">
        <v>8564</v>
      </c>
      <c r="E321" s="0" t="s">
        <v>9347</v>
      </c>
      <c r="F321" s="0" t="s">
        <v>8471</v>
      </c>
      <c r="G321" s="0" t="s">
        <v>9348</v>
      </c>
    </row>
    <row customHeight="1" ht="11.25">
      <c r="A322" s="0" t="s">
        <v>14</v>
      </c>
      <c r="B322" s="0" t="s">
        <v>9326</v>
      </c>
      <c r="C322" s="0" t="s">
        <v>9327</v>
      </c>
      <c r="D322" s="0" t="s">
        <v>9349</v>
      </c>
      <c r="E322" s="0" t="s">
        <v>9350</v>
      </c>
      <c r="F322" s="0" t="s">
        <v>8471</v>
      </c>
      <c r="G322" s="0" t="s">
        <v>9351</v>
      </c>
    </row>
    <row customHeight="1" ht="11.25">
      <c r="A323" s="0" t="s">
        <v>14</v>
      </c>
      <c r="B323" s="0" t="s">
        <v>9352</v>
      </c>
      <c r="C323" s="0" t="s">
        <v>9353</v>
      </c>
      <c r="D323" s="0" t="s">
        <v>9352</v>
      </c>
      <c r="E323" s="0" t="s">
        <v>9353</v>
      </c>
      <c r="F323" s="0" t="s">
        <v>8457</v>
      </c>
      <c r="G323" s="0" t="s">
        <v>9354</v>
      </c>
    </row>
    <row customHeight="1" ht="11.25">
      <c r="A324" s="0" t="s">
        <v>14</v>
      </c>
      <c r="B324" s="0" t="s">
        <v>9355</v>
      </c>
      <c r="C324" s="0" t="s">
        <v>9356</v>
      </c>
      <c r="D324" s="0" t="s">
        <v>9355</v>
      </c>
      <c r="E324" s="0" t="s">
        <v>9356</v>
      </c>
      <c r="F324" s="0" t="s">
        <v>8462</v>
      </c>
      <c r="G324" s="0" t="s">
        <v>9357</v>
      </c>
    </row>
    <row customHeight="1" ht="11.25">
      <c r="A325" s="0" t="s">
        <v>14</v>
      </c>
      <c r="B325" s="0" t="s">
        <v>9355</v>
      </c>
      <c r="C325" s="0" t="s">
        <v>9356</v>
      </c>
      <c r="D325" s="0" t="s">
        <v>9358</v>
      </c>
      <c r="E325" s="0" t="s">
        <v>9359</v>
      </c>
      <c r="F325" s="0" t="s">
        <v>8468</v>
      </c>
      <c r="G325" s="0" t="s">
        <v>9360</v>
      </c>
    </row>
    <row customHeight="1" ht="11.25">
      <c r="A326" s="0" t="s">
        <v>14</v>
      </c>
      <c r="B326" s="0" t="s">
        <v>9355</v>
      </c>
      <c r="C326" s="0" t="s">
        <v>9356</v>
      </c>
      <c r="D326" s="0" t="s">
        <v>9361</v>
      </c>
      <c r="E326" s="0" t="s">
        <v>9362</v>
      </c>
      <c r="F326" s="0" t="s">
        <v>8465</v>
      </c>
      <c r="G326" s="0" t="s">
        <v>9363</v>
      </c>
    </row>
    <row customHeight="1" ht="11.25">
      <c r="A327" s="0" t="s">
        <v>14</v>
      </c>
      <c r="B327" s="0" t="s">
        <v>9355</v>
      </c>
      <c r="C327" s="0" t="s">
        <v>9356</v>
      </c>
      <c r="D327" s="0" t="s">
        <v>9364</v>
      </c>
      <c r="E327" s="0" t="s">
        <v>9365</v>
      </c>
      <c r="F327" s="0" t="s">
        <v>8471</v>
      </c>
      <c r="G327" s="0" t="s">
        <v>9366</v>
      </c>
    </row>
    <row customHeight="1" ht="11.25">
      <c r="A328" s="0" t="s">
        <v>14</v>
      </c>
      <c r="B328" s="0" t="s">
        <v>9355</v>
      </c>
      <c r="C328" s="0" t="s">
        <v>9356</v>
      </c>
      <c r="D328" s="0" t="s">
        <v>9367</v>
      </c>
      <c r="E328" s="0" t="s">
        <v>9368</v>
      </c>
      <c r="F328" s="0" t="s">
        <v>8471</v>
      </c>
      <c r="G328" s="0" t="s">
        <v>9369</v>
      </c>
    </row>
    <row customHeight="1" ht="11.25">
      <c r="A329" s="0" t="s">
        <v>14</v>
      </c>
      <c r="B329" s="0" t="s">
        <v>9355</v>
      </c>
      <c r="C329" s="0" t="s">
        <v>9356</v>
      </c>
      <c r="D329" s="0" t="s">
        <v>9370</v>
      </c>
      <c r="E329" s="0" t="s">
        <v>9371</v>
      </c>
      <c r="F329" s="0" t="s">
        <v>8471</v>
      </c>
      <c r="G329" s="0" t="s">
        <v>9372</v>
      </c>
    </row>
    <row customHeight="1" ht="11.25">
      <c r="A330" s="0" t="s">
        <v>14</v>
      </c>
      <c r="B330" s="0" t="s">
        <v>97</v>
      </c>
      <c r="C330" s="0" t="s">
        <v>98</v>
      </c>
      <c r="D330" s="0" t="s">
        <v>97</v>
      </c>
      <c r="E330" s="0" t="s">
        <v>98</v>
      </c>
      <c r="F330" s="0" t="s">
        <v>8457</v>
      </c>
      <c r="G330" s="0" t="s">
        <v>96</v>
      </c>
    </row>
    <row customHeight="1" ht="11.25">
      <c r="A331" s="0" t="s">
        <v>14</v>
      </c>
      <c r="B331" s="0" t="s">
        <v>9373</v>
      </c>
      <c r="C331" s="0" t="s">
        <v>9374</v>
      </c>
      <c r="D331" s="0" t="s">
        <v>9373</v>
      </c>
      <c r="E331" s="0" t="s">
        <v>9374</v>
      </c>
      <c r="F331" s="0" t="s">
        <v>8462</v>
      </c>
      <c r="G331" s="0" t="s">
        <v>9375</v>
      </c>
    </row>
    <row customHeight="1" ht="11.25">
      <c r="A332" s="0" t="s">
        <v>14</v>
      </c>
      <c r="B332" s="0" t="s">
        <v>9373</v>
      </c>
      <c r="C332" s="0" t="s">
        <v>9374</v>
      </c>
      <c r="D332" s="0" t="s">
        <v>9376</v>
      </c>
      <c r="E332" s="0" t="s">
        <v>9377</v>
      </c>
      <c r="F332" s="0" t="s">
        <v>8468</v>
      </c>
      <c r="G332" s="0" t="s">
        <v>9378</v>
      </c>
    </row>
    <row customHeight="1" ht="11.25">
      <c r="A333" s="0" t="s">
        <v>14</v>
      </c>
      <c r="B333" s="0" t="s">
        <v>9373</v>
      </c>
      <c r="C333" s="0" t="s">
        <v>9374</v>
      </c>
      <c r="D333" s="0" t="s">
        <v>9379</v>
      </c>
      <c r="E333" s="0" t="s">
        <v>9380</v>
      </c>
      <c r="F333" s="0" t="s">
        <v>8468</v>
      </c>
      <c r="G333" s="0" t="s">
        <v>9381</v>
      </c>
    </row>
    <row customHeight="1" ht="11.25">
      <c r="A334" s="0" t="s">
        <v>14</v>
      </c>
      <c r="B334" s="0" t="s">
        <v>9373</v>
      </c>
      <c r="C334" s="0" t="s">
        <v>9374</v>
      </c>
      <c r="D334" s="0" t="s">
        <v>9382</v>
      </c>
      <c r="E334" s="0" t="s">
        <v>9383</v>
      </c>
      <c r="F334" s="0" t="s">
        <v>8465</v>
      </c>
      <c r="G334" s="0" t="s">
        <v>9384</v>
      </c>
    </row>
    <row customHeight="1" ht="11.25">
      <c r="A335" s="0" t="s">
        <v>14</v>
      </c>
      <c r="B335" s="0" t="s">
        <v>9373</v>
      </c>
      <c r="C335" s="0" t="s">
        <v>9374</v>
      </c>
      <c r="D335" s="0" t="s">
        <v>9385</v>
      </c>
      <c r="E335" s="0" t="s">
        <v>9386</v>
      </c>
      <c r="F335" s="0" t="s">
        <v>8471</v>
      </c>
      <c r="G335" s="0" t="s">
        <v>9387</v>
      </c>
    </row>
    <row customHeight="1" ht="11.25">
      <c r="A336" s="0" t="s">
        <v>14</v>
      </c>
      <c r="B336" s="0" t="s">
        <v>9373</v>
      </c>
      <c r="C336" s="0" t="s">
        <v>9374</v>
      </c>
      <c r="D336" s="0" t="s">
        <v>9388</v>
      </c>
      <c r="E336" s="0" t="s">
        <v>9389</v>
      </c>
      <c r="F336" s="0" t="s">
        <v>8471</v>
      </c>
      <c r="G336" s="0" t="s">
        <v>9390</v>
      </c>
    </row>
    <row customHeight="1" ht="11.25">
      <c r="A337" s="0" t="s">
        <v>14</v>
      </c>
      <c r="B337" s="0" t="s">
        <v>9373</v>
      </c>
      <c r="C337" s="0" t="s">
        <v>9374</v>
      </c>
      <c r="D337" s="0" t="s">
        <v>9391</v>
      </c>
      <c r="E337" s="0" t="s">
        <v>9392</v>
      </c>
      <c r="F337" s="0" t="s">
        <v>8471</v>
      </c>
      <c r="G337" s="0" t="s">
        <v>9393</v>
      </c>
    </row>
    <row customHeight="1" ht="11.25">
      <c r="A338" s="0" t="s">
        <v>14</v>
      </c>
      <c r="B338" s="0" t="s">
        <v>9373</v>
      </c>
      <c r="C338" s="0" t="s">
        <v>9374</v>
      </c>
      <c r="D338" s="0" t="s">
        <v>9394</v>
      </c>
      <c r="E338" s="0" t="s">
        <v>9395</v>
      </c>
      <c r="F338" s="0" t="s">
        <v>8471</v>
      </c>
      <c r="G338" s="0" t="s">
        <v>9396</v>
      </c>
    </row>
    <row customHeight="1" ht="11.25">
      <c r="A339" s="0" t="s">
        <v>14</v>
      </c>
      <c r="B339" s="0" t="s">
        <v>9397</v>
      </c>
      <c r="C339" s="0" t="s">
        <v>9398</v>
      </c>
      <c r="D339" s="0" t="s">
        <v>9397</v>
      </c>
      <c r="E339" s="0" t="s">
        <v>9398</v>
      </c>
      <c r="F339" s="0" t="s">
        <v>8462</v>
      </c>
      <c r="G339" s="0" t="s">
        <v>9399</v>
      </c>
    </row>
    <row customHeight="1" ht="11.25">
      <c r="A340" s="0" t="s">
        <v>14</v>
      </c>
      <c r="B340" s="0" t="s">
        <v>9397</v>
      </c>
      <c r="C340" s="0" t="s">
        <v>9398</v>
      </c>
      <c r="D340" s="0" t="s">
        <v>9400</v>
      </c>
      <c r="E340" s="0" t="s">
        <v>9401</v>
      </c>
      <c r="F340" s="0" t="s">
        <v>8468</v>
      </c>
      <c r="G340" s="0" t="s">
        <v>9402</v>
      </c>
    </row>
    <row customHeight="1" ht="11.25">
      <c r="A341" s="0" t="s">
        <v>14</v>
      </c>
      <c r="B341" s="0" t="s">
        <v>9397</v>
      </c>
      <c r="C341" s="0" t="s">
        <v>9398</v>
      </c>
      <c r="D341" s="0" t="s">
        <v>8530</v>
      </c>
      <c r="E341" s="0" t="s">
        <v>9403</v>
      </c>
      <c r="F341" s="0" t="s">
        <v>8471</v>
      </c>
      <c r="G341" s="0" t="s">
        <v>9404</v>
      </c>
    </row>
    <row customHeight="1" ht="11.25">
      <c r="A342" s="0" t="s">
        <v>14</v>
      </c>
      <c r="B342" s="0" t="s">
        <v>9397</v>
      </c>
      <c r="C342" s="0" t="s">
        <v>9398</v>
      </c>
      <c r="D342" s="0" t="s">
        <v>9405</v>
      </c>
      <c r="E342" s="0" t="s">
        <v>9406</v>
      </c>
      <c r="F342" s="0" t="s">
        <v>8471</v>
      </c>
      <c r="G342" s="0" t="s">
        <v>9407</v>
      </c>
    </row>
    <row customHeight="1" ht="11.25">
      <c r="A343" s="0" t="s">
        <v>14</v>
      </c>
      <c r="B343" s="0" t="s">
        <v>9397</v>
      </c>
      <c r="C343" s="0" t="s">
        <v>9398</v>
      </c>
      <c r="D343" s="0" t="s">
        <v>9408</v>
      </c>
      <c r="E343" s="0" t="s">
        <v>9409</v>
      </c>
      <c r="F343" s="0" t="s">
        <v>8471</v>
      </c>
      <c r="G343" s="0" t="s">
        <v>9410</v>
      </c>
    </row>
    <row customHeight="1" ht="11.25">
      <c r="A344" s="0" t="s">
        <v>14</v>
      </c>
      <c r="B344" s="0" t="s">
        <v>9411</v>
      </c>
      <c r="C344" s="0" t="s">
        <v>9412</v>
      </c>
      <c r="D344" s="0" t="s">
        <v>9411</v>
      </c>
      <c r="E344" s="0" t="s">
        <v>9412</v>
      </c>
      <c r="F344" s="0" t="s">
        <v>8457</v>
      </c>
      <c r="G344" s="0" t="s">
        <v>9413</v>
      </c>
    </row>
    <row customHeight="1" ht="11.25">
      <c r="A345" s="0" t="s">
        <v>14</v>
      </c>
      <c r="B345" s="0" t="s">
        <v>9414</v>
      </c>
      <c r="C345" s="0" t="s">
        <v>9415</v>
      </c>
      <c r="D345" s="0" t="s">
        <v>9414</v>
      </c>
      <c r="E345" s="0" t="s">
        <v>9415</v>
      </c>
      <c r="F345" s="0" t="s">
        <v>8462</v>
      </c>
      <c r="G345" s="0" t="s">
        <v>9416</v>
      </c>
    </row>
    <row customHeight="1" ht="11.25">
      <c r="A346" s="0" t="s">
        <v>14</v>
      </c>
      <c r="B346" s="0" t="s">
        <v>9414</v>
      </c>
      <c r="C346" s="0" t="s">
        <v>9415</v>
      </c>
      <c r="D346" s="0" t="s">
        <v>9417</v>
      </c>
      <c r="E346" s="0" t="s">
        <v>9418</v>
      </c>
      <c r="F346" s="0" t="s">
        <v>8468</v>
      </c>
      <c r="G346" s="0" t="s">
        <v>9419</v>
      </c>
    </row>
    <row customHeight="1" ht="11.25">
      <c r="A347" s="0" t="s">
        <v>14</v>
      </c>
      <c r="B347" s="0" t="s">
        <v>9414</v>
      </c>
      <c r="C347" s="0" t="s">
        <v>9415</v>
      </c>
      <c r="D347" s="0" t="s">
        <v>9420</v>
      </c>
      <c r="E347" s="0" t="s">
        <v>9421</v>
      </c>
      <c r="F347" s="0" t="s">
        <v>8468</v>
      </c>
      <c r="G347" s="0" t="s">
        <v>9422</v>
      </c>
    </row>
    <row customHeight="1" ht="11.25">
      <c r="A348" s="0" t="s">
        <v>14</v>
      </c>
      <c r="B348" s="0" t="s">
        <v>9414</v>
      </c>
      <c r="C348" s="0" t="s">
        <v>9415</v>
      </c>
      <c r="D348" s="0" t="s">
        <v>9423</v>
      </c>
      <c r="E348" s="0" t="s">
        <v>9424</v>
      </c>
      <c r="F348" s="0" t="s">
        <v>8468</v>
      </c>
      <c r="G348" s="0" t="s">
        <v>9425</v>
      </c>
    </row>
    <row customHeight="1" ht="11.25">
      <c r="A349" s="0" t="s">
        <v>14</v>
      </c>
      <c r="B349" s="0" t="s">
        <v>9414</v>
      </c>
      <c r="C349" s="0" t="s">
        <v>9415</v>
      </c>
      <c r="D349" s="0" t="s">
        <v>9426</v>
      </c>
      <c r="E349" s="0" t="s">
        <v>9427</v>
      </c>
      <c r="F349" s="0" t="s">
        <v>8468</v>
      </c>
      <c r="G349" s="0" t="s">
        <v>9428</v>
      </c>
    </row>
    <row customHeight="1" ht="11.25">
      <c r="A350" s="0" t="s">
        <v>14</v>
      </c>
      <c r="B350" s="0" t="s">
        <v>9414</v>
      </c>
      <c r="C350" s="0" t="s">
        <v>9415</v>
      </c>
      <c r="D350" s="0" t="s">
        <v>9429</v>
      </c>
      <c r="E350" s="0" t="s">
        <v>9430</v>
      </c>
      <c r="F350" s="0" t="s">
        <v>8465</v>
      </c>
      <c r="G350" s="0" t="s">
        <v>9431</v>
      </c>
    </row>
    <row customHeight="1" ht="11.25">
      <c r="A351" s="0" t="s">
        <v>14</v>
      </c>
      <c r="B351" s="0" t="s">
        <v>9414</v>
      </c>
      <c r="C351" s="0" t="s">
        <v>9415</v>
      </c>
      <c r="D351" s="0" t="s">
        <v>9432</v>
      </c>
      <c r="E351" s="0" t="s">
        <v>9433</v>
      </c>
      <c r="F351" s="0" t="s">
        <v>8471</v>
      </c>
      <c r="G351" s="0" t="s">
        <v>9434</v>
      </c>
    </row>
    <row customHeight="1" ht="11.25">
      <c r="A352" s="0" t="s">
        <v>14</v>
      </c>
      <c r="B352" s="0" t="s">
        <v>9414</v>
      </c>
      <c r="C352" s="0" t="s">
        <v>9415</v>
      </c>
      <c r="D352" s="0" t="s">
        <v>9435</v>
      </c>
      <c r="E352" s="0" t="s">
        <v>9436</v>
      </c>
      <c r="F352" s="0" t="s">
        <v>8471</v>
      </c>
      <c r="G352" s="0" t="s">
        <v>9437</v>
      </c>
    </row>
    <row customHeight="1" ht="11.25">
      <c r="A353" s="0" t="s">
        <v>14</v>
      </c>
      <c r="B353" s="0" t="s">
        <v>9414</v>
      </c>
      <c r="C353" s="0" t="s">
        <v>9415</v>
      </c>
      <c r="D353" s="0" t="s">
        <v>9438</v>
      </c>
      <c r="E353" s="0" t="s">
        <v>9439</v>
      </c>
      <c r="F353" s="0" t="s">
        <v>8471</v>
      </c>
      <c r="G353" s="0" t="s">
        <v>9440</v>
      </c>
    </row>
    <row customHeight="1" ht="11.25">
      <c r="A354" s="0" t="s">
        <v>14</v>
      </c>
      <c r="B354" s="0" t="s">
        <v>9414</v>
      </c>
      <c r="C354" s="0" t="s">
        <v>9415</v>
      </c>
      <c r="D354" s="0" t="s">
        <v>9441</v>
      </c>
      <c r="E354" s="0" t="s">
        <v>9442</v>
      </c>
      <c r="F354" s="0" t="s">
        <v>8471</v>
      </c>
      <c r="G354" s="0" t="s">
        <v>9443</v>
      </c>
    </row>
    <row customHeight="1" ht="11.25">
      <c r="A355" s="0" t="s">
        <v>14</v>
      </c>
      <c r="B355" s="0" t="s">
        <v>9414</v>
      </c>
      <c r="C355" s="0" t="s">
        <v>9415</v>
      </c>
      <c r="D355" s="0" t="s">
        <v>9444</v>
      </c>
      <c r="E355" s="0" t="s">
        <v>9445</v>
      </c>
      <c r="F355" s="0" t="s">
        <v>8471</v>
      </c>
      <c r="G355" s="0" t="s">
        <v>9446</v>
      </c>
    </row>
    <row customHeight="1" ht="11.25">
      <c r="A356" s="0" t="s">
        <v>14</v>
      </c>
      <c r="B356" s="0" t="s">
        <v>9447</v>
      </c>
      <c r="C356" s="0" t="s">
        <v>9448</v>
      </c>
      <c r="D356" s="0" t="s">
        <v>9447</v>
      </c>
      <c r="E356" s="0" t="s">
        <v>9448</v>
      </c>
      <c r="F356" s="0" t="s">
        <v>8457</v>
      </c>
      <c r="G356" s="0" t="s">
        <v>9449</v>
      </c>
    </row>
    <row customHeight="1" ht="11.25">
      <c r="A357" s="0" t="s">
        <v>14</v>
      </c>
      <c r="B357" s="0" t="s">
        <v>9450</v>
      </c>
      <c r="C357" s="0" t="s">
        <v>9451</v>
      </c>
      <c r="D357" s="0" t="s">
        <v>9450</v>
      </c>
      <c r="E357" s="0" t="s">
        <v>9451</v>
      </c>
      <c r="F357" s="0" t="s">
        <v>8457</v>
      </c>
      <c r="G357" s="0" t="s">
        <v>9452</v>
      </c>
    </row>
    <row customHeight="1" ht="11.25">
      <c r="A358" s="0" t="s">
        <v>14</v>
      </c>
      <c r="B358" s="0" t="s">
        <v>9453</v>
      </c>
      <c r="C358" s="0" t="s">
        <v>9454</v>
      </c>
      <c r="D358" s="0" t="s">
        <v>9453</v>
      </c>
      <c r="E358" s="0" t="s">
        <v>9454</v>
      </c>
      <c r="F358" s="0" t="s">
        <v>8457</v>
      </c>
      <c r="G358" s="0" t="s">
        <v>9455</v>
      </c>
    </row>
    <row customHeight="1" ht="11.25">
      <c r="A359" s="0" t="s">
        <v>14</v>
      </c>
      <c r="B359" s="0" t="s">
        <v>9456</v>
      </c>
      <c r="C359" s="0" t="s">
        <v>9457</v>
      </c>
      <c r="D359" s="0" t="s">
        <v>9456</v>
      </c>
      <c r="E359" s="0" t="s">
        <v>9457</v>
      </c>
      <c r="F359" s="0" t="s">
        <v>8457</v>
      </c>
      <c r="G359" s="0" t="s">
        <v>9458</v>
      </c>
    </row>
    <row customHeight="1" ht="11.25">
      <c r="A360" s="0" t="s">
        <v>14</v>
      </c>
      <c r="B360" s="0" t="s">
        <v>9459</v>
      </c>
      <c r="C360" s="0" t="s">
        <v>9460</v>
      </c>
      <c r="D360" s="0" t="s">
        <v>9459</v>
      </c>
      <c r="E360" s="0" t="s">
        <v>9460</v>
      </c>
      <c r="F360" s="0" t="s">
        <v>8457</v>
      </c>
      <c r="G360" s="0" t="s">
        <v>9461</v>
      </c>
    </row>
    <row customHeight="1" ht="11.25">
      <c r="A361" s="0" t="s">
        <v>14</v>
      </c>
      <c r="B361" s="0" t="s">
        <v>9462</v>
      </c>
      <c r="C361" s="0" t="s">
        <v>9463</v>
      </c>
      <c r="D361" s="0" t="s">
        <v>9462</v>
      </c>
      <c r="E361" s="0" t="s">
        <v>9463</v>
      </c>
      <c r="F361" s="0" t="s">
        <v>8457</v>
      </c>
      <c r="G361" s="0" t="s">
        <v>9464</v>
      </c>
    </row>
    <row customHeight="1" ht="11.25">
      <c r="A362" s="0" t="s">
        <v>14</v>
      </c>
      <c r="B362" s="0" t="s">
        <v>9465</v>
      </c>
      <c r="C362" s="0" t="s">
        <v>9466</v>
      </c>
      <c r="D362" s="0" t="s">
        <v>9465</v>
      </c>
      <c r="E362" s="0" t="s">
        <v>9466</v>
      </c>
      <c r="F362" s="0" t="s">
        <v>8457</v>
      </c>
      <c r="G362" s="0" t="s">
        <v>9467</v>
      </c>
    </row>
    <row customHeight="1" ht="11.25">
      <c r="A363" s="0" t="s">
        <v>14</v>
      </c>
      <c r="B363" s="0" t="s">
        <v>9468</v>
      </c>
      <c r="C363" s="0" t="s">
        <v>9469</v>
      </c>
      <c r="D363" s="0" t="s">
        <v>9468</v>
      </c>
      <c r="E363" s="0" t="s">
        <v>9469</v>
      </c>
      <c r="F363" s="0" t="s">
        <v>8457</v>
      </c>
      <c r="G363" s="0" t="s">
        <v>9470</v>
      </c>
    </row>
    <row customHeight="1" ht="11.25">
      <c r="A364" s="0" t="s">
        <v>14</v>
      </c>
      <c r="B364" s="0" t="s">
        <v>9471</v>
      </c>
      <c r="C364" s="0" t="s">
        <v>9472</v>
      </c>
      <c r="D364" s="0" t="s">
        <v>9471</v>
      </c>
      <c r="E364" s="0" t="s">
        <v>9472</v>
      </c>
      <c r="F364" s="0" t="s">
        <v>8457</v>
      </c>
      <c r="G364" s="0" t="s">
        <v>9473</v>
      </c>
    </row>
    <row customHeight="1" ht="11.25">
      <c r="A365" s="0" t="s">
        <v>14</v>
      </c>
      <c r="B365" s="0" t="s">
        <v>9474</v>
      </c>
      <c r="C365" s="0" t="s">
        <v>9475</v>
      </c>
      <c r="D365" s="0" t="s">
        <v>9474</v>
      </c>
      <c r="E365" s="0" t="s">
        <v>9475</v>
      </c>
      <c r="F365" s="0" t="s">
        <v>8457</v>
      </c>
      <c r="G365" s="0" t="s">
        <v>9476</v>
      </c>
    </row>
    <row customHeight="1" ht="11.25">
      <c r="A366" s="0" t="s">
        <v>14</v>
      </c>
      <c r="B366" s="0" t="s">
        <v>9477</v>
      </c>
      <c r="C366" s="0" t="s">
        <v>9478</v>
      </c>
      <c r="D366" s="0" t="s">
        <v>9477</v>
      </c>
      <c r="E366" s="0" t="s">
        <v>9478</v>
      </c>
      <c r="F366" s="0" t="s">
        <v>8457</v>
      </c>
      <c r="G366" s="0" t="s">
        <v>9479</v>
      </c>
    </row>
    <row customHeight="1" ht="11.25">
      <c r="A367" s="0" t="s">
        <v>14</v>
      </c>
      <c r="B367" s="0" t="s">
        <v>9480</v>
      </c>
      <c r="C367" s="0" t="s">
        <v>9481</v>
      </c>
      <c r="D367" s="0" t="s">
        <v>9480</v>
      </c>
      <c r="E367" s="0" t="s">
        <v>9481</v>
      </c>
      <c r="F367" s="0" t="s">
        <v>8457</v>
      </c>
      <c r="G367" s="0" t="s">
        <v>9482</v>
      </c>
    </row>
    <row customHeight="1" ht="11.25">
      <c r="A368" s="0" t="s">
        <v>14</v>
      </c>
      <c r="B368" s="0" t="s">
        <v>9483</v>
      </c>
      <c r="C368" s="0" t="s">
        <v>9484</v>
      </c>
      <c r="D368" s="0" t="s">
        <v>9483</v>
      </c>
      <c r="E368" s="0" t="s">
        <v>9484</v>
      </c>
      <c r="F368" s="0" t="s">
        <v>8457</v>
      </c>
      <c r="G368" s="0" t="s">
        <v>9485</v>
      </c>
    </row>
    <row customHeight="1" ht="11.25">
      <c r="A369" s="0" t="s">
        <v>14</v>
      </c>
      <c r="B369" s="0" t="s">
        <v>9486</v>
      </c>
      <c r="C369" s="0" t="s">
        <v>9487</v>
      </c>
      <c r="D369" s="0" t="s">
        <v>9486</v>
      </c>
      <c r="E369" s="0" t="s">
        <v>9487</v>
      </c>
      <c r="F369" s="0" t="s">
        <v>8457</v>
      </c>
      <c r="G369" s="0" t="s">
        <v>9488</v>
      </c>
    </row>
    <row customHeight="1" ht="11.25">
      <c r="A370" s="0" t="s">
        <v>14</v>
      </c>
      <c r="B370" s="0" t="s">
        <v>9489</v>
      </c>
      <c r="C370" s="0" t="s">
        <v>9490</v>
      </c>
      <c r="D370" s="0" t="s">
        <v>9489</v>
      </c>
      <c r="E370" s="0" t="s">
        <v>9490</v>
      </c>
      <c r="F370" s="0" t="s">
        <v>8457</v>
      </c>
      <c r="G370" s="0" t="s">
        <v>9491</v>
      </c>
    </row>
    <row customHeight="1" ht="11.25">
      <c r="A371" s="0" t="s">
        <v>14</v>
      </c>
      <c r="B371" s="0" t="s">
        <v>9492</v>
      </c>
      <c r="C371" s="0" t="s">
        <v>9493</v>
      </c>
      <c r="D371" s="0" t="s">
        <v>9492</v>
      </c>
      <c r="E371" s="0" t="s">
        <v>9493</v>
      </c>
      <c r="F371" s="0" t="s">
        <v>8457</v>
      </c>
      <c r="G371" s="0" t="s">
        <v>9494</v>
      </c>
    </row>
    <row customHeight="1" ht="11.25">
      <c r="A372" s="0" t="s">
        <v>14</v>
      </c>
      <c r="B372" s="0" t="s">
        <v>9495</v>
      </c>
      <c r="C372" s="0" t="s">
        <v>9496</v>
      </c>
      <c r="D372" s="0" t="s">
        <v>9495</v>
      </c>
      <c r="E372" s="0" t="s">
        <v>9496</v>
      </c>
      <c r="F372" s="0" t="s">
        <v>8457</v>
      </c>
      <c r="G372" s="0" t="s">
        <v>9497</v>
      </c>
    </row>
    <row customHeight="1" ht="11.25">
      <c r="A373" s="0" t="s">
        <v>14</v>
      </c>
      <c r="B373" s="0" t="s">
        <v>9498</v>
      </c>
      <c r="C373" s="0" t="s">
        <v>9499</v>
      </c>
      <c r="D373" s="0" t="s">
        <v>9498</v>
      </c>
      <c r="E373" s="0" t="s">
        <v>9499</v>
      </c>
      <c r="F373" s="0" t="s">
        <v>8457</v>
      </c>
      <c r="G373" s="0" t="s">
        <v>9500</v>
      </c>
    </row>
    <row customHeight="1" ht="11.25">
      <c r="A374" s="0" t="s">
        <v>14</v>
      </c>
      <c r="B374" s="0" t="s">
        <v>9501</v>
      </c>
      <c r="C374" s="0" t="s">
        <v>9502</v>
      </c>
      <c r="D374" s="0" t="s">
        <v>9501</v>
      </c>
      <c r="E374" s="0" t="s">
        <v>9502</v>
      </c>
      <c r="F374" s="0" t="s">
        <v>8457</v>
      </c>
      <c r="G374" s="0" t="s">
        <v>9503</v>
      </c>
    </row>
    <row customHeight="1" ht="11.25">
      <c r="A375" s="0" t="s">
        <v>14</v>
      </c>
      <c r="B375" s="0" t="s">
        <v>9504</v>
      </c>
      <c r="C375" s="0" t="s">
        <v>9505</v>
      </c>
      <c r="D375" s="0" t="s">
        <v>9504</v>
      </c>
      <c r="E375" s="0" t="s">
        <v>9505</v>
      </c>
      <c r="F375" s="0" t="s">
        <v>8457</v>
      </c>
      <c r="G375" s="0" t="s">
        <v>9506</v>
      </c>
    </row>
    <row customHeight="1" ht="11.25">
      <c r="A376" s="0" t="s">
        <v>14</v>
      </c>
      <c r="B376" s="0" t="s">
        <v>9507</v>
      </c>
      <c r="C376" s="0" t="s">
        <v>9508</v>
      </c>
      <c r="D376" s="0" t="s">
        <v>9507</v>
      </c>
      <c r="E376" s="0" t="s">
        <v>9508</v>
      </c>
      <c r="F376" s="0" t="s">
        <v>8457</v>
      </c>
      <c r="G376" s="0" t="s">
        <v>9509</v>
      </c>
    </row>
    <row customHeight="1" ht="11.25">
      <c r="A377" s="0" t="s">
        <v>14</v>
      </c>
      <c r="B377" s="0" t="s">
        <v>9510</v>
      </c>
      <c r="C377" s="0" t="s">
        <v>9511</v>
      </c>
      <c r="D377" s="0" t="s">
        <v>9510</v>
      </c>
      <c r="E377" s="0" t="s">
        <v>9511</v>
      </c>
      <c r="F377" s="0" t="s">
        <v>8457</v>
      </c>
      <c r="G377" s="0" t="s">
        <v>9512</v>
      </c>
    </row>
    <row customHeight="1" ht="11.25">
      <c r="A378" s="0" t="s">
        <v>14</v>
      </c>
      <c r="B378" s="0" t="s">
        <v>9513</v>
      </c>
      <c r="C378" s="0" t="s">
        <v>9514</v>
      </c>
      <c r="D378" s="0" t="s">
        <v>9513</v>
      </c>
      <c r="E378" s="0" t="s">
        <v>9514</v>
      </c>
      <c r="F378" s="0" t="s">
        <v>8457</v>
      </c>
      <c r="G378" s="0" t="s">
        <v>9515</v>
      </c>
    </row>
    <row customHeight="1" ht="11.25">
      <c r="A379" s="0" t="s">
        <v>14</v>
      </c>
      <c r="B379" s="0" t="s">
        <v>9516</v>
      </c>
      <c r="C379" s="0" t="s">
        <v>9517</v>
      </c>
      <c r="D379" s="0" t="s">
        <v>9516</v>
      </c>
      <c r="E379" s="0" t="s">
        <v>9517</v>
      </c>
      <c r="F379" s="0" t="s">
        <v>8457</v>
      </c>
      <c r="G379" s="0" t="s">
        <v>9518</v>
      </c>
    </row>
    <row customHeight="1" ht="11.25">
      <c r="A380" s="0" t="s">
        <v>14</v>
      </c>
      <c r="B380" s="0" t="s">
        <v>9519</v>
      </c>
      <c r="C380" s="0" t="s">
        <v>9520</v>
      </c>
      <c r="D380" s="0" t="s">
        <v>9519</v>
      </c>
      <c r="E380" s="0" t="s">
        <v>9520</v>
      </c>
      <c r="F380" s="0" t="s">
        <v>8457</v>
      </c>
      <c r="G380" s="0" t="s">
        <v>9521</v>
      </c>
    </row>
    <row customHeight="1" ht="11.25">
      <c r="A381" s="0" t="s">
        <v>14</v>
      </c>
      <c r="B381" s="0" t="s">
        <v>9522</v>
      </c>
      <c r="C381" s="0" t="s">
        <v>9523</v>
      </c>
      <c r="D381" s="0" t="s">
        <v>9522</v>
      </c>
      <c r="E381" s="0" t="s">
        <v>9523</v>
      </c>
      <c r="F381" s="0" t="s">
        <v>8457</v>
      </c>
      <c r="G381" s="0" t="s">
        <v>9524</v>
      </c>
    </row>
    <row customHeight="1" ht="11.25">
      <c r="A382" s="0" t="s">
        <v>14</v>
      </c>
      <c r="B382" s="0" t="s">
        <v>9525</v>
      </c>
      <c r="C382" s="0" t="s">
        <v>9526</v>
      </c>
      <c r="D382" s="0" t="s">
        <v>9525</v>
      </c>
      <c r="E382" s="0" t="s">
        <v>9526</v>
      </c>
      <c r="F382" s="0" t="s">
        <v>8457</v>
      </c>
      <c r="G382" s="0" t="s">
        <v>9527</v>
      </c>
    </row>
    <row customHeight="1" ht="11.25">
      <c r="A383" s="0" t="s">
        <v>14</v>
      </c>
      <c r="B383" s="0" t="s">
        <v>9528</v>
      </c>
      <c r="C383" s="0" t="s">
        <v>9529</v>
      </c>
      <c r="D383" s="0" t="s">
        <v>9528</v>
      </c>
      <c r="E383" s="0" t="s">
        <v>9529</v>
      </c>
      <c r="F383" s="0" t="s">
        <v>8457</v>
      </c>
      <c r="G383" s="0" t="s">
        <v>9530</v>
      </c>
    </row>
    <row customHeight="1" ht="11.25">
      <c r="A384" s="0" t="s">
        <v>14</v>
      </c>
      <c r="B384" s="0" t="s">
        <v>9531</v>
      </c>
      <c r="C384" s="0" t="s">
        <v>9532</v>
      </c>
      <c r="D384" s="0" t="s">
        <v>9531</v>
      </c>
      <c r="E384" s="0" t="s">
        <v>9532</v>
      </c>
      <c r="F384" s="0" t="s">
        <v>8457</v>
      </c>
      <c r="G384" s="0" t="s">
        <v>9533</v>
      </c>
    </row>
    <row customHeight="1" ht="11.25">
      <c r="A385" s="0" t="s">
        <v>14</v>
      </c>
      <c r="B385" s="0" t="s">
        <v>9534</v>
      </c>
      <c r="C385" s="0" t="s">
        <v>9535</v>
      </c>
      <c r="D385" s="0" t="s">
        <v>9534</v>
      </c>
      <c r="E385" s="0" t="s">
        <v>9535</v>
      </c>
      <c r="F385" s="0" t="s">
        <v>8457</v>
      </c>
      <c r="G385" s="0" t="s">
        <v>9536</v>
      </c>
    </row>
    <row customHeight="1" ht="11.25">
      <c r="A386" s="0" t="s">
        <v>14</v>
      </c>
      <c r="B386" s="0" t="s">
        <v>9537</v>
      </c>
      <c r="C386" s="0" t="s">
        <v>9538</v>
      </c>
      <c r="D386" s="0" t="s">
        <v>9537</v>
      </c>
      <c r="E386" s="0" t="s">
        <v>9538</v>
      </c>
      <c r="F386" s="0" t="s">
        <v>8457</v>
      </c>
      <c r="G386" s="0" t="s">
        <v>9539</v>
      </c>
    </row>
    <row customHeight="1" ht="11.25">
      <c r="A387" s="0" t="s">
        <v>14</v>
      </c>
      <c r="B387" s="0" t="s">
        <v>9540</v>
      </c>
      <c r="C387" s="0" t="s">
        <v>9541</v>
      </c>
      <c r="D387" s="0" t="s">
        <v>9540</v>
      </c>
      <c r="E387" s="0" t="s">
        <v>9541</v>
      </c>
      <c r="F387" s="0" t="s">
        <v>8457</v>
      </c>
      <c r="G387" s="0" t="s">
        <v>9542</v>
      </c>
    </row>
    <row customHeight="1" ht="11.25">
      <c r="A388" s="0" t="s">
        <v>14</v>
      </c>
      <c r="B388" s="0" t="s">
        <v>9543</v>
      </c>
      <c r="C388" s="0" t="s">
        <v>9544</v>
      </c>
      <c r="D388" s="0" t="s">
        <v>9543</v>
      </c>
      <c r="E388" s="0" t="s">
        <v>9544</v>
      </c>
      <c r="F388" s="0" t="s">
        <v>8457</v>
      </c>
      <c r="G388" s="0" t="s">
        <v>9545</v>
      </c>
    </row>
    <row customHeight="1" ht="11.25">
      <c r="A389" s="0" t="s">
        <v>14</v>
      </c>
      <c r="B389" s="0" t="s">
        <v>9546</v>
      </c>
      <c r="C389" s="0" t="s">
        <v>9547</v>
      </c>
      <c r="D389" s="0" t="s">
        <v>9546</v>
      </c>
      <c r="E389" s="0" t="s">
        <v>9547</v>
      </c>
      <c r="F389" s="0" t="s">
        <v>8457</v>
      </c>
      <c r="G389" s="0" t="s">
        <v>9548</v>
      </c>
    </row>
    <row customHeight="1" ht="11.25">
      <c r="A390" s="0" t="s">
        <v>14</v>
      </c>
      <c r="B390" s="0" t="s">
        <v>9549</v>
      </c>
      <c r="C390" s="0" t="s">
        <v>9550</v>
      </c>
      <c r="D390" s="0" t="s">
        <v>9549</v>
      </c>
      <c r="E390" s="0" t="s">
        <v>9550</v>
      </c>
      <c r="F390" s="0" t="s">
        <v>8457</v>
      </c>
      <c r="G390" s="0" t="s">
        <v>9551</v>
      </c>
    </row>
    <row customHeight="1" ht="11.25">
      <c r="A391" s="0" t="s">
        <v>14</v>
      </c>
      <c r="B391" s="0" t="s">
        <v>9552</v>
      </c>
      <c r="C391" s="0" t="s">
        <v>9553</v>
      </c>
      <c r="D391" s="0" t="s">
        <v>9552</v>
      </c>
      <c r="E391" s="0" t="s">
        <v>9553</v>
      </c>
      <c r="F391" s="0" t="s">
        <v>8457</v>
      </c>
      <c r="G391" s="0" t="s">
        <v>9554</v>
      </c>
    </row>
    <row customHeight="1" ht="11.25">
      <c r="A392" s="0" t="s">
        <v>14</v>
      </c>
      <c r="B392" s="0" t="s">
        <v>9555</v>
      </c>
      <c r="C392" s="0" t="s">
        <v>9556</v>
      </c>
      <c r="D392" s="0" t="s">
        <v>9555</v>
      </c>
      <c r="E392" s="0" t="s">
        <v>9556</v>
      </c>
      <c r="F392" s="0" t="s">
        <v>8457</v>
      </c>
      <c r="G392" s="0" t="s">
        <v>9557</v>
      </c>
    </row>
    <row customHeight="1" ht="11.25">
      <c r="A393" s="0" t="s">
        <v>14</v>
      </c>
      <c r="B393" s="0" t="s">
        <v>9558</v>
      </c>
      <c r="C393" s="0" t="s">
        <v>9559</v>
      </c>
      <c r="D393" s="0" t="s">
        <v>9558</v>
      </c>
      <c r="E393" s="0" t="s">
        <v>9559</v>
      </c>
      <c r="F393" s="0" t="s">
        <v>8457</v>
      </c>
      <c r="G393" s="0" t="s">
        <v>9560</v>
      </c>
    </row>
    <row customHeight="1" ht="11.25">
      <c r="A394" s="0" t="s">
        <v>14</v>
      </c>
      <c r="B394" s="0" t="s">
        <v>9561</v>
      </c>
      <c r="C394" s="0" t="s">
        <v>9562</v>
      </c>
      <c r="D394" s="0" t="s">
        <v>9561</v>
      </c>
      <c r="E394" s="0" t="s">
        <v>9562</v>
      </c>
      <c r="F394" s="0" t="s">
        <v>8457</v>
      </c>
      <c r="G394" s="0" t="s">
        <v>9563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DBAB5A-A3C4-90BE-AB35-EDAD303059E6}"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21020" width="9.140625"/>
    <col min="2" max="2" style="21020" width="84.28125" customWidth="1"/>
    <col min="3" max="3" style="21020" width="9.140625"/>
  </cols>
  <sheetData>
    <row customHeight="1" ht="11.25">
      <c r="A1" s="1196" t="s">
        <v>9581</v>
      </c>
      <c r="B1" s="1196" t="s">
        <v>9582</v>
      </c>
      <c r="C1" s="1196" t="s">
        <v>1093</v>
      </c>
    </row>
    <row customHeight="1" ht="11.25">
      <c r="A2" s="1196">
        <v>4189678</v>
      </c>
      <c r="B2" s="1196" t="s">
        <v>9583</v>
      </c>
      <c r="C2" s="1196" t="s">
        <v>9584</v>
      </c>
    </row>
    <row customHeight="1" ht="11.25">
      <c r="A3" s="1196">
        <v>4190415</v>
      </c>
      <c r="B3" s="1196" t="s">
        <v>9585</v>
      </c>
      <c r="C3" s="1196" t="s">
        <v>9584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604FEF-AA23-267F-23EC-BFA1C4404E4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21023" width="38.421875" customWidth="1"/>
    <col min="2" max="5" style="21023" width="9.140625"/>
  </cols>
  <sheetData>
    <row customHeight="1" ht="15">
      <c r="A1" s="525" t="s">
        <v>9586</v>
      </c>
      <c r="B1" s="525" t="s">
        <v>9587</v>
      </c>
      <c r="C1" s="525"/>
      <c r="D1" s="525"/>
      <c r="E1" s="525"/>
    </row>
    <row customHeight="1" ht="15">
      <c r="A2" s="525"/>
      <c r="B2" s="525"/>
      <c r="C2" s="525"/>
      <c r="D2" s="525"/>
      <c r="E2" s="525"/>
    </row>
    <row customHeight="1" ht="15">
      <c r="A3" s="525"/>
      <c r="B3" s="525"/>
      <c r="C3" s="525"/>
      <c r="D3" s="525"/>
      <c r="E3" s="525"/>
    </row>
    <row customHeight="1" ht="15">
      <c r="A4" s="525"/>
      <c r="B4" s="525"/>
      <c r="C4" s="525"/>
      <c r="D4" s="525"/>
      <c r="E4" s="525"/>
    </row>
    <row customHeight="1" ht="15">
      <c r="A5" s="525"/>
      <c r="B5" s="525"/>
      <c r="C5" s="525"/>
      <c r="D5" s="525"/>
      <c r="E5" s="525"/>
    </row>
    <row customHeight="1" ht="15">
      <c r="A6" s="525"/>
      <c r="B6" s="525"/>
      <c r="C6" s="525"/>
      <c r="D6" s="525"/>
      <c r="E6" s="525"/>
    </row>
    <row customHeight="1" ht="15">
      <c r="A7" s="525"/>
      <c r="B7" s="525"/>
      <c r="C7" s="525"/>
      <c r="D7" s="525"/>
      <c r="E7" s="525"/>
    </row>
    <row customHeight="1" ht="15">
      <c r="A8" s="525"/>
      <c r="B8" s="525"/>
      <c r="C8" s="525"/>
      <c r="D8" s="525"/>
      <c r="E8" s="52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31C835-AED5-43C5-4FF4-10F9997FDCD3}"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9588</v>
      </c>
      <c r="B1" s="0" t="b">
        <v>1</v>
      </c>
    </row>
    <row customHeight="1" ht="11.25">
      <c r="A2" s="0" t="s">
        <v>9589</v>
      </c>
      <c r="B2" s="0" t="b">
        <v>0</v>
      </c>
    </row>
    <row customHeight="1" ht="11.25">
      <c r="A3" s="0" t="s">
        <v>9590</v>
      </c>
      <c r="B3" s="0" t="b">
        <v>0</v>
      </c>
    </row>
    <row customHeight="1" ht="11.25">
      <c r="A4" s="0" t="s">
        <v>9591</v>
      </c>
      <c r="B4" s="0" t="b">
        <v>0</v>
      </c>
    </row>
    <row customHeight="1" ht="11.25">
      <c r="A5" s="0" t="s">
        <v>9592</v>
      </c>
      <c r="B5" s="0" t="b">
        <v>0</v>
      </c>
    </row>
    <row customHeight="1" ht="11.25">
      <c r="A6" s="0" t="s">
        <v>9593</v>
      </c>
      <c r="B6" s="0" t="b">
        <v>1</v>
      </c>
    </row>
    <row customHeight="1" ht="11.25">
      <c r="A7" s="0" t="s">
        <v>9594</v>
      </c>
      <c r="B7" s="0" t="b">
        <v>0</v>
      </c>
    </row>
    <row customHeight="1" ht="11.25">
      <c r="A8" s="0" t="s">
        <v>9595</v>
      </c>
      <c r="B8" s="0" t="b">
        <v>0</v>
      </c>
    </row>
    <row customHeight="1" ht="11.25">
      <c r="A9" s="0" t="s">
        <v>9596</v>
      </c>
      <c r="B9" s="0" t="b">
        <v>1</v>
      </c>
    </row>
    <row customHeight="1" ht="11.25">
      <c r="A10" s="0" t="s">
        <v>9597</v>
      </c>
      <c r="B10" s="0" t="b">
        <v>0</v>
      </c>
    </row>
    <row customHeight="1" ht="11.25">
      <c r="A11" s="0" t="s">
        <v>9598</v>
      </c>
      <c r="B11" s="0" t="b">
        <v>0</v>
      </c>
    </row>
    <row customHeight="1" ht="11.25">
      <c r="A12" s="0" t="s">
        <v>9599</v>
      </c>
      <c r="B12" s="0" t="b">
        <v>0</v>
      </c>
    </row>
    <row customHeight="1" ht="11.25">
      <c r="A13" s="0" t="s">
        <v>9600</v>
      </c>
      <c r="B13" s="0" t="b">
        <v>0</v>
      </c>
    </row>
    <row customHeight="1" ht="11.25">
      <c r="A14" s="0" t="s">
        <v>9601</v>
      </c>
      <c r="B14" s="0" t="b">
        <v>0</v>
      </c>
    </row>
    <row customHeight="1" ht="11.25">
      <c r="A15" s="0" t="s">
        <v>9602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094EFA-8D0E-5CE8-2212-B9125B7A4889}"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1025" width="9.140625"/>
  </cols>
  <sheetData>
    <row customHeight="1" ht="12.75">
      <c r="A1" s="456"/>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EC337E-CF49-134C-15C5-1B566C66022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21027" width="36.28125" customWidth="1"/>
    <col min="2" max="2" style="21027" width="21.140625" customWidth="1"/>
  </cols>
  <sheetData>
    <row customHeight="1" ht="11.25">
      <c r="A1" s="428" t="s">
        <v>9603</v>
      </c>
      <c r="B1" s="428" t="s">
        <v>9604</v>
      </c>
    </row>
    <row customHeight="1" ht="11.25">
      <c r="A2" s="422" t="s">
        <v>9605</v>
      </c>
      <c r="B2" s="422" t="s">
        <v>9606</v>
      </c>
    </row>
    <row customHeight="1" ht="11.25">
      <c r="A3" s="422" t="s">
        <v>9607</v>
      </c>
      <c r="B3" s="422" t="s">
        <v>9608</v>
      </c>
    </row>
    <row customHeight="1" ht="11.25">
      <c r="A4" s="422" t="s">
        <v>9609</v>
      </c>
      <c r="B4" s="422" t="s">
        <v>9610</v>
      </c>
    </row>
    <row customHeight="1" ht="11.25">
      <c r="A5" s="422" t="s">
        <v>9611</v>
      </c>
      <c r="B5" s="422" t="s">
        <v>9612</v>
      </c>
    </row>
    <row customHeight="1" ht="11.25">
      <c r="A6" s="422" t="s">
        <v>9613</v>
      </c>
      <c r="B6" s="422" t="s">
        <v>9614</v>
      </c>
    </row>
    <row customHeight="1" ht="11.25">
      <c r="A7" s="422" t="s">
        <v>9615</v>
      </c>
      <c r="B7" s="422" t="s">
        <v>9616</v>
      </c>
    </row>
    <row customHeight="1" ht="11.25">
      <c r="A8" s="422" t="s">
        <v>9617</v>
      </c>
      <c r="B8" s="422" t="s">
        <v>9618</v>
      </c>
    </row>
    <row customHeight="1" ht="11.25">
      <c r="A9" s="422" t="s">
        <v>9619</v>
      </c>
      <c r="B9" s="422" t="s">
        <v>9620</v>
      </c>
    </row>
    <row customHeight="1" ht="11.25">
      <c r="A10" s="422" t="s">
        <v>9621</v>
      </c>
      <c r="B10" s="422" t="s">
        <v>9622</v>
      </c>
    </row>
    <row customHeight="1" ht="11.25">
      <c r="A11" s="422" t="s">
        <v>9623</v>
      </c>
      <c r="B11" s="422" t="s">
        <v>9624</v>
      </c>
    </row>
    <row customHeight="1" ht="11.25">
      <c r="A12" s="422" t="s">
        <v>9625</v>
      </c>
      <c r="B12" s="422" t="s">
        <v>9626</v>
      </c>
    </row>
    <row customHeight="1" ht="11.25">
      <c r="A13" s="422" t="s">
        <v>9627</v>
      </c>
      <c r="B13" s="422" t="s">
        <v>9628</v>
      </c>
    </row>
    <row customHeight="1" ht="11.25">
      <c r="A14" s="422" t="s">
        <v>9629</v>
      </c>
      <c r="B14" s="422" t="s">
        <v>9630</v>
      </c>
    </row>
    <row customHeight="1" ht="11.25">
      <c r="A15" s="422" t="s">
        <v>9631</v>
      </c>
      <c r="B15" s="422" t="s">
        <v>9632</v>
      </c>
    </row>
    <row customHeight="1" ht="11.25">
      <c r="A16" s="422" t="s">
        <v>9633</v>
      </c>
      <c r="B16" s="422" t="s">
        <v>9634</v>
      </c>
    </row>
    <row customHeight="1" ht="11.25">
      <c r="A17" s="422" t="s">
        <v>9635</v>
      </c>
      <c r="B17" s="422" t="s">
        <v>9636</v>
      </c>
    </row>
    <row customHeight="1" ht="11.25">
      <c r="A18" s="422" t="s">
        <v>9637</v>
      </c>
      <c r="B18" s="422" t="s">
        <v>9638</v>
      </c>
    </row>
    <row customHeight="1" ht="11.25">
      <c r="A19" s="422" t="s">
        <v>9639</v>
      </c>
      <c r="B19" s="422" t="s">
        <v>9640</v>
      </c>
    </row>
    <row customHeight="1" ht="11.25">
      <c r="A20" s="422" t="s">
        <v>9641</v>
      </c>
      <c r="B20" s="422" t="s">
        <v>9642</v>
      </c>
    </row>
    <row customHeight="1" ht="11.25">
      <c r="A21" s="422" t="s">
        <v>9643</v>
      </c>
      <c r="B21" s="422" t="s">
        <v>9644</v>
      </c>
    </row>
    <row customHeight="1" ht="11.25">
      <c r="A22" s="422" t="s">
        <v>9645</v>
      </c>
      <c r="B22" s="422" t="s">
        <v>9646</v>
      </c>
    </row>
    <row customHeight="1" ht="11.25">
      <c r="A23" s="422" t="s">
        <v>9647</v>
      </c>
      <c r="B23" s="422" t="s">
        <v>9648</v>
      </c>
    </row>
    <row customHeight="1" ht="11.25">
      <c r="A24" s="422" t="s">
        <v>9649</v>
      </c>
      <c r="B24" s="422" t="s">
        <v>9650</v>
      </c>
    </row>
    <row customHeight="1" ht="11.25">
      <c r="A25" s="422" t="s">
        <v>9651</v>
      </c>
      <c r="B25" s="422" t="s">
        <v>9652</v>
      </c>
    </row>
    <row customHeight="1" ht="11.25">
      <c r="A26" s="422" t="s">
        <v>9653</v>
      </c>
      <c r="B26" s="422" t="s">
        <v>9654</v>
      </c>
    </row>
    <row customHeight="1" ht="11.25">
      <c r="A27" s="422" t="s">
        <v>9655</v>
      </c>
      <c r="B27" s="422" t="s">
        <v>9656</v>
      </c>
    </row>
    <row customHeight="1" ht="11.25">
      <c r="A28" s="422" t="s">
        <v>9657</v>
      </c>
      <c r="B28" s="422" t="s">
        <v>9658</v>
      </c>
    </row>
    <row customHeight="1" ht="11.25">
      <c r="A29" s="422" t="s">
        <v>9659</v>
      </c>
      <c r="B29" s="422" t="s">
        <v>9660</v>
      </c>
    </row>
    <row customHeight="1" ht="11.25">
      <c r="A30" s="422" t="s">
        <v>9661</v>
      </c>
      <c r="B30" s="422" t="s">
        <v>9662</v>
      </c>
    </row>
    <row customHeight="1" ht="11.25">
      <c r="A31" s="422" t="s">
        <v>9663</v>
      </c>
      <c r="B31" s="422" t="s">
        <v>9664</v>
      </c>
    </row>
    <row customHeight="1" ht="11.25">
      <c r="A32" s="422" t="s">
        <v>9665</v>
      </c>
      <c r="B32" s="422" t="s">
        <v>9666</v>
      </c>
    </row>
    <row customHeight="1" ht="11.25">
      <c r="A33" s="422" t="s">
        <v>9667</v>
      </c>
      <c r="B33" s="422" t="s">
        <v>9668</v>
      </c>
    </row>
    <row customHeight="1" ht="11.25">
      <c r="A34" s="422" t="s">
        <v>9669</v>
      </c>
      <c r="B34" s="422" t="s">
        <v>9670</v>
      </c>
    </row>
    <row customHeight="1" ht="11.25">
      <c r="A35" s="422" t="s">
        <v>9671</v>
      </c>
      <c r="B35" s="422" t="s">
        <v>9672</v>
      </c>
    </row>
    <row customHeight="1" ht="11.25">
      <c r="A36" s="422" t="s">
        <v>9673</v>
      </c>
      <c r="B36" s="422" t="s">
        <v>9674</v>
      </c>
    </row>
    <row customHeight="1" ht="11.25">
      <c r="A37" s="422" t="s">
        <v>9675</v>
      </c>
      <c r="B37" s="422" t="s">
        <v>9676</v>
      </c>
    </row>
    <row customHeight="1" ht="11.25">
      <c r="A38" s="422" t="s">
        <v>9677</v>
      </c>
      <c r="B38" s="422" t="s">
        <v>9678</v>
      </c>
    </row>
    <row customHeight="1" ht="11.25">
      <c r="A39" s="422" t="s">
        <v>9679</v>
      </c>
      <c r="B39" s="422" t="s">
        <v>9680</v>
      </c>
    </row>
    <row customHeight="1" ht="11.25">
      <c r="A40" s="422" t="s">
        <v>9681</v>
      </c>
      <c r="B40" s="422" t="s">
        <v>9682</v>
      </c>
    </row>
    <row customHeight="1" ht="11.25">
      <c r="A41" s="422" t="s">
        <v>9683</v>
      </c>
      <c r="B41" s="422" t="s">
        <v>9684</v>
      </c>
    </row>
    <row customHeight="1" ht="11.25">
      <c r="A42" s="422" t="s">
        <v>9685</v>
      </c>
      <c r="B42" s="422" t="s">
        <v>9686</v>
      </c>
    </row>
    <row customHeight="1" ht="11.25">
      <c r="A43" s="422" t="s">
        <v>9687</v>
      </c>
      <c r="B43" s="422" t="s">
        <v>9688</v>
      </c>
    </row>
    <row customHeight="1" ht="11.25">
      <c r="A44" s="422" t="s">
        <v>9689</v>
      </c>
      <c r="B44" s="422" t="s">
        <v>9690</v>
      </c>
    </row>
    <row customHeight="1" ht="11.25">
      <c r="A45" s="422" t="s">
        <v>9691</v>
      </c>
      <c r="B45" s="422" t="s">
        <v>9692</v>
      </c>
    </row>
    <row customHeight="1" ht="11.25">
      <c r="A46" s="422" t="s">
        <v>9693</v>
      </c>
      <c r="B46" s="422" t="s">
        <v>9694</v>
      </c>
    </row>
    <row customHeight="1" ht="11.25">
      <c r="A47" s="422" t="s">
        <v>9695</v>
      </c>
      <c r="B47" s="422" t="s">
        <v>9696</v>
      </c>
    </row>
    <row customHeight="1" ht="11.25">
      <c r="A48" s="422" t="s">
        <v>9697</v>
      </c>
      <c r="B48" s="422" t="s">
        <v>9698</v>
      </c>
    </row>
    <row customHeight="1" ht="11.25">
      <c r="A49" s="422" t="s">
        <v>9699</v>
      </c>
      <c r="B49" s="422" t="s">
        <v>9700</v>
      </c>
    </row>
    <row customHeight="1" ht="11.25">
      <c r="A50" s="422" t="s">
        <v>9701</v>
      </c>
      <c r="B50" s="422" t="s">
        <v>9702</v>
      </c>
    </row>
    <row customHeight="1" ht="11.25">
      <c r="A51" s="422" t="s">
        <v>9703</v>
      </c>
      <c r="B51" s="422" t="s">
        <v>9704</v>
      </c>
    </row>
    <row customHeight="1" ht="11.25">
      <c r="A52" s="422" t="s">
        <v>9705</v>
      </c>
      <c r="B52" s="422" t="s">
        <v>9706</v>
      </c>
    </row>
    <row customHeight="1" ht="11.25">
      <c r="A53" s="422" t="s">
        <v>9707</v>
      </c>
      <c r="B53" s="422" t="s">
        <v>9708</v>
      </c>
    </row>
    <row customHeight="1" ht="11.25">
      <c r="A54" s="422" t="s">
        <v>9709</v>
      </c>
      <c r="B54" s="422" t="s">
        <v>9710</v>
      </c>
    </row>
    <row customHeight="1" ht="11.25">
      <c r="A55" s="422" t="s">
        <v>9711</v>
      </c>
      <c r="B55" s="422" t="s">
        <v>9712</v>
      </c>
    </row>
    <row customHeight="1" ht="11.25">
      <c r="A56" s="422" t="s">
        <v>9713</v>
      </c>
      <c r="B56" s="422" t="s">
        <v>9714</v>
      </c>
    </row>
    <row customHeight="1" ht="11.25">
      <c r="A57" s="422" t="s">
        <v>9715</v>
      </c>
      <c r="B57" s="422" t="s">
        <v>9716</v>
      </c>
    </row>
    <row customHeight="1" ht="11.25">
      <c r="A58" s="422" t="s">
        <v>9717</v>
      </c>
      <c r="B58" s="422" t="s">
        <v>9718</v>
      </c>
    </row>
    <row customHeight="1" ht="11.25">
      <c r="A59" s="422" t="s">
        <v>9719</v>
      </c>
      <c r="B59" s="422" t="s">
        <v>9720</v>
      </c>
    </row>
    <row customHeight="1" ht="11.25">
      <c r="A60" s="422" t="s">
        <v>9721</v>
      </c>
      <c r="B60" s="422" t="s">
        <v>9722</v>
      </c>
    </row>
    <row customHeight="1" ht="11.25">
      <c r="A61" s="422"/>
      <c r="B61" s="422" t="s">
        <v>9723</v>
      </c>
    </row>
    <row customHeight="1" ht="11.25">
      <c r="A62" s="422"/>
      <c r="B62" s="422" t="s">
        <v>9724</v>
      </c>
    </row>
    <row customHeight="1" ht="11.25">
      <c r="A63" s="422"/>
      <c r="B63" s="422" t="s">
        <v>9725</v>
      </c>
    </row>
    <row customHeight="1" ht="11.25">
      <c r="A64" s="422"/>
      <c r="B64" s="422" t="s">
        <v>9726</v>
      </c>
    </row>
    <row customHeight="1" ht="11.25">
      <c r="A65" s="422"/>
      <c r="B65" s="422" t="s">
        <v>9727</v>
      </c>
    </row>
    <row customHeight="1" ht="11.25">
      <c r="A66" s="422"/>
      <c r="B66" s="422" t="s">
        <v>9728</v>
      </c>
    </row>
    <row customHeight="1" ht="11.25">
      <c r="A67" s="422"/>
      <c r="B67" s="422" t="s">
        <v>9729</v>
      </c>
    </row>
    <row customHeight="1" ht="11.25">
      <c r="A68" s="422"/>
      <c r="B68" s="422" t="s">
        <v>9730</v>
      </c>
    </row>
    <row customHeight="1" ht="11.25">
      <c r="A69" s="422"/>
      <c r="B69" s="422" t="s">
        <v>9731</v>
      </c>
    </row>
    <row customHeight="1" ht="11.25">
      <c r="A70" s="422"/>
      <c r="B70" s="422" t="s">
        <v>9732</v>
      </c>
    </row>
    <row customHeight="1" ht="11.25">
      <c r="A71" s="422"/>
      <c r="B71" s="422"/>
    </row>
    <row customHeight="1" ht="11.25">
      <c r="A72" s="422"/>
      <c r="B72" s="422"/>
    </row>
    <row customHeight="1" ht="11.25">
      <c r="A73" s="422"/>
      <c r="B73" s="422"/>
    </row>
    <row customHeight="1" ht="11.25">
      <c r="A74" s="422"/>
      <c r="B74" s="422"/>
    </row>
    <row customHeight="1" ht="11.25">
      <c r="A75" s="422"/>
      <c r="B75" s="422"/>
    </row>
    <row customHeight="1" ht="11.25">
      <c r="A76" s="422"/>
      <c r="B76" s="422"/>
    </row>
    <row customHeight="1" ht="11.25">
      <c r="A77" s="422"/>
      <c r="B77" s="422"/>
    </row>
    <row customHeight="1" ht="11.25">
      <c r="A78" s="422"/>
      <c r="B78" s="422"/>
    </row>
    <row customHeight="1" ht="11.25">
      <c r="A79" s="422"/>
      <c r="B79" s="422"/>
    </row>
    <row customHeight="1" ht="11.25">
      <c r="A80" s="422"/>
      <c r="B80" s="422"/>
    </row>
    <row customHeight="1" ht="11.25">
      <c r="A81" s="422"/>
      <c r="B81" s="422"/>
    </row>
    <row customHeight="1" ht="11.25">
      <c r="A82" s="422"/>
      <c r="B82" s="422"/>
    </row>
    <row customHeight="1" ht="11.25">
      <c r="A83" s="422"/>
      <c r="B83" s="422"/>
    </row>
    <row customHeight="1" ht="11.25">
      <c r="A84" s="422"/>
      <c r="B84" s="422"/>
    </row>
    <row customHeight="1" ht="11.25">
      <c r="A85" s="422"/>
      <c r="B85" s="422"/>
    </row>
    <row customHeight="1" ht="11.25">
      <c r="A86" s="422"/>
      <c r="B86" s="422"/>
    </row>
    <row customHeight="1" ht="11.25">
      <c r="A87" s="422"/>
      <c r="B87" s="422"/>
    </row>
    <row customHeight="1" ht="11.25">
      <c r="A88" s="422"/>
      <c r="B88" s="422"/>
    </row>
    <row customHeight="1" ht="11.25">
      <c r="A89" s="422"/>
      <c r="B89" s="422"/>
    </row>
    <row customHeight="1" ht="11.25">
      <c r="A90" s="422"/>
      <c r="B90" s="422"/>
    </row>
    <row customHeight="1" ht="11.25">
      <c r="A91" s="422"/>
      <c r="B91" s="422"/>
    </row>
    <row customHeight="1" ht="11.25">
      <c r="A92" s="422"/>
      <c r="B92" s="422"/>
    </row>
    <row customHeight="1" ht="11.25">
      <c r="A93" s="422"/>
      <c r="B93" s="422"/>
    </row>
    <row customHeight="1" ht="11.25">
      <c r="A94" s="422"/>
      <c r="B94" s="422"/>
    </row>
    <row customHeight="1" ht="11.25">
      <c r="A95" s="422"/>
      <c r="B95" s="422"/>
    </row>
    <row customHeight="1" ht="11.25">
      <c r="A96" s="422"/>
      <c r="B96" s="422"/>
    </row>
    <row customHeight="1" ht="11.25">
      <c r="A97" s="422"/>
      <c r="B97" s="422"/>
    </row>
    <row customHeight="1" ht="11.25">
      <c r="A98" s="422"/>
      <c r="B98" s="422"/>
    </row>
    <row customHeight="1" ht="11.25">
      <c r="A99" s="422"/>
      <c r="B99" s="422"/>
    </row>
    <row customHeight="1" ht="11.25">
      <c r="A100" s="422"/>
      <c r="B100" s="422"/>
    </row>
    <row customHeight="1" ht="11.25">
      <c r="A101" s="422"/>
      <c r="B101" s="422"/>
    </row>
    <row customHeight="1" ht="11.25">
      <c r="A102" s="422"/>
      <c r="B102" s="422"/>
    </row>
    <row customHeight="1" ht="11.25">
      <c r="A103" s="422"/>
      <c r="B103" s="422"/>
    </row>
    <row customHeight="1" ht="11.25">
      <c r="A104" s="422"/>
      <c r="B104" s="422"/>
    </row>
    <row customHeight="1" ht="11.25">
      <c r="A105" s="422"/>
      <c r="B105" s="422"/>
    </row>
    <row customHeight="1" ht="11.25">
      <c r="A106" s="422"/>
      <c r="B106" s="422"/>
    </row>
    <row customHeight="1" ht="11.25">
      <c r="A107" s="422"/>
      <c r="B107" s="422"/>
    </row>
    <row customHeight="1" ht="11.25">
      <c r="A108" s="422"/>
      <c r="B108" s="422"/>
    </row>
    <row customHeight="1" ht="11.25">
      <c r="A109" s="422"/>
      <c r="B109" s="422"/>
    </row>
    <row customHeight="1" ht="11.25">
      <c r="A110" s="422"/>
      <c r="B110" s="422"/>
    </row>
    <row customHeight="1" ht="11.25">
      <c r="A111" s="422"/>
      <c r="B111" s="422"/>
    </row>
    <row customHeight="1" ht="11.25">
      <c r="A112" s="422"/>
      <c r="B112" s="422"/>
    </row>
    <row customHeight="1" ht="11.25">
      <c r="A113" s="422"/>
      <c r="B113" s="422"/>
    </row>
    <row customHeight="1" ht="11.25">
      <c r="A114" s="422"/>
      <c r="B114" s="422"/>
    </row>
    <row customHeight="1" ht="11.25">
      <c r="A115" s="422"/>
      <c r="B115" s="422"/>
    </row>
    <row customHeight="1" ht="11.25">
      <c r="A116" s="422"/>
      <c r="B116" s="422"/>
    </row>
    <row customHeight="1" ht="11.25">
      <c r="A117" s="422"/>
      <c r="B117" s="422"/>
    </row>
    <row customHeight="1" ht="11.25">
      <c r="A118" s="422"/>
      <c r="B118" s="422"/>
    </row>
    <row customHeight="1" ht="11.25">
      <c r="A119" s="422"/>
      <c r="B119" s="422"/>
    </row>
    <row customHeight="1" ht="11.25">
      <c r="A120" s="422"/>
      <c r="B120" s="422"/>
    </row>
    <row customHeight="1" ht="11.25">
      <c r="A121" s="422"/>
      <c r="B121" s="422"/>
    </row>
    <row customHeight="1" ht="11.25">
      <c r="A122" s="422"/>
      <c r="B122" s="422"/>
    </row>
    <row customHeight="1" ht="11.25">
      <c r="A123" s="422"/>
      <c r="B123" s="422"/>
    </row>
    <row customHeight="1" ht="11.25">
      <c r="A124" s="422"/>
      <c r="B124" s="422"/>
    </row>
    <row customHeight="1" ht="11.25">
      <c r="A125" s="422"/>
      <c r="B125" s="422"/>
    </row>
    <row customHeight="1" ht="11.25">
      <c r="A126" s="422"/>
      <c r="B126" s="422"/>
    </row>
    <row customHeight="1" ht="11.25">
      <c r="A127" s="422"/>
      <c r="B127" s="422"/>
    </row>
    <row customHeight="1" ht="11.25">
      <c r="A128" s="422"/>
      <c r="B128" s="422"/>
    </row>
    <row customHeight="1" ht="11.25">
      <c r="A129" s="422"/>
      <c r="B129" s="422"/>
    </row>
    <row customHeight="1" ht="11.25">
      <c r="A130" s="422"/>
      <c r="B130" s="422"/>
    </row>
    <row customHeight="1" ht="11.25">
      <c r="A131" s="422"/>
      <c r="B131" s="422"/>
    </row>
    <row customHeight="1" ht="11.25">
      <c r="A132" s="422"/>
      <c r="B132" s="422"/>
    </row>
    <row customHeight="1" ht="11.25">
      <c r="A133" s="422"/>
      <c r="B133" s="422"/>
    </row>
    <row customHeight="1" ht="11.25">
      <c r="A134" s="422"/>
      <c r="B134" s="422"/>
    </row>
    <row customHeight="1" ht="11.25">
      <c r="A135" s="422"/>
      <c r="B135" s="422"/>
    </row>
    <row customHeight="1" ht="11.25">
      <c r="A136" s="422"/>
      <c r="B136" s="422"/>
    </row>
    <row customHeight="1" ht="11.25">
      <c r="A137" s="422"/>
      <c r="B137" s="422"/>
    </row>
    <row customHeight="1" ht="11.25">
      <c r="A138" s="422"/>
      <c r="B138" s="422"/>
    </row>
    <row customHeight="1" ht="11.25">
      <c r="A139" s="422"/>
      <c r="B139" s="422"/>
    </row>
    <row customHeight="1" ht="11.25">
      <c r="A140" s="422"/>
      <c r="B140" s="422"/>
    </row>
    <row customHeight="1" ht="11.25">
      <c r="A141" s="422"/>
      <c r="B141" s="422"/>
    </row>
    <row customHeight="1" ht="11.25">
      <c r="A142" s="422"/>
      <c r="B142" s="422"/>
    </row>
    <row customHeight="1" ht="11.25">
      <c r="A143" s="422"/>
      <c r="B143" s="422"/>
    </row>
    <row customHeight="1" ht="11.25">
      <c r="A144" s="422"/>
      <c r="B144" s="422"/>
    </row>
    <row customHeight="1" ht="11.25">
      <c r="A145" s="422"/>
      <c r="B145" s="422"/>
    </row>
    <row customHeight="1" ht="11.25">
      <c r="A146" s="422"/>
      <c r="B146" s="422"/>
    </row>
    <row customHeight="1" ht="11.25">
      <c r="A147" s="422"/>
      <c r="B147" s="422"/>
    </row>
    <row customHeight="1" ht="11.25">
      <c r="A148" s="422"/>
      <c r="B148" s="422"/>
    </row>
    <row customHeight="1" ht="11.25">
      <c r="A149" s="422"/>
      <c r="B149" s="422"/>
    </row>
    <row customHeight="1" ht="11.25">
      <c r="A150" s="422"/>
      <c r="B150" s="422"/>
    </row>
    <row customHeight="1" ht="11.25">
      <c r="A151" s="422"/>
      <c r="B151" s="422"/>
    </row>
    <row customHeight="1" ht="11.25">
      <c r="A152" s="422"/>
      <c r="B152" s="422"/>
    </row>
    <row customHeight="1" ht="11.25">
      <c r="A153" s="422"/>
      <c r="B153" s="422"/>
    </row>
    <row customHeight="1" ht="11.25">
      <c r="A154" s="422"/>
      <c r="B154" s="422"/>
    </row>
    <row customHeight="1" ht="11.25">
      <c r="A155" s="422"/>
      <c r="B155" s="422"/>
    </row>
    <row customHeight="1" ht="11.25">
      <c r="A156" s="422"/>
      <c r="B156" s="422"/>
    </row>
    <row customHeight="1" ht="11.25">
      <c r="A157" s="422"/>
      <c r="B157" s="422"/>
    </row>
    <row customHeight="1" ht="11.25">
      <c r="A158" s="422"/>
      <c r="B158" s="422"/>
    </row>
    <row customHeight="1" ht="11.25">
      <c r="A159" s="422"/>
      <c r="B159" s="422"/>
    </row>
    <row customHeight="1" ht="11.25">
      <c r="A160" s="422"/>
      <c r="B160" s="422"/>
    </row>
    <row customHeight="1" ht="11.25">
      <c r="A161" s="422"/>
      <c r="B161" s="422"/>
    </row>
    <row customHeight="1" ht="11.25">
      <c r="A162" s="422"/>
      <c r="B162" s="422"/>
    </row>
    <row customHeight="1" ht="11.25">
      <c r="A163" s="422"/>
      <c r="B163" s="422"/>
    </row>
    <row customHeight="1" ht="11.25">
      <c r="A164" s="422"/>
      <c r="B164" s="422"/>
    </row>
    <row customHeight="1" ht="11.25">
      <c r="A165" s="422"/>
      <c r="B165" s="422"/>
    </row>
    <row customHeight="1" ht="11.25">
      <c r="A166" s="422"/>
      <c r="B166" s="422"/>
    </row>
    <row customHeight="1" ht="11.25">
      <c r="A167" s="422"/>
      <c r="B167" s="422"/>
    </row>
    <row customHeight="1" ht="11.25">
      <c r="A168" s="422"/>
      <c r="B168" s="422"/>
    </row>
    <row customHeight="1" ht="11.25">
      <c r="A169" s="422"/>
      <c r="B169" s="422"/>
    </row>
    <row customHeight="1" ht="11.25">
      <c r="A170" s="422"/>
      <c r="B170" s="422"/>
    </row>
    <row customHeight="1" ht="11.25">
      <c r="A171" s="422"/>
      <c r="B171" s="422"/>
    </row>
    <row customHeight="1" ht="11.25">
      <c r="A172" s="422"/>
      <c r="B172" s="422"/>
    </row>
    <row customHeight="1" ht="11.25">
      <c r="A173" s="422"/>
      <c r="B173" s="422"/>
    </row>
    <row customHeight="1" ht="11.25">
      <c r="A174" s="422"/>
      <c r="B174" s="422"/>
    </row>
    <row customHeight="1" ht="11.25">
      <c r="A175" s="422"/>
      <c r="B175" s="422"/>
    </row>
    <row customHeight="1" ht="11.25">
      <c r="A176" s="422"/>
      <c r="B176" s="422"/>
    </row>
    <row customHeight="1" ht="11.25">
      <c r="A177" s="422"/>
      <c r="B177" s="422"/>
    </row>
    <row customHeight="1" ht="11.25">
      <c r="A178" s="422"/>
      <c r="B178" s="422"/>
    </row>
    <row customHeight="1" ht="11.25">
      <c r="A179" s="422"/>
      <c r="B179" s="422"/>
    </row>
    <row customHeight="1" ht="11.25">
      <c r="A180" s="422"/>
      <c r="B180" s="422"/>
    </row>
    <row customHeight="1" ht="11.25">
      <c r="A181" s="422"/>
      <c r="B181" s="422"/>
    </row>
    <row customHeight="1" ht="11.25">
      <c r="A182" s="422"/>
      <c r="B182" s="422"/>
    </row>
    <row customHeight="1" ht="11.25">
      <c r="A183" s="422"/>
      <c r="B183" s="422"/>
    </row>
    <row customHeight="1" ht="11.25">
      <c r="A184" s="422"/>
      <c r="B184" s="422"/>
    </row>
    <row customHeight="1" ht="11.25">
      <c r="A185" s="422"/>
      <c r="B185" s="422"/>
    </row>
    <row customHeight="1" ht="11.25">
      <c r="A186" s="422"/>
      <c r="B186" s="422"/>
    </row>
    <row customHeight="1" ht="11.25">
      <c r="A187" s="422"/>
      <c r="B187" s="422"/>
    </row>
    <row customHeight="1" ht="11.25">
      <c r="A188" s="422"/>
      <c r="B188" s="422"/>
    </row>
    <row customHeight="1" ht="11.25">
      <c r="A189" s="422"/>
      <c r="B189" s="422"/>
    </row>
    <row customHeight="1" ht="11.25">
      <c r="A190" s="422"/>
      <c r="B190" s="422"/>
    </row>
    <row customHeight="1" ht="11.25">
      <c r="A191" s="422"/>
      <c r="B191" s="422"/>
    </row>
    <row customHeight="1" ht="11.25">
      <c r="A192" s="422"/>
      <c r="B192" s="422"/>
    </row>
    <row customHeight="1" ht="11.25">
      <c r="A193" s="422"/>
      <c r="B193" s="422"/>
    </row>
    <row customHeight="1" ht="11.25">
      <c r="A194" s="422"/>
      <c r="B194" s="422"/>
    </row>
    <row customHeight="1" ht="11.25">
      <c r="A195" s="422"/>
      <c r="B195" s="422"/>
    </row>
    <row customHeight="1" ht="11.25">
      <c r="A196" s="422"/>
      <c r="B196" s="422"/>
    </row>
    <row customHeight="1" ht="11.25">
      <c r="A197" s="422"/>
      <c r="B197" s="422"/>
    </row>
    <row customHeight="1" ht="11.25">
      <c r="A198" s="422"/>
      <c r="B198" s="422"/>
    </row>
    <row customHeight="1" ht="11.25">
      <c r="A199" s="422"/>
      <c r="B199" s="422"/>
    </row>
    <row customHeight="1" ht="11.25">
      <c r="A200" s="422"/>
      <c r="B200" s="422"/>
    </row>
    <row customHeight="1" ht="11.25">
      <c r="A201" s="422"/>
      <c r="B201" s="422"/>
    </row>
    <row customHeight="1" ht="11.25">
      <c r="A202" s="422"/>
      <c r="B202" s="422"/>
    </row>
    <row customHeight="1" ht="11.25">
      <c r="A203" s="422"/>
      <c r="B203" s="422"/>
    </row>
    <row customHeight="1" ht="11.25">
      <c r="A204" s="422"/>
      <c r="B204" s="422"/>
    </row>
    <row customHeight="1" ht="11.25">
      <c r="A205" s="422"/>
      <c r="B205" s="422"/>
    </row>
    <row customHeight="1" ht="11.25">
      <c r="A206" s="422"/>
      <c r="B206" s="422"/>
    </row>
    <row customHeight="1" ht="11.25">
      <c r="A207" s="422"/>
      <c r="B207" s="422"/>
    </row>
    <row customHeight="1" ht="11.25">
      <c r="A208" s="422"/>
      <c r="B208" s="422"/>
    </row>
    <row customHeight="1" ht="11.25">
      <c r="A209" s="422"/>
      <c r="B209" s="422"/>
    </row>
    <row customHeight="1" ht="11.25">
      <c r="A210" s="422"/>
      <c r="B210" s="422"/>
    </row>
    <row customHeight="1" ht="11.25">
      <c r="A211" s="422"/>
      <c r="B211" s="422"/>
    </row>
    <row customHeight="1" ht="11.25">
      <c r="A212" s="422"/>
      <c r="B212" s="422"/>
    </row>
    <row customHeight="1" ht="11.25">
      <c r="A213" s="422"/>
      <c r="B213" s="422"/>
    </row>
    <row customHeight="1" ht="11.25">
      <c r="A214" s="422"/>
      <c r="B214" s="422"/>
    </row>
    <row customHeight="1" ht="11.25">
      <c r="A215" s="422"/>
      <c r="B215" s="422"/>
    </row>
    <row customHeight="1" ht="11.25">
      <c r="A216" s="422"/>
      <c r="B216" s="422"/>
    </row>
    <row customHeight="1" ht="11.25">
      <c r="A217" s="422"/>
      <c r="B217" s="422"/>
    </row>
    <row customHeight="1" ht="11.25">
      <c r="A218" s="422"/>
      <c r="B218" s="422"/>
    </row>
    <row customHeight="1" ht="11.25">
      <c r="A219" s="422"/>
      <c r="B219" s="422"/>
    </row>
    <row customHeight="1" ht="11.25">
      <c r="A220" s="422"/>
      <c r="B220" s="422"/>
    </row>
    <row customHeight="1" ht="11.25">
      <c r="A221" s="422"/>
      <c r="B221" s="422"/>
    </row>
    <row customHeight="1" ht="11.25">
      <c r="A222" s="422"/>
      <c r="B222" s="422"/>
    </row>
    <row customHeight="1" ht="11.25">
      <c r="A223" s="422"/>
      <c r="B223" s="422"/>
    </row>
    <row customHeight="1" ht="11.25">
      <c r="A224" s="422"/>
      <c r="B224" s="422"/>
    </row>
    <row customHeight="1" ht="11.25">
      <c r="A225" s="422"/>
      <c r="B225" s="422"/>
    </row>
    <row customHeight="1" ht="11.25">
      <c r="A226" s="422"/>
      <c r="B226" s="422"/>
    </row>
    <row customHeight="1" ht="11.25">
      <c r="A227" s="422"/>
      <c r="B227" s="422"/>
    </row>
    <row customHeight="1" ht="11.25">
      <c r="A228" s="422"/>
      <c r="B228" s="422"/>
    </row>
    <row customHeight="1" ht="11.25">
      <c r="A229" s="422"/>
      <c r="B229" s="422"/>
    </row>
    <row customHeight="1" ht="11.25">
      <c r="A230" s="422"/>
      <c r="B230" s="422"/>
    </row>
    <row customHeight="1" ht="11.25">
      <c r="A231" s="422"/>
      <c r="B231" s="422"/>
    </row>
    <row customHeight="1" ht="11.25">
      <c r="A232" s="422"/>
      <c r="B232" s="422"/>
    </row>
    <row customHeight="1" ht="11.25">
      <c r="A233" s="422"/>
      <c r="B233" s="422"/>
    </row>
    <row customHeight="1" ht="11.25">
      <c r="A234" s="422"/>
      <c r="B234" s="422"/>
    </row>
    <row customHeight="1" ht="11.25">
      <c r="A235" s="422"/>
      <c r="B235" s="422"/>
    </row>
    <row customHeight="1" ht="11.25">
      <c r="A236" s="422"/>
      <c r="B236" s="422"/>
    </row>
    <row customHeight="1" ht="11.25">
      <c r="A237" s="422"/>
      <c r="B237" s="422"/>
    </row>
    <row customHeight="1" ht="11.25">
      <c r="A238" s="422"/>
      <c r="B238" s="422"/>
    </row>
    <row customHeight="1" ht="11.25">
      <c r="A239" s="422"/>
      <c r="B239" s="422"/>
    </row>
    <row customHeight="1" ht="11.25">
      <c r="A240" s="422"/>
      <c r="B240" s="422"/>
    </row>
    <row customHeight="1" ht="11.25">
      <c r="A241" s="422"/>
      <c r="B241" s="422"/>
    </row>
    <row customHeight="1" ht="11.25">
      <c r="A242" s="422"/>
      <c r="B242" s="422"/>
    </row>
    <row customHeight="1" ht="11.25">
      <c r="A243" s="422"/>
      <c r="B243" s="422"/>
    </row>
    <row customHeight="1" ht="11.25">
      <c r="A244" s="422"/>
      <c r="B244" s="422"/>
    </row>
    <row customHeight="1" ht="11.25">
      <c r="A245" s="422"/>
      <c r="B245" s="422"/>
    </row>
    <row customHeight="1" ht="11.25">
      <c r="A246" s="422"/>
      <c r="B246" s="422"/>
    </row>
    <row customHeight="1" ht="11.25">
      <c r="A247" s="422"/>
      <c r="B247" s="422"/>
    </row>
    <row customHeight="1" ht="11.25">
      <c r="A248" s="422"/>
      <c r="B248" s="422"/>
    </row>
    <row customHeight="1" ht="11.25">
      <c r="A249" s="422"/>
      <c r="B249" s="422"/>
    </row>
    <row customHeight="1" ht="11.25">
      <c r="A250" s="422"/>
      <c r="B250" s="422"/>
    </row>
    <row customHeight="1" ht="11.25">
      <c r="A251" s="422"/>
      <c r="B251" s="422"/>
    </row>
    <row customHeight="1" ht="11.25">
      <c r="A252" s="422"/>
      <c r="B252" s="422"/>
    </row>
    <row customHeight="1" ht="11.25">
      <c r="A253" s="422"/>
      <c r="B253" s="422"/>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B366B8-4E9C-C603-A292-DF8BB8886A5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1039" width="3.7109375" customWidth="1"/>
    <col min="2" max="2" style="21039" width="90.7109375" customWidth="1"/>
    <col min="3" max="4" style="21039" width="9.140625"/>
  </cols>
  <sheetData>
    <row customHeight="1" ht="11.25">
      <c r="B1" s="454" t="s">
        <v>9733</v>
      </c>
    </row>
    <row customHeight="1" ht="90">
      <c r="B2" s="455" t="s">
        <v>9734</v>
      </c>
    </row>
    <row customHeight="1" ht="67.5">
      <c r="B3" s="455" t="s">
        <v>9735</v>
      </c>
    </row>
    <row customHeight="1" ht="33.75">
      <c r="B4" s="455" t="s">
        <v>9736</v>
      </c>
    </row>
    <row customHeight="1" ht="11.25">
      <c r="B5" s="455" t="s">
        <v>9737</v>
      </c>
    </row>
    <row customHeight="1" ht="22.5">
      <c r="B6" s="455" t="s">
        <v>9738</v>
      </c>
    </row>
    <row customHeight="1" ht="22.5">
      <c r="B7" s="455" t="s">
        <v>9739</v>
      </c>
    </row>
    <row customHeight="1" ht="22.5">
      <c r="B8" s="455" t="s">
        <v>9740</v>
      </c>
    </row>
    <row customHeight="1" ht="22.5">
      <c r="B9" s="455" t="s">
        <v>9741</v>
      </c>
    </row>
    <row customHeight="1" ht="56.25">
      <c r="B10" s="455" t="s">
        <v>9742</v>
      </c>
    </row>
    <row customHeight="1" ht="12.75">
      <c r="B11" s="521" t="s">
        <v>9743</v>
      </c>
    </row>
    <row customHeight="1" ht="11.25">
      <c r="B12" s="454" t="s">
        <v>9744</v>
      </c>
    </row>
    <row customHeight="1" ht="22.5">
      <c r="B13" s="455" t="s">
        <v>9745</v>
      </c>
    </row>
    <row customHeight="1" ht="67.5">
      <c r="B14" s="455" t="s">
        <v>9746</v>
      </c>
    </row>
    <row customHeight="1" ht="22.5">
      <c r="B15" s="455" t="s">
        <v>9747</v>
      </c>
    </row>
    <row customHeight="1" ht="11.25">
      <c r="B16" s="454" t="s">
        <v>9748</v>
      </c>
      <c r="D16" s="462"/>
    </row>
    <row customHeight="1" ht="33.75">
      <c r="B17" s="455" t="s">
        <v>9749</v>
      </c>
    </row>
    <row customHeight="1" ht="33.75">
      <c r="B18" s="455" t="s">
        <v>9750</v>
      </c>
    </row>
    <row customHeight="1" ht="11.25">
      <c r="B19" s="455" t="s">
        <v>9751</v>
      </c>
    </row>
    <row customHeight="1" ht="33.75">
      <c r="B20" s="455" t="s">
        <v>9752</v>
      </c>
    </row>
    <row customHeight="1" ht="11.25">
      <c r="B21" s="454" t="s">
        <v>9753</v>
      </c>
    </row>
    <row customHeight="1" ht="11.25">
      <c r="B22" s="455" t="s">
        <v>9754</v>
      </c>
    </row>
    <row r="24" customHeight="1" ht="22.5">
      <c r="B24" s="523" t="s">
        <v>9755</v>
      </c>
    </row>
    <row r="26" customHeight="1" ht="11.25">
      <c r="B26" s="454" t="s">
        <v>9756</v>
      </c>
    </row>
    <row customHeight="1" ht="22.5">
      <c r="B27" s="522" t="s">
        <v>396</v>
      </c>
    </row>
    <row customHeight="1" ht="56.25">
      <c r="B28" s="522" t="s">
        <v>9757</v>
      </c>
    </row>
    <row customHeight="1" ht="11.25">
      <c r="B29" s="571" t="s">
        <v>9758</v>
      </c>
    </row>
    <row customHeight="1" ht="22.5">
      <c r="B30" s="522" t="s">
        <v>9759</v>
      </c>
    </row>
    <row r="32" customHeight="1" ht="11.25">
      <c r="A32" s="549"/>
      <c r="B32" s="550" t="s">
        <v>9760</v>
      </c>
    </row>
    <row customHeight="1" ht="14.25">
      <c r="A33" s="551">
        <v>1</v>
      </c>
      <c r="B33" s="552" t="s">
        <v>9761</v>
      </c>
    </row>
    <row customHeight="1" ht="14.25">
      <c r="A34" s="551">
        <v>2</v>
      </c>
      <c r="B34" s="552" t="s">
        <v>9762</v>
      </c>
    </row>
    <row customHeight="1" ht="11.25">
      <c r="B35" s="550" t="s">
        <v>9763</v>
      </c>
    </row>
    <row customHeight="1" ht="11.25">
      <c r="B36" s="552" t="s">
        <v>9764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37D51A-2DE9-B5D4-0B0F-07ABE1F291FE}"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19027" width="9.140625" hidden="1" customWidth="1"/>
    <col min="2" max="2" style="19028" width="9.140625" hidden="1" customWidth="1"/>
    <col min="3" max="3" style="19000" width="3.7109375" customWidth="1"/>
    <col min="4" max="4" style="19028" width="5.57421875" customWidth="1"/>
    <col min="5" max="5" style="19028" width="38.140625" customWidth="1"/>
    <col min="6" max="7" style="19028" width="3.7109375" customWidth="1"/>
    <col min="8" max="8" style="19028" width="38.28125" customWidth="1"/>
    <col min="9" max="9" style="19028" width="35.7109375" customWidth="1"/>
    <col min="10" max="10" style="19028" width="103.7109375" customWidth="1"/>
    <col min="11" max="11" style="18787" width="3.7109375" customWidth="1"/>
    <col min="12" max="14" style="19029" width="10.57421875"/>
    <col min="15" max="15" style="19029" width="13.7109375" customWidth="1"/>
    <col min="16" max="16" style="19029" width="15.421875" customWidth="1"/>
    <col min="17" max="17" style="19029" width="16.28125" customWidth="1"/>
    <col min="18" max="21" style="19029" width="10.57421875"/>
  </cols>
  <sheetData>
    <row customHeight="1" ht="14.25" hidden="1">
      <c r="E1" s="773"/>
      <c r="F1" s="773"/>
      <c r="G1" s="773"/>
      <c r="H1" s="2502" t="s">
        <v>352</v>
      </c>
      <c r="I1" s="2502"/>
    </row>
    <row s="19004" customFormat="1" customHeight="1" ht="14.25" hidden="1">
      <c r="C2" s="1985"/>
      <c r="D2" s="2506" t="s">
        <v>106</v>
      </c>
      <c r="E2" s="2508"/>
      <c r="F2" s="1991"/>
      <c r="G2" s="1986" t="s">
        <v>106</v>
      </c>
      <c r="H2" s="1989"/>
      <c r="I2" s="1987"/>
      <c r="L2" s="1988"/>
      <c r="M2" s="1988"/>
      <c r="N2" s="1988"/>
      <c r="O2" s="1988" t="s">
        <v>382</v>
      </c>
      <c r="P2" s="1988"/>
      <c r="Q2" s="1988"/>
      <c r="R2" s="1990" t="s">
        <v>381</v>
      </c>
      <c r="S2" s="1990" t="s">
        <v>381</v>
      </c>
      <c r="T2" s="1988"/>
      <c r="U2" s="1988"/>
    </row>
    <row s="19004" customFormat="1" customHeight="1" ht="14.25" hidden="1">
      <c r="C3" s="1985"/>
      <c r="D3" s="2507"/>
      <c r="E3" s="2509"/>
      <c r="F3" s="766"/>
      <c r="G3" s="1230"/>
      <c r="H3" s="1230" t="s">
        <v>383</v>
      </c>
      <c r="I3" s="674"/>
      <c r="L3" s="1988"/>
      <c r="M3" s="1988"/>
      <c r="N3" s="1988"/>
      <c r="O3" s="1988"/>
      <c r="P3" s="1988"/>
      <c r="Q3" s="1988"/>
      <c r="R3" s="1990"/>
      <c r="S3" s="1990"/>
      <c r="T3" s="1988"/>
      <c r="U3" s="1988"/>
    </row>
    <row customHeight="1" ht="14.25" hidden="1"/>
    <row s="19016" customFormat="1" customHeight="1" ht="6">
      <c r="C5" s="1062"/>
      <c r="D5" s="1063"/>
      <c r="E5" s="1063"/>
      <c r="F5" s="1063"/>
      <c r="G5" s="1063"/>
      <c r="H5" s="1063" t="s">
        <v>356</v>
      </c>
      <c r="I5" s="1063"/>
      <c r="J5" s="1063"/>
      <c r="L5" s="1980"/>
      <c r="M5" s="1980"/>
      <c r="N5" s="1980"/>
      <c r="O5" s="1980"/>
      <c r="P5" s="1980"/>
      <c r="Q5" s="1980"/>
      <c r="R5" s="1980"/>
      <c r="S5" s="1980"/>
      <c r="T5" s="1980"/>
      <c r="U5" s="1980"/>
    </row>
    <row customHeight="1" ht="27.75">
      <c r="C6" s="1882"/>
      <c r="D6" s="2505" t="s">
        <v>384</v>
      </c>
      <c r="E6" s="2505"/>
      <c r="F6" s="2505"/>
      <c r="G6" s="2505"/>
      <c r="H6" s="2505"/>
      <c r="I6" s="2505"/>
      <c r="J6" s="852"/>
      <c r="K6" s="1981"/>
    </row>
    <row customHeight="1" ht="17.25">
      <c r="C7" s="1882"/>
      <c r="D7" s="2474" t="str">
        <f>IF(org=0,"Не определено",org)</f>
        <v>Филиал "Шатурская ГРЭС" ПАО "Юнипро"</v>
      </c>
      <c r="E7" s="2474"/>
      <c r="F7" s="2474"/>
      <c r="G7" s="2474"/>
      <c r="H7" s="2474"/>
      <c r="I7" s="2474"/>
      <c r="J7" s="852"/>
      <c r="K7" s="1981"/>
    </row>
    <row s="19021" customFormat="1" customHeight="1" ht="6">
      <c r="A8" s="1977"/>
      <c r="C8" s="847"/>
      <c r="D8" s="846"/>
      <c r="E8" s="846"/>
      <c r="F8" s="846"/>
      <c r="G8" s="846"/>
      <c r="H8" s="846"/>
      <c r="I8" s="846"/>
      <c r="J8" s="846"/>
      <c r="L8" s="1980"/>
      <c r="M8" s="1980"/>
      <c r="N8" s="1980"/>
      <c r="O8" s="1980"/>
      <c r="P8" s="1980"/>
      <c r="Q8" s="1980"/>
      <c r="R8" s="1980"/>
      <c r="S8" s="1980"/>
      <c r="T8" s="1980"/>
      <c r="U8" s="1980"/>
    </row>
    <row s="19021" customFormat="1" customHeight="1" ht="6">
      <c r="A9" s="1977"/>
      <c r="C9" s="847"/>
      <c r="D9" s="846"/>
      <c r="E9" s="846"/>
      <c r="F9" s="846"/>
      <c r="G9" s="846"/>
      <c r="H9" s="846"/>
      <c r="I9" s="846"/>
      <c r="J9" s="846"/>
      <c r="L9" s="1988"/>
      <c r="M9" s="1988"/>
      <c r="N9" s="1988"/>
      <c r="O9" s="1988"/>
      <c r="P9" s="1988"/>
      <c r="Q9" s="1988"/>
      <c r="R9" s="1988"/>
      <c r="S9" s="1988"/>
      <c r="T9" s="1988"/>
      <c r="U9" s="1988"/>
    </row>
    <row customHeight="1" ht="14.25">
      <c r="C10" s="1882"/>
      <c r="D10" s="2488" t="s">
        <v>300</v>
      </c>
      <c r="E10" s="2503"/>
      <c r="F10" s="2503"/>
      <c r="G10" s="2503"/>
      <c r="H10" s="2503"/>
      <c r="I10" s="2503"/>
      <c r="J10" s="2487" t="s">
        <v>301</v>
      </c>
    </row>
    <row customHeight="1" ht="25.5">
      <c r="C11" s="1882"/>
      <c r="D11" s="2392" t="s">
        <v>85</v>
      </c>
      <c r="E11" s="2487" t="s">
        <v>102</v>
      </c>
      <c r="F11" s="2450" t="s">
        <v>85</v>
      </c>
      <c r="G11" s="2451"/>
      <c r="H11" s="2449" t="s">
        <v>385</v>
      </c>
      <c r="I11" s="2449" t="s">
        <v>386</v>
      </c>
      <c r="J11" s="2487"/>
    </row>
    <row customHeight="1" ht="14.25">
      <c r="C12" s="1882"/>
      <c r="D12" s="2392"/>
      <c r="E12" s="2487"/>
      <c r="F12" s="2458"/>
      <c r="G12" s="2459"/>
      <c r="H12" s="2510"/>
      <c r="I12" s="2510"/>
      <c r="J12" s="2487"/>
    </row>
    <row s="18977" customFormat="1" customHeight="1" ht="11.25" hidden="1">
      <c r="C13" s="859"/>
      <c r="D13" s="860" t="s">
        <v>376</v>
      </c>
      <c r="E13" s="860"/>
      <c r="F13" s="860"/>
      <c r="G13" s="860"/>
      <c r="H13" s="858"/>
      <c r="I13" s="858"/>
      <c r="J13" s="796"/>
      <c r="L13" s="1980"/>
      <c r="M13" s="1980"/>
      <c r="N13" s="1980"/>
      <c r="O13" s="1980"/>
      <c r="P13" s="1980"/>
      <c r="Q13" s="1980"/>
      <c r="R13" s="1980"/>
      <c r="S13" s="1980"/>
      <c r="T13" s="1980"/>
      <c r="U13" s="1980"/>
    </row>
    <row customHeight="1" ht="14.25">
      <c r="A14" s="1973"/>
      <c r="C14" s="1882"/>
      <c r="D14" s="2506" t="s">
        <v>106</v>
      </c>
      <c r="E14" s="2508"/>
      <c r="F14" s="1983"/>
      <c r="G14" s="1982" t="s">
        <v>106</v>
      </c>
      <c r="H14" s="1989"/>
      <c r="I14" s="1987"/>
      <c r="J14" s="2436" t="s">
        <v>387</v>
      </c>
      <c r="K14" s="1973"/>
      <c r="R14" s="861" t="s">
        <v>381</v>
      </c>
      <c r="S14" s="861" t="s">
        <v>381</v>
      </c>
    </row>
    <row customHeight="1" ht="14.25">
      <c r="A15" s="1973"/>
      <c r="C15" s="1882"/>
      <c r="D15" s="2507"/>
      <c r="E15" s="2509"/>
      <c r="F15" s="766"/>
      <c r="G15" s="1230"/>
      <c r="H15" s="1230" t="s">
        <v>383</v>
      </c>
      <c r="I15" s="674"/>
      <c r="J15" s="2437"/>
      <c r="K15" s="1973"/>
      <c r="R15" s="861"/>
      <c r="S15" s="861"/>
    </row>
    <row customHeight="1" ht="14.25">
      <c r="A16" s="1973"/>
      <c r="C16" s="1882"/>
      <c r="D16" s="766"/>
      <c r="E16" s="1230" t="s">
        <v>118</v>
      </c>
      <c r="F16" s="674"/>
      <c r="G16" s="674"/>
      <c r="H16" s="767"/>
      <c r="I16" s="767"/>
      <c r="J16" s="2438"/>
      <c r="K16" s="1973"/>
    </row>
    <row customHeight="1" ht="14.25">
      <c r="K17" s="1973"/>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2056</vt:i4>
      </vt:variant>
    </vt:vector>
  </HeadingPairs>
  <TitlesOfParts>
    <vt:vector size="2057"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2023-11-10T12:28:34Z</dcterms:modified>
</cp:coreProperties>
</file>

<file path=docProps/custom.xml><?xml version="1.0" encoding="utf-8"?>
<Properties xmlns="http://schemas.openxmlformats.org/officeDocument/2006/custom-properties" xmlns:vt="http://schemas.openxmlformats.org/officeDocument/2006/docPropsVTypes"/>
</file>